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  <sheet name="EURSTD" sheetId="19" r:id="rId7"/>
  </sheets>
  <externalReferences>
    <externalReference r:id="rId8"/>
  </externalReferences>
  <definedNames>
    <definedName name="Calendar">GeneralSettings!$D$11</definedName>
    <definedName name="Currency">GeneralSettings!$D$3</definedName>
    <definedName name="Discounting1">GeneralSettings!$I$8</definedName>
    <definedName name="Discounting2">GeneralSettings!$I$9</definedName>
    <definedName name="DiscountingSTD">GeneralSettings!$I$10</definedName>
    <definedName name="EvaluationDate">GeneralSettings!$D$9</definedName>
    <definedName name="EvalutionDate">GeneralSettings!$D$9</definedName>
    <definedName name="FamilyName">GeneralSettings!$I$3</definedName>
    <definedName name="IncludeFlag" localSheetId="4">EUR1M!$R$3:$R$90</definedName>
    <definedName name="IncludeFlag" localSheetId="5">EUR1Y!$R$3:$R$53</definedName>
    <definedName name="IncludeFlag" localSheetId="2">EUR3M!$R$3:$R$103</definedName>
    <definedName name="IncludeFlag" localSheetId="3">EUR6M!$R$3:$R$59</definedName>
    <definedName name="IncludeFlag" localSheetId="1">EURON!$M$3:$M$77</definedName>
    <definedName name="IncludeFlag" localSheetId="6">EURSTD!$P$3:$P$72</definedName>
    <definedName name="LCHcubic">GeneralSettings!$I$7</definedName>
    <definedName name="LCHlinear">GeneralSettings!$I$6</definedName>
    <definedName name="LCHQuoteOverwrite">GeneralSettings!$I$11</definedName>
    <definedName name="LCHQuoteSuffix">GeneralSettings!$I$5</definedName>
    <definedName name="MinDistance" localSheetId="4">EUR1M!$T$3:$T$90</definedName>
    <definedName name="MinDistance" localSheetId="5">EUR1Y!$T$3:$T$53</definedName>
    <definedName name="MinDistance" localSheetId="2">EUR3M!$T$3:$T$103</definedName>
    <definedName name="MinDistance" localSheetId="3">EUR6M!$T$3:$T$59</definedName>
    <definedName name="MinDistance" localSheetId="1">EURON!$O$3:$O$77</definedName>
    <definedName name="MinDistance" localSheetId="6">EURSTD!$R$3:$R$72</definedName>
    <definedName name="ObjectOverwrite">GeneralSettings!$D$6</definedName>
    <definedName name="Permanent">GeneralSettings!$D$4</definedName>
    <definedName name="PillarDate">GeneralSettings!$D$7</definedName>
    <definedName name="Priority" localSheetId="4">EUR1M!$S$3:$S$90</definedName>
    <definedName name="Priority" localSheetId="5">EUR1Y!$S$3:$S$53</definedName>
    <definedName name="Priority" localSheetId="2">EUR3M!$S$3:$S$103</definedName>
    <definedName name="Priority" localSheetId="3">EUR6M!$S$3:$S$59</definedName>
    <definedName name="Priority" localSheetId="1">EURON!$N$3:$N$77</definedName>
    <definedName name="Priority" localSheetId="6">EURSTD!$Q$3:$Q$72</definedName>
    <definedName name="QuoteSuffix">GeneralSettings!$I$4</definedName>
    <definedName name="RateHelpers" localSheetId="1">EURON!$J$3:$J$77</definedName>
    <definedName name="RateHelpers">EURSTD!$M$3:$M$72</definedName>
    <definedName name="RateHelpers1" localSheetId="4">EUR1M!$N$3:$N$90</definedName>
    <definedName name="RateHelpers1" localSheetId="5">EUR1Y!$N$3:$N$53</definedName>
    <definedName name="RateHelpers1" localSheetId="2">EUR3M!$N$3:$N$103</definedName>
    <definedName name="RateHelpers1" localSheetId="3">EUR6M!$N$3:$N$59</definedName>
    <definedName name="RateHelpers1" localSheetId="6">EURSTD!$M$3:$M$72</definedName>
    <definedName name="RateHelpers2" localSheetId="4">EUR1M!$O$3:$O$90</definedName>
    <definedName name="RateHelpers2" localSheetId="5">EUR1Y!$O$3:$O$53</definedName>
    <definedName name="RateHelpers2" localSheetId="2">EUR3M!$O$3:$O$103</definedName>
    <definedName name="RateHelpers2" localSheetId="3">EUR6M!$O$3:$O$59</definedName>
    <definedName name="RateHelpers2" localSheetId="6">EURSTD!#REF!</definedName>
    <definedName name="SettlementDate">GeneralSettings!$D$10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1_1M">GeneralSettings!$D$60</definedName>
    <definedName name="yieldcurve1_1Y">GeneralSettings!$D$75</definedName>
    <definedName name="YieldCurve1_3M">GeneralSettings!$D$30</definedName>
    <definedName name="YieldCurve1_6M">GeneralSettings!$D$45</definedName>
    <definedName name="YieldCurve1_ON">GeneralSettings!$D$15</definedName>
    <definedName name="yieldcurve1_STD">GeneralSettings!$D$90</definedName>
    <definedName name="yieldcurve2_1M">GeneralSettings!$I$60</definedName>
    <definedName name="yieldcurve2_1Y">GeneralSettings!$I$75</definedName>
    <definedName name="yieldcurve2_3M">GeneralSettings!$I$30</definedName>
    <definedName name="YieldCurve2_6M">GeneralSettings!$I$45</definedName>
    <definedName name="yieldcurve2_ON">GeneralSettings!$I$15</definedName>
  </definedNames>
  <calcPr calcId="145621"/>
</workbook>
</file>

<file path=xl/calcChain.xml><?xml version="1.0" encoding="utf-8"?>
<calcChain xmlns="http://schemas.openxmlformats.org/spreadsheetml/2006/main">
  <c r="AI5" i="19" l="1"/>
  <c r="AO5" i="15"/>
  <c r="L37" i="19" l="1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48" i="18"/>
  <c r="M49" i="18"/>
  <c r="M50" i="18"/>
  <c r="M51" i="18"/>
  <c r="M52" i="18"/>
  <c r="M53" i="18"/>
  <c r="M5" i="18"/>
  <c r="M6" i="18"/>
  <c r="M7" i="18"/>
  <c r="M8" i="18"/>
  <c r="M9" i="18"/>
  <c r="M10" i="18"/>
  <c r="M11" i="18"/>
  <c r="M12" i="18"/>
  <c r="M13" i="18"/>
  <c r="M14" i="18"/>
  <c r="M15" i="18"/>
  <c r="G21" i="18"/>
  <c r="H21" i="18"/>
  <c r="C16" i="18"/>
  <c r="G16" i="18"/>
  <c r="H16" i="18"/>
  <c r="J61" i="19"/>
  <c r="J54" i="19"/>
  <c r="J48" i="19"/>
  <c r="J66" i="19"/>
  <c r="J73" i="19"/>
  <c r="J58" i="19"/>
  <c r="J16" i="18"/>
  <c r="J67" i="19"/>
  <c r="J47" i="19"/>
  <c r="J45" i="19"/>
  <c r="J70" i="19"/>
  <c r="J60" i="19"/>
  <c r="J49" i="19"/>
  <c r="J51" i="19"/>
  <c r="J74" i="19"/>
  <c r="J21" i="18"/>
  <c r="J64" i="19"/>
  <c r="J53" i="19"/>
  <c r="J56" i="19"/>
  <c r="J55" i="19"/>
  <c r="J68" i="19"/>
  <c r="J75" i="19"/>
  <c r="J43" i="19"/>
  <c r="J50" i="19"/>
  <c r="K21" i="18"/>
  <c r="J65" i="19"/>
  <c r="J63" i="19"/>
  <c r="J42" i="19"/>
  <c r="J76" i="19"/>
  <c r="J69" i="19"/>
  <c r="J71" i="19"/>
  <c r="J41" i="19"/>
  <c r="J72" i="19"/>
  <c r="J40" i="19"/>
  <c r="J44" i="19"/>
  <c r="J59" i="19"/>
  <c r="J57" i="19"/>
  <c r="J52" i="19"/>
  <c r="J62" i="19"/>
  <c r="AK3" i="18" a="1"/>
  <c r="AH3" i="16" a="1"/>
  <c r="AI3" i="18" a="1"/>
  <c r="AK3" i="15" a="1"/>
  <c r="AH3" i="18" a="1"/>
  <c r="AI3" i="15" a="1"/>
  <c r="AK3" i="17" a="1"/>
  <c r="AH3" i="15" a="1"/>
  <c r="AI3" i="17" a="1"/>
  <c r="AE3" i="14" a="1"/>
  <c r="AH3" i="17" a="1"/>
  <c r="AE3" i="19" a="1"/>
  <c r="AK3" i="16" a="1"/>
  <c r="AB3" i="14" a="1"/>
  <c r="AD3" i="19" a="1"/>
  <c r="AI3" i="16" a="1"/>
  <c r="AC3" i="14" a="1"/>
  <c r="AE3" i="19" l="1"/>
  <c r="AE11" i="19"/>
  <c r="AE19" i="19"/>
  <c r="AE27" i="19"/>
  <c r="AE35" i="19"/>
  <c r="AE43" i="19"/>
  <c r="AE51" i="19"/>
  <c r="AE59" i="19"/>
  <c r="AE67" i="19"/>
  <c r="AE4" i="19"/>
  <c r="AE12" i="19"/>
  <c r="AE20" i="19"/>
  <c r="AE28" i="19"/>
  <c r="AE36" i="19"/>
  <c r="AE44" i="19"/>
  <c r="AE52" i="19"/>
  <c r="AE60" i="19"/>
  <c r="AE68" i="19"/>
  <c r="AE5" i="19"/>
  <c r="AE13" i="19"/>
  <c r="AE21" i="19"/>
  <c r="AE29" i="19"/>
  <c r="AE37" i="19"/>
  <c r="AE45" i="19"/>
  <c r="AE53" i="19"/>
  <c r="AE61" i="19"/>
  <c r="AE69" i="19"/>
  <c r="AE6" i="19"/>
  <c r="AE14" i="19"/>
  <c r="AE22" i="19"/>
  <c r="AE30" i="19"/>
  <c r="AE38" i="19"/>
  <c r="AE46" i="19"/>
  <c r="AE54" i="19"/>
  <c r="AE62" i="19"/>
  <c r="AE70" i="19"/>
  <c r="AE7" i="19"/>
  <c r="AE15" i="19"/>
  <c r="AE23" i="19"/>
  <c r="AE31" i="19"/>
  <c r="AE39" i="19"/>
  <c r="AE47" i="19"/>
  <c r="AE55" i="19"/>
  <c r="AE63" i="19"/>
  <c r="AE71" i="19"/>
  <c r="AE8" i="19"/>
  <c r="AE16" i="19"/>
  <c r="AE24" i="19"/>
  <c r="AE32" i="19"/>
  <c r="AE40" i="19"/>
  <c r="AE48" i="19"/>
  <c r="AE56" i="19"/>
  <c r="AE64" i="19"/>
  <c r="AE72" i="19"/>
  <c r="AE9" i="19"/>
  <c r="AE17" i="19"/>
  <c r="AE25" i="19"/>
  <c r="AE33" i="19"/>
  <c r="AE41" i="19"/>
  <c r="AE49" i="19"/>
  <c r="AE57" i="19"/>
  <c r="AE65" i="19"/>
  <c r="AE10" i="19"/>
  <c r="AE18" i="19"/>
  <c r="AE26" i="19"/>
  <c r="AE34" i="19"/>
  <c r="AE42" i="19"/>
  <c r="AE50" i="19"/>
  <c r="AE58" i="19"/>
  <c r="AE66" i="19"/>
  <c r="AD3" i="19"/>
  <c r="AD11" i="19"/>
  <c r="AD19" i="19"/>
  <c r="AD27" i="19"/>
  <c r="AD35" i="19"/>
  <c r="AD43" i="19"/>
  <c r="AD51" i="19"/>
  <c r="AD59" i="19"/>
  <c r="AD67" i="19"/>
  <c r="AD4" i="19"/>
  <c r="AD12" i="19"/>
  <c r="AD20" i="19"/>
  <c r="AD28" i="19"/>
  <c r="AD36" i="19"/>
  <c r="AD44" i="19"/>
  <c r="AD52" i="19"/>
  <c r="AD60" i="19"/>
  <c r="AD68" i="19"/>
  <c r="AD5" i="19"/>
  <c r="AD13" i="19"/>
  <c r="AD21" i="19"/>
  <c r="AD29" i="19"/>
  <c r="AD37" i="19"/>
  <c r="AD45" i="19"/>
  <c r="AD53" i="19"/>
  <c r="AD61" i="19"/>
  <c r="AD69" i="19"/>
  <c r="AD6" i="19"/>
  <c r="AD14" i="19"/>
  <c r="AD22" i="19"/>
  <c r="AD30" i="19"/>
  <c r="AD38" i="19"/>
  <c r="AD46" i="19"/>
  <c r="AD54" i="19"/>
  <c r="AD62" i="19"/>
  <c r="AD70" i="19"/>
  <c r="AD7" i="19"/>
  <c r="AD15" i="19"/>
  <c r="AD23" i="19"/>
  <c r="AD31" i="19"/>
  <c r="AD39" i="19"/>
  <c r="AD47" i="19"/>
  <c r="AD55" i="19"/>
  <c r="AD63" i="19"/>
  <c r="AD71" i="19"/>
  <c r="AD8" i="19"/>
  <c r="AD16" i="19"/>
  <c r="AD24" i="19"/>
  <c r="AD32" i="19"/>
  <c r="AD40" i="19"/>
  <c r="AD48" i="19"/>
  <c r="AD56" i="19"/>
  <c r="AD64" i="19"/>
  <c r="AD72" i="19"/>
  <c r="AD9" i="19"/>
  <c r="AD17" i="19"/>
  <c r="AD25" i="19"/>
  <c r="AD33" i="19"/>
  <c r="AD41" i="19"/>
  <c r="AD49" i="19"/>
  <c r="AD57" i="19"/>
  <c r="AD65" i="19"/>
  <c r="AD10" i="19"/>
  <c r="AD18" i="19"/>
  <c r="AD26" i="19"/>
  <c r="AD34" i="19"/>
  <c r="AD42" i="19"/>
  <c r="AD50" i="19"/>
  <c r="AD58" i="19"/>
  <c r="AD66" i="19"/>
  <c r="AK3" i="18"/>
  <c r="AK11" i="18"/>
  <c r="AK19" i="18"/>
  <c r="AK27" i="18"/>
  <c r="AK35" i="18"/>
  <c r="AK43" i="18"/>
  <c r="AK51" i="18"/>
  <c r="AK4" i="18"/>
  <c r="AK12" i="18"/>
  <c r="AK20" i="18"/>
  <c r="AK28" i="18"/>
  <c r="AK36" i="18"/>
  <c r="AK44" i="18"/>
  <c r="AK52" i="18"/>
  <c r="AK5" i="18"/>
  <c r="AK13" i="18"/>
  <c r="AK21" i="18"/>
  <c r="AK29" i="18"/>
  <c r="AK37" i="18"/>
  <c r="AK45" i="18"/>
  <c r="AK53" i="18"/>
  <c r="AK6" i="18"/>
  <c r="AK14" i="18"/>
  <c r="AK22" i="18"/>
  <c r="AK30" i="18"/>
  <c r="AK38" i="18"/>
  <c r="AK46" i="18"/>
  <c r="AK7" i="18"/>
  <c r="AK15" i="18"/>
  <c r="AK23" i="18"/>
  <c r="AK31" i="18"/>
  <c r="AK39" i="18"/>
  <c r="AK47" i="18"/>
  <c r="AK8" i="18"/>
  <c r="AK16" i="18"/>
  <c r="AK24" i="18"/>
  <c r="AK32" i="18"/>
  <c r="AK40" i="18"/>
  <c r="AK48" i="18"/>
  <c r="AK9" i="18"/>
  <c r="AK17" i="18"/>
  <c r="AK25" i="18"/>
  <c r="AK33" i="18"/>
  <c r="AK41" i="18"/>
  <c r="AK49" i="18"/>
  <c r="AK10" i="18"/>
  <c r="AK18" i="18"/>
  <c r="AK26" i="18"/>
  <c r="AK34" i="18"/>
  <c r="AK42" i="18"/>
  <c r="AK50" i="18"/>
  <c r="AI3" i="18"/>
  <c r="AI11" i="18"/>
  <c r="AI19" i="18"/>
  <c r="AI27" i="18"/>
  <c r="AI35" i="18"/>
  <c r="AI43" i="18"/>
  <c r="AI51" i="18"/>
  <c r="AI4" i="18"/>
  <c r="AI12" i="18"/>
  <c r="AI20" i="18"/>
  <c r="AI28" i="18"/>
  <c r="AI36" i="18"/>
  <c r="AI44" i="18"/>
  <c r="AI52" i="18"/>
  <c r="AI5" i="18"/>
  <c r="AI13" i="18"/>
  <c r="AI21" i="18"/>
  <c r="AI29" i="18"/>
  <c r="AI37" i="18"/>
  <c r="AI45" i="18"/>
  <c r="AI53" i="18"/>
  <c r="AI6" i="18"/>
  <c r="AI14" i="18"/>
  <c r="AI22" i="18"/>
  <c r="AI30" i="18"/>
  <c r="AI38" i="18"/>
  <c r="AI46" i="18"/>
  <c r="AI7" i="18"/>
  <c r="AI15" i="18"/>
  <c r="AI23" i="18"/>
  <c r="AI31" i="18"/>
  <c r="AI39" i="18"/>
  <c r="AI47" i="18"/>
  <c r="AI8" i="18"/>
  <c r="AI16" i="18"/>
  <c r="AI24" i="18"/>
  <c r="AI32" i="18"/>
  <c r="AI40" i="18"/>
  <c r="AI48" i="18"/>
  <c r="AI9" i="18"/>
  <c r="AI17" i="18"/>
  <c r="AI25" i="18"/>
  <c r="AI33" i="18"/>
  <c r="AI41" i="18"/>
  <c r="AI49" i="18"/>
  <c r="AI10" i="18"/>
  <c r="AI18" i="18"/>
  <c r="AI26" i="18"/>
  <c r="AI34" i="18"/>
  <c r="AI42" i="18"/>
  <c r="AI50" i="18"/>
  <c r="AH3" i="18"/>
  <c r="AH11" i="18"/>
  <c r="AH19" i="18"/>
  <c r="AH27" i="18"/>
  <c r="AH35" i="18"/>
  <c r="AH43" i="18"/>
  <c r="AH51" i="18"/>
  <c r="AH4" i="18"/>
  <c r="AH12" i="18"/>
  <c r="AH20" i="18"/>
  <c r="AH28" i="18"/>
  <c r="AH36" i="18"/>
  <c r="AH44" i="18"/>
  <c r="AH52" i="18"/>
  <c r="AH5" i="18"/>
  <c r="AH13" i="18"/>
  <c r="AH21" i="18"/>
  <c r="AH29" i="18"/>
  <c r="AH37" i="18"/>
  <c r="AH45" i="18"/>
  <c r="AH53" i="18"/>
  <c r="AH6" i="18"/>
  <c r="AH14" i="18"/>
  <c r="AH22" i="18"/>
  <c r="AH30" i="18"/>
  <c r="AH38" i="18"/>
  <c r="AH46" i="18"/>
  <c r="AH7" i="18"/>
  <c r="AH15" i="18"/>
  <c r="AH23" i="18"/>
  <c r="AH31" i="18"/>
  <c r="AH39" i="18"/>
  <c r="AH47" i="18"/>
  <c r="AH8" i="18"/>
  <c r="AH16" i="18"/>
  <c r="AH24" i="18"/>
  <c r="AH32" i="18"/>
  <c r="AH40" i="18"/>
  <c r="AH48" i="18"/>
  <c r="AH9" i="18"/>
  <c r="AH17" i="18"/>
  <c r="AH25" i="18"/>
  <c r="AH33" i="18"/>
  <c r="AH41" i="18"/>
  <c r="AH49" i="18"/>
  <c r="AH10" i="18"/>
  <c r="AH18" i="18"/>
  <c r="AH26" i="18"/>
  <c r="AH34" i="18"/>
  <c r="AH42" i="18"/>
  <c r="AH50" i="18"/>
  <c r="AK3" i="17"/>
  <c r="AK11" i="17"/>
  <c r="AK19" i="17"/>
  <c r="AK27" i="17"/>
  <c r="AK35" i="17"/>
  <c r="AK43" i="17"/>
  <c r="AK51" i="17"/>
  <c r="AK59" i="17"/>
  <c r="AK67" i="17"/>
  <c r="AK75" i="17"/>
  <c r="AK83" i="17"/>
  <c r="AK4" i="17"/>
  <c r="AK12" i="17"/>
  <c r="AK20" i="17"/>
  <c r="AK28" i="17"/>
  <c r="AK36" i="17"/>
  <c r="AK44" i="17"/>
  <c r="AK52" i="17"/>
  <c r="AK60" i="17"/>
  <c r="AK68" i="17"/>
  <c r="AK76" i="17"/>
  <c r="AK84" i="17"/>
  <c r="AK5" i="17"/>
  <c r="AK13" i="17"/>
  <c r="AK21" i="17"/>
  <c r="AK29" i="17"/>
  <c r="AK37" i="17"/>
  <c r="AK45" i="17"/>
  <c r="AK53" i="17"/>
  <c r="AK61" i="17"/>
  <c r="AK69" i="17"/>
  <c r="AK77" i="17"/>
  <c r="AK85" i="17"/>
  <c r="AK6" i="17"/>
  <c r="AK14" i="17"/>
  <c r="AK22" i="17"/>
  <c r="AK30" i="17"/>
  <c r="AK38" i="17"/>
  <c r="AK46" i="17"/>
  <c r="AK54" i="17"/>
  <c r="AK62" i="17"/>
  <c r="AK70" i="17"/>
  <c r="AK78" i="17"/>
  <c r="AK86" i="17"/>
  <c r="AK7" i="17"/>
  <c r="AK15" i="17"/>
  <c r="AK23" i="17"/>
  <c r="AK31" i="17"/>
  <c r="AK39" i="17"/>
  <c r="AK47" i="17"/>
  <c r="AK55" i="17"/>
  <c r="AK63" i="17"/>
  <c r="AK71" i="17"/>
  <c r="AK79" i="17"/>
  <c r="AK87" i="17"/>
  <c r="AK8" i="17"/>
  <c r="AK16" i="17"/>
  <c r="AK24" i="17"/>
  <c r="AK32" i="17"/>
  <c r="AK40" i="17"/>
  <c r="AK48" i="17"/>
  <c r="AK56" i="17"/>
  <c r="AK64" i="17"/>
  <c r="AK72" i="17"/>
  <c r="AK80" i="17"/>
  <c r="AK88" i="17"/>
  <c r="AK9" i="17"/>
  <c r="AK17" i="17"/>
  <c r="AK25" i="17"/>
  <c r="AK33" i="17"/>
  <c r="AK41" i="17"/>
  <c r="AK49" i="17"/>
  <c r="AK57" i="17"/>
  <c r="AK65" i="17"/>
  <c r="AK73" i="17"/>
  <c r="AK81" i="17"/>
  <c r="AK89" i="17"/>
  <c r="AK10" i="17"/>
  <c r="AK18" i="17"/>
  <c r="AK26" i="17"/>
  <c r="AK34" i="17"/>
  <c r="AK42" i="17"/>
  <c r="AK50" i="17"/>
  <c r="AK58" i="17"/>
  <c r="AK66" i="17"/>
  <c r="AK74" i="17"/>
  <c r="AK82" i="17"/>
  <c r="AK90" i="17"/>
  <c r="AI3" i="17"/>
  <c r="AI11" i="17"/>
  <c r="AI19" i="17"/>
  <c r="AI27" i="17"/>
  <c r="AI35" i="17"/>
  <c r="AI43" i="17"/>
  <c r="AI51" i="17"/>
  <c r="AI59" i="17"/>
  <c r="AI67" i="17"/>
  <c r="AI75" i="17"/>
  <c r="AI83" i="17"/>
  <c r="AI4" i="17"/>
  <c r="AI12" i="17"/>
  <c r="AI20" i="17"/>
  <c r="AI28" i="17"/>
  <c r="AI36" i="17"/>
  <c r="AI44" i="17"/>
  <c r="AI52" i="17"/>
  <c r="AI60" i="17"/>
  <c r="AI68" i="17"/>
  <c r="AI76" i="17"/>
  <c r="AI84" i="17"/>
  <c r="AI5" i="17"/>
  <c r="AI13" i="17"/>
  <c r="AI21" i="17"/>
  <c r="AI29" i="17"/>
  <c r="AI37" i="17"/>
  <c r="AI45" i="17"/>
  <c r="AI53" i="17"/>
  <c r="AI61" i="17"/>
  <c r="AI69" i="17"/>
  <c r="AI77" i="17"/>
  <c r="AI85" i="17"/>
  <c r="AI6" i="17"/>
  <c r="AI14" i="17"/>
  <c r="AI22" i="17"/>
  <c r="AI30" i="17"/>
  <c r="AI38" i="17"/>
  <c r="AI46" i="17"/>
  <c r="AI54" i="17"/>
  <c r="AI62" i="17"/>
  <c r="AI70" i="17"/>
  <c r="AI78" i="17"/>
  <c r="AI86" i="17"/>
  <c r="AI7" i="17"/>
  <c r="AI15" i="17"/>
  <c r="AI23" i="17"/>
  <c r="AI31" i="17"/>
  <c r="AI39" i="17"/>
  <c r="AI47" i="17"/>
  <c r="AI55" i="17"/>
  <c r="AI63" i="17"/>
  <c r="AI71" i="17"/>
  <c r="AI79" i="17"/>
  <c r="AI87" i="17"/>
  <c r="AI8" i="17"/>
  <c r="AI16" i="17"/>
  <c r="AI24" i="17"/>
  <c r="AI32" i="17"/>
  <c r="AI40" i="17"/>
  <c r="AI48" i="17"/>
  <c r="AI56" i="17"/>
  <c r="AI64" i="17"/>
  <c r="AI72" i="17"/>
  <c r="AI80" i="17"/>
  <c r="AI88" i="17"/>
  <c r="AI9" i="17"/>
  <c r="AI17" i="17"/>
  <c r="AI25" i="17"/>
  <c r="AI33" i="17"/>
  <c r="AI41" i="17"/>
  <c r="AI49" i="17"/>
  <c r="AI57" i="17"/>
  <c r="AI65" i="17"/>
  <c r="AI73" i="17"/>
  <c r="AI81" i="17"/>
  <c r="AI89" i="17"/>
  <c r="AI10" i="17"/>
  <c r="AI18" i="17"/>
  <c r="AI26" i="17"/>
  <c r="AI34" i="17"/>
  <c r="AI42" i="17"/>
  <c r="AI50" i="17"/>
  <c r="AI58" i="17"/>
  <c r="AI66" i="17"/>
  <c r="AI74" i="17"/>
  <c r="AI82" i="17"/>
  <c r="AI90" i="17"/>
  <c r="AH3" i="17"/>
  <c r="AH11" i="17"/>
  <c r="AH19" i="17"/>
  <c r="AH27" i="17"/>
  <c r="AH35" i="17"/>
  <c r="AH43" i="17"/>
  <c r="AH51" i="17"/>
  <c r="AH59" i="17"/>
  <c r="AH67" i="17"/>
  <c r="AH75" i="17"/>
  <c r="AH83" i="17"/>
  <c r="AH4" i="17"/>
  <c r="AH12" i="17"/>
  <c r="AH20" i="17"/>
  <c r="AH28" i="17"/>
  <c r="AH36" i="17"/>
  <c r="AH44" i="17"/>
  <c r="AH52" i="17"/>
  <c r="AH60" i="17"/>
  <c r="AH68" i="17"/>
  <c r="AH76" i="17"/>
  <c r="AH84" i="17"/>
  <c r="AH5" i="17"/>
  <c r="AH13" i="17"/>
  <c r="AH21" i="17"/>
  <c r="AH29" i="17"/>
  <c r="AH37" i="17"/>
  <c r="AH45" i="17"/>
  <c r="AH53" i="17"/>
  <c r="AH61" i="17"/>
  <c r="AH69" i="17"/>
  <c r="AH77" i="17"/>
  <c r="AH85" i="17"/>
  <c r="AH6" i="17"/>
  <c r="AH14" i="17"/>
  <c r="AH22" i="17"/>
  <c r="AH30" i="17"/>
  <c r="AH38" i="17"/>
  <c r="AH46" i="17"/>
  <c r="AH54" i="17"/>
  <c r="AH62" i="17"/>
  <c r="AH70" i="17"/>
  <c r="AH78" i="17"/>
  <c r="AH86" i="17"/>
  <c r="AH7" i="17"/>
  <c r="AH15" i="17"/>
  <c r="AH23" i="17"/>
  <c r="AH31" i="17"/>
  <c r="AH39" i="17"/>
  <c r="AH47" i="17"/>
  <c r="AH55" i="17"/>
  <c r="AH63" i="17"/>
  <c r="AH71" i="17"/>
  <c r="AH79" i="17"/>
  <c r="AH87" i="17"/>
  <c r="AH8" i="17"/>
  <c r="AH16" i="17"/>
  <c r="AH24" i="17"/>
  <c r="AH32" i="17"/>
  <c r="AH40" i="17"/>
  <c r="AH48" i="17"/>
  <c r="AH56" i="17"/>
  <c r="AH64" i="17"/>
  <c r="AH72" i="17"/>
  <c r="AH80" i="17"/>
  <c r="AH88" i="17"/>
  <c r="AH9" i="17"/>
  <c r="AH17" i="17"/>
  <c r="AH25" i="17"/>
  <c r="AH33" i="17"/>
  <c r="AH41" i="17"/>
  <c r="AH49" i="17"/>
  <c r="AH57" i="17"/>
  <c r="AH65" i="17"/>
  <c r="AH73" i="17"/>
  <c r="AH81" i="17"/>
  <c r="AH89" i="17"/>
  <c r="AH10" i="17"/>
  <c r="AH18" i="17"/>
  <c r="AH26" i="17"/>
  <c r="AH34" i="17"/>
  <c r="AH42" i="17"/>
  <c r="AH50" i="17"/>
  <c r="AH58" i="17"/>
  <c r="AH66" i="17"/>
  <c r="AH74" i="17"/>
  <c r="AH82" i="17"/>
  <c r="AH90" i="17"/>
  <c r="AK3" i="16"/>
  <c r="AK11" i="16"/>
  <c r="AK19" i="16"/>
  <c r="AK27" i="16"/>
  <c r="AK35" i="16"/>
  <c r="AK43" i="16"/>
  <c r="AK51" i="16"/>
  <c r="AK59" i="16"/>
  <c r="AK4" i="16"/>
  <c r="AK12" i="16"/>
  <c r="AK20" i="16"/>
  <c r="AK28" i="16"/>
  <c r="AK36" i="16"/>
  <c r="AK44" i="16"/>
  <c r="AK52" i="16"/>
  <c r="AK5" i="16"/>
  <c r="AK13" i="16"/>
  <c r="AK21" i="16"/>
  <c r="AK29" i="16"/>
  <c r="AK37" i="16"/>
  <c r="AK45" i="16"/>
  <c r="AK53" i="16"/>
  <c r="AK6" i="16"/>
  <c r="AK14" i="16"/>
  <c r="AK22" i="16"/>
  <c r="AK30" i="16"/>
  <c r="AK38" i="16"/>
  <c r="AK46" i="16"/>
  <c r="AK54" i="16"/>
  <c r="AK7" i="16"/>
  <c r="AK15" i="16"/>
  <c r="AK23" i="16"/>
  <c r="AK31" i="16"/>
  <c r="AK39" i="16"/>
  <c r="AK47" i="16"/>
  <c r="AK55" i="16"/>
  <c r="AK8" i="16"/>
  <c r="AK16" i="16"/>
  <c r="AK24" i="16"/>
  <c r="AK32" i="16"/>
  <c r="AK40" i="16"/>
  <c r="AK48" i="16"/>
  <c r="AK56" i="16"/>
  <c r="AK9" i="16"/>
  <c r="AK17" i="16"/>
  <c r="AK25" i="16"/>
  <c r="AK33" i="16"/>
  <c r="AK41" i="16"/>
  <c r="AK49" i="16"/>
  <c r="AK57" i="16"/>
  <c r="AK10" i="16"/>
  <c r="AK18" i="16"/>
  <c r="AK26" i="16"/>
  <c r="AK34" i="16"/>
  <c r="AK42" i="16"/>
  <c r="AK50" i="16"/>
  <c r="AK58" i="16"/>
  <c r="AI3" i="16"/>
  <c r="AI11" i="16"/>
  <c r="AI19" i="16"/>
  <c r="AI27" i="16"/>
  <c r="AI35" i="16"/>
  <c r="AI43" i="16"/>
  <c r="AI51" i="16"/>
  <c r="AI59" i="16"/>
  <c r="AI4" i="16"/>
  <c r="AI12" i="16"/>
  <c r="AI20" i="16"/>
  <c r="AI28" i="16"/>
  <c r="AI36" i="16"/>
  <c r="AI44" i="16"/>
  <c r="AI52" i="16"/>
  <c r="AI5" i="16"/>
  <c r="AI13" i="16"/>
  <c r="AI21" i="16"/>
  <c r="AI29" i="16"/>
  <c r="AI37" i="16"/>
  <c r="AI45" i="16"/>
  <c r="AI53" i="16"/>
  <c r="AI6" i="16"/>
  <c r="AI14" i="16"/>
  <c r="AI22" i="16"/>
  <c r="AI30" i="16"/>
  <c r="AI38" i="16"/>
  <c r="AI46" i="16"/>
  <c r="AI54" i="16"/>
  <c r="AI7" i="16"/>
  <c r="AI15" i="16"/>
  <c r="AI23" i="16"/>
  <c r="AI31" i="16"/>
  <c r="AI39" i="16"/>
  <c r="AI47" i="16"/>
  <c r="AI55" i="16"/>
  <c r="AI8" i="16"/>
  <c r="AI16" i="16"/>
  <c r="AI24" i="16"/>
  <c r="AI32" i="16"/>
  <c r="AI40" i="16"/>
  <c r="AI48" i="16"/>
  <c r="AI56" i="16"/>
  <c r="AI9" i="16"/>
  <c r="AI17" i="16"/>
  <c r="AI25" i="16"/>
  <c r="AI33" i="16"/>
  <c r="AI41" i="16"/>
  <c r="AI49" i="16"/>
  <c r="AI57" i="16"/>
  <c r="AI10" i="16"/>
  <c r="AI18" i="16"/>
  <c r="AI26" i="16"/>
  <c r="AI34" i="16"/>
  <c r="AI42" i="16"/>
  <c r="AI50" i="16"/>
  <c r="AI58" i="16"/>
  <c r="AH3" i="16"/>
  <c r="AH11" i="16"/>
  <c r="AH19" i="16"/>
  <c r="AH27" i="16"/>
  <c r="AH35" i="16"/>
  <c r="AH43" i="16"/>
  <c r="AH51" i="16"/>
  <c r="AH59" i="16"/>
  <c r="AH4" i="16"/>
  <c r="AH12" i="16"/>
  <c r="AH20" i="16"/>
  <c r="AH28" i="16"/>
  <c r="AH36" i="16"/>
  <c r="AH44" i="16"/>
  <c r="AH52" i="16"/>
  <c r="AH5" i="16"/>
  <c r="AH13" i="16"/>
  <c r="AH21" i="16"/>
  <c r="AH29" i="16"/>
  <c r="AH37" i="16"/>
  <c r="AH45" i="16"/>
  <c r="AH53" i="16"/>
  <c r="AH6" i="16"/>
  <c r="AH14" i="16"/>
  <c r="AH22" i="16"/>
  <c r="AH30" i="16"/>
  <c r="AH38" i="16"/>
  <c r="AH46" i="16"/>
  <c r="AH54" i="16"/>
  <c r="AH7" i="16"/>
  <c r="AH15" i="16"/>
  <c r="AH23" i="16"/>
  <c r="AH31" i="16"/>
  <c r="AH39" i="16"/>
  <c r="AH47" i="16"/>
  <c r="AH55" i="16"/>
  <c r="AH8" i="16"/>
  <c r="AH16" i="16"/>
  <c r="AH24" i="16"/>
  <c r="AH32" i="16"/>
  <c r="AH40" i="16"/>
  <c r="AH48" i="16"/>
  <c r="AH56" i="16"/>
  <c r="AH9" i="16"/>
  <c r="AH17" i="16"/>
  <c r="AH25" i="16"/>
  <c r="AH33" i="16"/>
  <c r="AH41" i="16"/>
  <c r="AH49" i="16"/>
  <c r="AH57" i="16"/>
  <c r="AH10" i="16"/>
  <c r="AH18" i="16"/>
  <c r="AH26" i="16"/>
  <c r="AH34" i="16"/>
  <c r="AH42" i="16"/>
  <c r="AH50" i="16"/>
  <c r="AH58" i="16"/>
  <c r="AK3" i="15"/>
  <c r="AK11" i="15"/>
  <c r="AK19" i="15"/>
  <c r="AK27" i="15"/>
  <c r="AK35" i="15"/>
  <c r="AK43" i="15"/>
  <c r="AK51" i="15"/>
  <c r="AK59" i="15"/>
  <c r="AK67" i="15"/>
  <c r="AK75" i="15"/>
  <c r="AK83" i="15"/>
  <c r="AK91" i="15"/>
  <c r="AK99" i="15"/>
  <c r="AK4" i="15"/>
  <c r="AK12" i="15"/>
  <c r="AK20" i="15"/>
  <c r="AK28" i="15"/>
  <c r="AK36" i="15"/>
  <c r="AK44" i="15"/>
  <c r="AK52" i="15"/>
  <c r="AK60" i="15"/>
  <c r="AK68" i="15"/>
  <c r="AK76" i="15"/>
  <c r="AK84" i="15"/>
  <c r="AK92" i="15"/>
  <c r="AK100" i="15"/>
  <c r="AK5" i="15"/>
  <c r="AK13" i="15"/>
  <c r="AK21" i="15"/>
  <c r="AK29" i="15"/>
  <c r="AK37" i="15"/>
  <c r="AK45" i="15"/>
  <c r="AK53" i="15"/>
  <c r="AK61" i="15"/>
  <c r="AK69" i="15"/>
  <c r="AK77" i="15"/>
  <c r="AK85" i="15"/>
  <c r="AK93" i="15"/>
  <c r="AK101" i="15"/>
  <c r="AK6" i="15"/>
  <c r="AK14" i="15"/>
  <c r="AK22" i="15"/>
  <c r="AK30" i="15"/>
  <c r="AK38" i="15"/>
  <c r="AK46" i="15"/>
  <c r="AK54" i="15"/>
  <c r="AK62" i="15"/>
  <c r="AK70" i="15"/>
  <c r="AK78" i="15"/>
  <c r="AK86" i="15"/>
  <c r="AK94" i="15"/>
  <c r="AK102" i="15"/>
  <c r="AK7" i="15"/>
  <c r="AK15" i="15"/>
  <c r="AK23" i="15"/>
  <c r="AK31" i="15"/>
  <c r="AK39" i="15"/>
  <c r="AK47" i="15"/>
  <c r="AK55" i="15"/>
  <c r="AK63" i="15"/>
  <c r="AK71" i="15"/>
  <c r="AK79" i="15"/>
  <c r="AK87" i="15"/>
  <c r="AK95" i="15"/>
  <c r="AK103" i="15"/>
  <c r="AK8" i="15"/>
  <c r="AK16" i="15"/>
  <c r="AK24" i="15"/>
  <c r="AK32" i="15"/>
  <c r="AK40" i="15"/>
  <c r="AK48" i="15"/>
  <c r="AK56" i="15"/>
  <c r="AK64" i="15"/>
  <c r="AK72" i="15"/>
  <c r="AK80" i="15"/>
  <c r="AK88" i="15"/>
  <c r="AK96" i="15"/>
  <c r="AK9" i="15"/>
  <c r="AK17" i="15"/>
  <c r="AK25" i="15"/>
  <c r="AK33" i="15"/>
  <c r="AK41" i="15"/>
  <c r="AK49" i="15"/>
  <c r="AK57" i="15"/>
  <c r="AK65" i="15"/>
  <c r="AK10" i="15"/>
  <c r="AK73" i="15"/>
  <c r="AK18" i="15"/>
  <c r="AK74" i="15"/>
  <c r="AK26" i="15"/>
  <c r="AK81" i="15"/>
  <c r="AK34" i="15"/>
  <c r="AK82" i="15"/>
  <c r="AK42" i="15"/>
  <c r="AK89" i="15"/>
  <c r="AK50" i="15"/>
  <c r="AK90" i="15"/>
  <c r="AK58" i="15"/>
  <c r="AK97" i="15"/>
  <c r="AK66" i="15"/>
  <c r="AK98" i="15"/>
  <c r="AI3" i="15"/>
  <c r="AI11" i="15"/>
  <c r="AI19" i="15"/>
  <c r="AI27" i="15"/>
  <c r="AI35" i="15"/>
  <c r="AI43" i="15"/>
  <c r="AI51" i="15"/>
  <c r="AI59" i="15"/>
  <c r="AI67" i="15"/>
  <c r="AI75" i="15"/>
  <c r="AI83" i="15"/>
  <c r="AI91" i="15"/>
  <c r="AI99" i="15"/>
  <c r="AI4" i="15"/>
  <c r="AI12" i="15"/>
  <c r="AI20" i="15"/>
  <c r="AI28" i="15"/>
  <c r="AI36" i="15"/>
  <c r="AI44" i="15"/>
  <c r="AI52" i="15"/>
  <c r="AI60" i="15"/>
  <c r="AI68" i="15"/>
  <c r="AI76" i="15"/>
  <c r="AI84" i="15"/>
  <c r="AI92" i="15"/>
  <c r="AI100" i="15"/>
  <c r="AI5" i="15"/>
  <c r="AI13" i="15"/>
  <c r="AI21" i="15"/>
  <c r="AI29" i="15"/>
  <c r="AI37" i="15"/>
  <c r="AI45" i="15"/>
  <c r="AI53" i="15"/>
  <c r="AI61" i="15"/>
  <c r="AI69" i="15"/>
  <c r="AI77" i="15"/>
  <c r="AI85" i="15"/>
  <c r="AI93" i="15"/>
  <c r="AI101" i="15"/>
  <c r="AI6" i="15"/>
  <c r="AI14" i="15"/>
  <c r="AI22" i="15"/>
  <c r="AI30" i="15"/>
  <c r="AI38" i="15"/>
  <c r="AI46" i="15"/>
  <c r="AI54" i="15"/>
  <c r="AI62" i="15"/>
  <c r="AI70" i="15"/>
  <c r="AI78" i="15"/>
  <c r="AI86" i="15"/>
  <c r="AI94" i="15"/>
  <c r="AI102" i="15"/>
  <c r="AI7" i="15"/>
  <c r="AI15" i="15"/>
  <c r="AI23" i="15"/>
  <c r="AI31" i="15"/>
  <c r="AI39" i="15"/>
  <c r="AI47" i="15"/>
  <c r="AI55" i="15"/>
  <c r="AI63" i="15"/>
  <c r="AI71" i="15"/>
  <c r="AI79" i="15"/>
  <c r="AI87" i="15"/>
  <c r="AI95" i="15"/>
  <c r="AI103" i="15"/>
  <c r="AI8" i="15"/>
  <c r="AI16" i="15"/>
  <c r="AI24" i="15"/>
  <c r="AI32" i="15"/>
  <c r="AI40" i="15"/>
  <c r="AI48" i="15"/>
  <c r="AI56" i="15"/>
  <c r="AI64" i="15"/>
  <c r="AI72" i="15"/>
  <c r="AI80" i="15"/>
  <c r="AI88" i="15"/>
  <c r="AI96" i="15"/>
  <c r="AI9" i="15"/>
  <c r="AI17" i="15"/>
  <c r="AI25" i="15"/>
  <c r="AI33" i="15"/>
  <c r="AI41" i="15"/>
  <c r="AI49" i="15"/>
  <c r="AI57" i="15"/>
  <c r="AI65" i="15"/>
  <c r="AI10" i="15"/>
  <c r="AI73" i="15"/>
  <c r="AI18" i="15"/>
  <c r="AI74" i="15"/>
  <c r="AI26" i="15"/>
  <c r="AI81" i="15"/>
  <c r="AI34" i="15"/>
  <c r="AI82" i="15"/>
  <c r="AI42" i="15"/>
  <c r="AI89" i="15"/>
  <c r="AI50" i="15"/>
  <c r="AI90" i="15"/>
  <c r="AI58" i="15"/>
  <c r="AI97" i="15"/>
  <c r="AI66" i="15"/>
  <c r="AI98" i="15"/>
  <c r="AH3" i="15"/>
  <c r="AH11" i="15"/>
  <c r="AH19" i="15"/>
  <c r="AH27" i="15"/>
  <c r="AH35" i="15"/>
  <c r="AH43" i="15"/>
  <c r="AH51" i="15"/>
  <c r="AH59" i="15"/>
  <c r="AH67" i="15"/>
  <c r="AH75" i="15"/>
  <c r="AH83" i="15"/>
  <c r="AH91" i="15"/>
  <c r="AH99" i="15"/>
  <c r="AH4" i="15"/>
  <c r="AH12" i="15"/>
  <c r="AH20" i="15"/>
  <c r="AH28" i="15"/>
  <c r="AH36" i="15"/>
  <c r="AH44" i="15"/>
  <c r="AH52" i="15"/>
  <c r="AH60" i="15"/>
  <c r="AH68" i="15"/>
  <c r="AH76" i="15"/>
  <c r="AH84" i="15"/>
  <c r="AH92" i="15"/>
  <c r="AH100" i="15"/>
  <c r="AH5" i="15"/>
  <c r="AH13" i="15"/>
  <c r="AH21" i="15"/>
  <c r="AH29" i="15"/>
  <c r="AH37" i="15"/>
  <c r="AH45" i="15"/>
  <c r="AH53" i="15"/>
  <c r="AH61" i="15"/>
  <c r="AH69" i="15"/>
  <c r="AH77" i="15"/>
  <c r="AH85" i="15"/>
  <c r="AH93" i="15"/>
  <c r="AH101" i="15"/>
  <c r="AH6" i="15"/>
  <c r="AH14" i="15"/>
  <c r="AH22" i="15"/>
  <c r="AH30" i="15"/>
  <c r="AH38" i="15"/>
  <c r="AH46" i="15"/>
  <c r="AH54" i="15"/>
  <c r="AH62" i="15"/>
  <c r="AH70" i="15"/>
  <c r="AH78" i="15"/>
  <c r="AH86" i="15"/>
  <c r="AH94" i="15"/>
  <c r="AH102" i="15"/>
  <c r="AH7" i="15"/>
  <c r="AH15" i="15"/>
  <c r="AH23" i="15"/>
  <c r="AH31" i="15"/>
  <c r="AH39" i="15"/>
  <c r="AH47" i="15"/>
  <c r="AH55" i="15"/>
  <c r="AH63" i="15"/>
  <c r="AH71" i="15"/>
  <c r="AH79" i="15"/>
  <c r="AH87" i="15"/>
  <c r="AH95" i="15"/>
  <c r="AH103" i="15"/>
  <c r="AH8" i="15"/>
  <c r="AH16" i="15"/>
  <c r="AH24" i="15"/>
  <c r="AH32" i="15"/>
  <c r="AH40" i="15"/>
  <c r="AH48" i="15"/>
  <c r="AH56" i="15"/>
  <c r="AH64" i="15"/>
  <c r="AH72" i="15"/>
  <c r="AH80" i="15"/>
  <c r="AH88" i="15"/>
  <c r="AH96" i="15"/>
  <c r="AH9" i="15"/>
  <c r="AH17" i="15"/>
  <c r="AH25" i="15"/>
  <c r="AH33" i="15"/>
  <c r="AH41" i="15"/>
  <c r="AH49" i="15"/>
  <c r="AH57" i="15"/>
  <c r="AH65" i="15"/>
  <c r="AH10" i="15"/>
  <c r="AH73" i="15"/>
  <c r="AH18" i="15"/>
  <c r="AH74" i="15"/>
  <c r="AH26" i="15"/>
  <c r="AH81" i="15"/>
  <c r="AH34" i="15"/>
  <c r="AH82" i="15"/>
  <c r="AH42" i="15"/>
  <c r="AH89" i="15"/>
  <c r="AH50" i="15"/>
  <c r="AH90" i="15"/>
  <c r="AH58" i="15"/>
  <c r="AH97" i="15"/>
  <c r="AH66" i="15"/>
  <c r="AH98" i="15"/>
  <c r="AE3" i="14"/>
  <c r="AE11" i="14"/>
  <c r="AE19" i="14"/>
  <c r="AE27" i="14"/>
  <c r="AE35" i="14"/>
  <c r="AE43" i="14"/>
  <c r="AE51" i="14"/>
  <c r="AE59" i="14"/>
  <c r="AE67" i="14"/>
  <c r="AE75" i="14"/>
  <c r="AE4" i="14"/>
  <c r="AE12" i="14"/>
  <c r="AE20" i="14"/>
  <c r="AE28" i="14"/>
  <c r="AE36" i="14"/>
  <c r="AE44" i="14"/>
  <c r="AE52" i="14"/>
  <c r="AE60" i="14"/>
  <c r="AE68" i="14"/>
  <c r="AE76" i="14"/>
  <c r="AE5" i="14"/>
  <c r="AE13" i="14"/>
  <c r="AE21" i="14"/>
  <c r="AE29" i="14"/>
  <c r="AE37" i="14"/>
  <c r="AE45" i="14"/>
  <c r="AE53" i="14"/>
  <c r="AE61" i="14"/>
  <c r="AE69" i="14"/>
  <c r="AE77" i="14"/>
  <c r="AE6" i="14"/>
  <c r="AE14" i="14"/>
  <c r="AE22" i="14"/>
  <c r="AE30" i="14"/>
  <c r="AE38" i="14"/>
  <c r="AE46" i="14"/>
  <c r="AE54" i="14"/>
  <c r="AE62" i="14"/>
  <c r="AE70" i="14"/>
  <c r="AE7" i="14"/>
  <c r="AE15" i="14"/>
  <c r="AE23" i="14"/>
  <c r="AE31" i="14"/>
  <c r="AE39" i="14"/>
  <c r="AE47" i="14"/>
  <c r="AE55" i="14"/>
  <c r="AE63" i="14"/>
  <c r="AE71" i="14"/>
  <c r="AE8" i="14"/>
  <c r="AE16" i="14"/>
  <c r="AE24" i="14"/>
  <c r="AE32" i="14"/>
  <c r="AE40" i="14"/>
  <c r="AE48" i="14"/>
  <c r="AE56" i="14"/>
  <c r="AE64" i="14"/>
  <c r="AE72" i="14"/>
  <c r="AE9" i="14"/>
  <c r="AE17" i="14"/>
  <c r="AE25" i="14"/>
  <c r="AE33" i="14"/>
  <c r="AE41" i="14"/>
  <c r="AE49" i="14"/>
  <c r="AE57" i="14"/>
  <c r="AE65" i="14"/>
  <c r="AE73" i="14"/>
  <c r="AE10" i="14"/>
  <c r="AE18" i="14"/>
  <c r="AE26" i="14"/>
  <c r="AE34" i="14"/>
  <c r="AE42" i="14"/>
  <c r="AE50" i="14"/>
  <c r="AE58" i="14"/>
  <c r="AE66" i="14"/>
  <c r="AE74" i="14"/>
  <c r="AC3" i="14"/>
  <c r="AC11" i="14"/>
  <c r="AC19" i="14"/>
  <c r="AC27" i="14"/>
  <c r="AC35" i="14"/>
  <c r="AC43" i="14"/>
  <c r="AC51" i="14"/>
  <c r="AC59" i="14"/>
  <c r="AC67" i="14"/>
  <c r="AC75" i="14"/>
  <c r="AC4" i="14"/>
  <c r="AC12" i="14"/>
  <c r="AC20" i="14"/>
  <c r="AC28" i="14"/>
  <c r="AC36" i="14"/>
  <c r="AC44" i="14"/>
  <c r="AC52" i="14"/>
  <c r="AC60" i="14"/>
  <c r="AC68" i="14"/>
  <c r="AC76" i="14"/>
  <c r="AC5" i="14"/>
  <c r="AC13" i="14"/>
  <c r="AC21" i="14"/>
  <c r="AC29" i="14"/>
  <c r="AC37" i="14"/>
  <c r="AC45" i="14"/>
  <c r="AC53" i="14"/>
  <c r="AC61" i="14"/>
  <c r="AC69" i="14"/>
  <c r="AC77" i="14"/>
  <c r="AC6" i="14"/>
  <c r="AC14" i="14"/>
  <c r="AC22" i="14"/>
  <c r="AC30" i="14"/>
  <c r="AC38" i="14"/>
  <c r="AC46" i="14"/>
  <c r="AC54" i="14"/>
  <c r="AC62" i="14"/>
  <c r="AC70" i="14"/>
  <c r="AC7" i="14"/>
  <c r="AC15" i="14"/>
  <c r="AC23" i="14"/>
  <c r="AC31" i="14"/>
  <c r="AC39" i="14"/>
  <c r="AC47" i="14"/>
  <c r="AC55" i="14"/>
  <c r="AC63" i="14"/>
  <c r="AC71" i="14"/>
  <c r="AC8" i="14"/>
  <c r="AC16" i="14"/>
  <c r="AC24" i="14"/>
  <c r="AC32" i="14"/>
  <c r="AC40" i="14"/>
  <c r="AC48" i="14"/>
  <c r="AC56" i="14"/>
  <c r="AC64" i="14"/>
  <c r="AC72" i="14"/>
  <c r="AC9" i="14"/>
  <c r="AC17" i="14"/>
  <c r="AC25" i="14"/>
  <c r="AC33" i="14"/>
  <c r="AC41" i="14"/>
  <c r="AC49" i="14"/>
  <c r="AC57" i="14"/>
  <c r="AC65" i="14"/>
  <c r="AC73" i="14"/>
  <c r="AC10" i="14"/>
  <c r="AC18" i="14"/>
  <c r="AC26" i="14"/>
  <c r="AC34" i="14"/>
  <c r="AC42" i="14"/>
  <c r="AC50" i="14"/>
  <c r="AC58" i="14"/>
  <c r="AC66" i="14"/>
  <c r="AC74" i="14"/>
  <c r="AB3" i="14"/>
  <c r="AB11" i="14"/>
  <c r="AB19" i="14"/>
  <c r="AB27" i="14"/>
  <c r="AB35" i="14"/>
  <c r="AB43" i="14"/>
  <c r="AB51" i="14"/>
  <c r="AB59" i="14"/>
  <c r="AB67" i="14"/>
  <c r="AB75" i="14"/>
  <c r="AB4" i="14"/>
  <c r="AB12" i="14"/>
  <c r="AB20" i="14"/>
  <c r="AB28" i="14"/>
  <c r="AB36" i="14"/>
  <c r="AB44" i="14"/>
  <c r="AB52" i="14"/>
  <c r="AB60" i="14"/>
  <c r="AB68" i="14"/>
  <c r="AB76" i="14"/>
  <c r="AB5" i="14"/>
  <c r="AB13" i="14"/>
  <c r="AB21" i="14"/>
  <c r="AB29" i="14"/>
  <c r="AB37" i="14"/>
  <c r="AB45" i="14"/>
  <c r="AB53" i="14"/>
  <c r="AB61" i="14"/>
  <c r="AB69" i="14"/>
  <c r="AB77" i="14"/>
  <c r="AB6" i="14"/>
  <c r="AB14" i="14"/>
  <c r="AB22" i="14"/>
  <c r="AB30" i="14"/>
  <c r="AB38" i="14"/>
  <c r="AB46" i="14"/>
  <c r="AB54" i="14"/>
  <c r="AB62" i="14"/>
  <c r="AB70" i="14"/>
  <c r="AB7" i="14"/>
  <c r="AB15" i="14"/>
  <c r="AB23" i="14"/>
  <c r="AB31" i="14"/>
  <c r="AB39" i="14"/>
  <c r="AB47" i="14"/>
  <c r="AB55" i="14"/>
  <c r="AB63" i="14"/>
  <c r="AB71" i="14"/>
  <c r="AB8" i="14"/>
  <c r="AB16" i="14"/>
  <c r="AB24" i="14"/>
  <c r="AB32" i="14"/>
  <c r="AB40" i="14"/>
  <c r="AB48" i="14"/>
  <c r="AB56" i="14"/>
  <c r="AB64" i="14"/>
  <c r="AB72" i="14"/>
  <c r="AB9" i="14"/>
  <c r="AB17" i="14"/>
  <c r="AB25" i="14"/>
  <c r="AB33" i="14"/>
  <c r="AB41" i="14"/>
  <c r="AB49" i="14"/>
  <c r="AB57" i="14"/>
  <c r="AB65" i="14"/>
  <c r="AB73" i="14"/>
  <c r="AB10" i="14"/>
  <c r="AB18" i="14"/>
  <c r="AB26" i="14"/>
  <c r="AB34" i="14"/>
  <c r="AB42" i="14"/>
  <c r="AB50" i="14"/>
  <c r="AB58" i="14"/>
  <c r="AB66" i="14"/>
  <c r="AB74" i="14"/>
  <c r="N17" i="18"/>
  <c r="O17" i="18"/>
  <c r="N14" i="18"/>
  <c r="K16" i="18"/>
  <c r="O14" i="18" s="1"/>
  <c r="M54" i="17"/>
  <c r="N54" i="17"/>
  <c r="O54" i="17"/>
  <c r="M55" i="17"/>
  <c r="N55" i="17"/>
  <c r="O55" i="17"/>
  <c r="M56" i="17"/>
  <c r="N56" i="17"/>
  <c r="O56" i="17"/>
  <c r="M57" i="17"/>
  <c r="N57" i="17"/>
  <c r="O57" i="17"/>
  <c r="M58" i="17"/>
  <c r="M59" i="17"/>
  <c r="M60" i="17"/>
  <c r="M61" i="17"/>
  <c r="M62" i="17"/>
  <c r="M63" i="17"/>
  <c r="M64" i="17"/>
  <c r="M65" i="17"/>
  <c r="M66" i="17"/>
  <c r="M67" i="17"/>
  <c r="N67" i="17"/>
  <c r="O67" i="17"/>
  <c r="M68" i="17"/>
  <c r="M69" i="17"/>
  <c r="N69" i="17"/>
  <c r="O69" i="17"/>
  <c r="M70" i="17"/>
  <c r="N70" i="17"/>
  <c r="O70" i="17"/>
  <c r="M71" i="17"/>
  <c r="M72" i="17"/>
  <c r="N72" i="17"/>
  <c r="O72" i="17"/>
  <c r="M73" i="17"/>
  <c r="N73" i="17"/>
  <c r="O73" i="17"/>
  <c r="M74" i="17"/>
  <c r="N74" i="17"/>
  <c r="O74" i="17"/>
  <c r="M75" i="17"/>
  <c r="N75" i="17"/>
  <c r="O75" i="17"/>
  <c r="M76" i="17"/>
  <c r="M77" i="17"/>
  <c r="N77" i="17"/>
  <c r="O77" i="17"/>
  <c r="M78" i="17"/>
  <c r="N78" i="17"/>
  <c r="O78" i="17"/>
  <c r="M79" i="17"/>
  <c r="N79" i="17"/>
  <c r="O79" i="17"/>
  <c r="M80" i="17"/>
  <c r="N80" i="17"/>
  <c r="O80" i="17"/>
  <c r="M81" i="17"/>
  <c r="M82" i="17"/>
  <c r="N82" i="17"/>
  <c r="O82" i="17"/>
  <c r="M83" i="17"/>
  <c r="N83" i="17"/>
  <c r="O83" i="17"/>
  <c r="M84" i="17"/>
  <c r="N84" i="17"/>
  <c r="O84" i="17"/>
  <c r="M85" i="17"/>
  <c r="N85" i="17"/>
  <c r="O85" i="17"/>
  <c r="M86" i="17"/>
  <c r="M87" i="17"/>
  <c r="N87" i="17"/>
  <c r="O87" i="17"/>
  <c r="M88" i="17"/>
  <c r="M89" i="17"/>
  <c r="M90" i="17"/>
  <c r="G60" i="17"/>
  <c r="H60" i="17"/>
  <c r="V56" i="17"/>
  <c r="P72" i="17"/>
  <c r="V69" i="17"/>
  <c r="V77" i="17"/>
  <c r="P70" i="17"/>
  <c r="U83" i="17"/>
  <c r="U77" i="17"/>
  <c r="Q17" i="18"/>
  <c r="Q57" i="17"/>
  <c r="Q78" i="17"/>
  <c r="U87" i="17"/>
  <c r="U85" i="17"/>
  <c r="P54" i="17"/>
  <c r="Q85" i="17"/>
  <c r="P84" i="17"/>
  <c r="U82" i="17"/>
  <c r="P56" i="17"/>
  <c r="Q83" i="17"/>
  <c r="P83" i="17"/>
  <c r="U70" i="17"/>
  <c r="Q14" i="18"/>
  <c r="U80" i="17"/>
  <c r="Q55" i="17"/>
  <c r="Q67" i="17"/>
  <c r="U56" i="17"/>
  <c r="V80" i="17"/>
  <c r="V78" i="17"/>
  <c r="Q79" i="17"/>
  <c r="U74" i="17"/>
  <c r="P79" i="17"/>
  <c r="U67" i="17"/>
  <c r="P87" i="17"/>
  <c r="V79" i="17"/>
  <c r="V17" i="18"/>
  <c r="P17" i="18"/>
  <c r="V82" i="17"/>
  <c r="U54" i="17"/>
  <c r="Q56" i="17"/>
  <c r="P14" i="18"/>
  <c r="Q87" i="17"/>
  <c r="P77" i="17"/>
  <c r="V75" i="17"/>
  <c r="U17" i="18"/>
  <c r="P57" i="17"/>
  <c r="V83" i="17"/>
  <c r="Q75" i="17"/>
  <c r="V57" i="17"/>
  <c r="U75" i="17"/>
  <c r="V84" i="17"/>
  <c r="Q54" i="17"/>
  <c r="Q84" i="17"/>
  <c r="V14" i="18"/>
  <c r="Q70" i="17"/>
  <c r="Q73" i="17"/>
  <c r="V73" i="17"/>
  <c r="Q80" i="17"/>
  <c r="P73" i="17"/>
  <c r="Q77" i="17"/>
  <c r="U79" i="17"/>
  <c r="Q69" i="17"/>
  <c r="V67" i="17"/>
  <c r="Q82" i="17"/>
  <c r="U69" i="17"/>
  <c r="U14" i="18"/>
  <c r="V72" i="17"/>
  <c r="V85" i="17"/>
  <c r="V74" i="17"/>
  <c r="Q74" i="17"/>
  <c r="Q72" i="17"/>
  <c r="P75" i="17"/>
  <c r="P67" i="17"/>
  <c r="U73" i="17"/>
  <c r="U72" i="17"/>
  <c r="P82" i="17"/>
  <c r="P80" i="17"/>
  <c r="P85" i="17"/>
  <c r="P78" i="17"/>
  <c r="P74" i="17"/>
  <c r="V87" i="17"/>
  <c r="V70" i="17"/>
  <c r="P55" i="17"/>
  <c r="U78" i="17"/>
  <c r="U55" i="17"/>
  <c r="V54" i="17"/>
  <c r="U84" i="17"/>
  <c r="P69" i="17"/>
  <c r="U57" i="17"/>
  <c r="V55" i="17"/>
  <c r="M23" i="16" l="1"/>
  <c r="N23" i="16"/>
  <c r="O23" i="16"/>
  <c r="M24" i="16"/>
  <c r="N24" i="16"/>
  <c r="O24" i="16"/>
  <c r="M25" i="16"/>
  <c r="N25" i="16"/>
  <c r="O25" i="16"/>
  <c r="M26" i="16"/>
  <c r="N26" i="16"/>
  <c r="O26" i="16"/>
  <c r="M27" i="16"/>
  <c r="M28" i="16"/>
  <c r="M29" i="16"/>
  <c r="M30" i="16"/>
  <c r="M31" i="16"/>
  <c r="M32" i="16"/>
  <c r="M33" i="16"/>
  <c r="M34" i="16"/>
  <c r="M35" i="16"/>
  <c r="M36" i="16"/>
  <c r="O36" i="16"/>
  <c r="M37" i="16"/>
  <c r="M38" i="16"/>
  <c r="O38" i="16"/>
  <c r="M39" i="16"/>
  <c r="O39" i="16"/>
  <c r="M40" i="16"/>
  <c r="M41" i="16"/>
  <c r="O41" i="16"/>
  <c r="M42" i="16"/>
  <c r="O42" i="16"/>
  <c r="M43" i="16"/>
  <c r="O43" i="16"/>
  <c r="M44" i="16"/>
  <c r="O44" i="16"/>
  <c r="M45" i="16"/>
  <c r="M46" i="16"/>
  <c r="O46" i="16"/>
  <c r="M47" i="16"/>
  <c r="O47" i="16"/>
  <c r="M48" i="16"/>
  <c r="O48" i="16"/>
  <c r="M49" i="16"/>
  <c r="O49" i="16"/>
  <c r="M50" i="16"/>
  <c r="M51" i="16"/>
  <c r="O51" i="16"/>
  <c r="M52" i="16"/>
  <c r="O52" i="16"/>
  <c r="M53" i="16"/>
  <c r="O53" i="16"/>
  <c r="M54" i="16"/>
  <c r="O54" i="16"/>
  <c r="M55" i="16"/>
  <c r="M56" i="16"/>
  <c r="O56" i="16"/>
  <c r="M57" i="16"/>
  <c r="M58" i="16"/>
  <c r="M59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P26" i="16"/>
  <c r="V24" i="16"/>
  <c r="P25" i="16"/>
  <c r="U23" i="16"/>
  <c r="Q26" i="16"/>
  <c r="Q24" i="16"/>
  <c r="P24" i="16"/>
  <c r="V26" i="16"/>
  <c r="Q25" i="16"/>
  <c r="V25" i="16"/>
  <c r="P23" i="16"/>
  <c r="U26" i="16"/>
  <c r="U25" i="16"/>
  <c r="V23" i="16"/>
  <c r="Q23" i="16"/>
  <c r="U24" i="16"/>
  <c r="G27" i="16" l="1"/>
  <c r="H27" i="16"/>
  <c r="C7" i="16"/>
  <c r="G7" i="16"/>
  <c r="H7" i="16"/>
  <c r="C8" i="16"/>
  <c r="G8" i="16"/>
  <c r="H8" i="16"/>
  <c r="C9" i="16"/>
  <c r="H9" i="16" s="1"/>
  <c r="G9" i="16"/>
  <c r="C10" i="16"/>
  <c r="H10" i="16" s="1"/>
  <c r="G10" i="16"/>
  <c r="C11" i="16"/>
  <c r="G11" i="16"/>
  <c r="H11" i="16"/>
  <c r="C12" i="16"/>
  <c r="H12" i="16" s="1"/>
  <c r="G12" i="16"/>
  <c r="C13" i="16"/>
  <c r="H13" i="16" s="1"/>
  <c r="G13" i="16"/>
  <c r="C14" i="16"/>
  <c r="G14" i="16"/>
  <c r="H14" i="16"/>
  <c r="C15" i="16"/>
  <c r="H15" i="16" s="1"/>
  <c r="G15" i="16"/>
  <c r="C16" i="16"/>
  <c r="G16" i="16"/>
  <c r="H16" i="16"/>
  <c r="C17" i="16"/>
  <c r="G17" i="16"/>
  <c r="H17" i="16"/>
  <c r="C18" i="16"/>
  <c r="H18" i="16" s="1"/>
  <c r="G18" i="16"/>
  <c r="C19" i="16"/>
  <c r="G19" i="16"/>
  <c r="H19" i="16"/>
  <c r="C20" i="16"/>
  <c r="G20" i="16"/>
  <c r="H20" i="16"/>
  <c r="C21" i="16"/>
  <c r="H21" i="16" s="1"/>
  <c r="G21" i="16"/>
  <c r="C22" i="16"/>
  <c r="G22" i="16"/>
  <c r="H22" i="16"/>
  <c r="C23" i="16"/>
  <c r="G23" i="16"/>
  <c r="H23" i="16"/>
  <c r="J22" i="16"/>
  <c r="J20" i="16"/>
  <c r="J17" i="16"/>
  <c r="J12" i="16"/>
  <c r="J11" i="16"/>
  <c r="J18" i="16"/>
  <c r="J23" i="16"/>
  <c r="J14" i="16"/>
  <c r="J16" i="16"/>
  <c r="J15" i="16"/>
  <c r="J13" i="16"/>
  <c r="J10" i="16"/>
  <c r="J21" i="16"/>
  <c r="J9" i="16"/>
  <c r="J8" i="16"/>
  <c r="J19" i="16"/>
  <c r="J7" i="16"/>
  <c r="N20" i="16" l="1"/>
  <c r="N17" i="16"/>
  <c r="N9" i="16"/>
  <c r="N15" i="16"/>
  <c r="N18" i="16"/>
  <c r="N21" i="16"/>
  <c r="N19" i="16"/>
  <c r="N11" i="16"/>
  <c r="N12" i="16"/>
  <c r="N7" i="16"/>
  <c r="N10" i="16"/>
  <c r="N13" i="16"/>
  <c r="N5" i="16"/>
  <c r="N16" i="16"/>
  <c r="N8" i="16"/>
  <c r="N14" i="16"/>
  <c r="N6" i="16"/>
  <c r="K22" i="16"/>
  <c r="O20" i="16" s="1"/>
  <c r="K19" i="16"/>
  <c r="O17" i="16" s="1"/>
  <c r="K11" i="16"/>
  <c r="O9" i="16" s="1"/>
  <c r="K17" i="16"/>
  <c r="O15" i="16" s="1"/>
  <c r="K20" i="16"/>
  <c r="O18" i="16" s="1"/>
  <c r="K23" i="16"/>
  <c r="O21" i="16" s="1"/>
  <c r="K21" i="16"/>
  <c r="O19" i="16" s="1"/>
  <c r="K13" i="16"/>
  <c r="O11" i="16" s="1"/>
  <c r="K14" i="16"/>
  <c r="O12" i="16" s="1"/>
  <c r="K9" i="16"/>
  <c r="O7" i="16" s="1"/>
  <c r="K12" i="16"/>
  <c r="O10" i="16" s="1"/>
  <c r="K15" i="16"/>
  <c r="O13" i="16" s="1"/>
  <c r="K7" i="16"/>
  <c r="O5" i="16" s="1"/>
  <c r="K18" i="16"/>
  <c r="O16" i="16" s="1"/>
  <c r="K10" i="16"/>
  <c r="O8" i="16" s="1"/>
  <c r="K16" i="16"/>
  <c r="O14" i="16" s="1"/>
  <c r="K8" i="16"/>
  <c r="O6" i="16" s="1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G73" i="15"/>
  <c r="H73" i="15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D49" i="14"/>
  <c r="E49" i="14"/>
  <c r="D50" i="14"/>
  <c r="E50" i="14"/>
  <c r="D51" i="14"/>
  <c r="E51" i="14"/>
  <c r="D52" i="14"/>
  <c r="E52" i="14"/>
  <c r="D53" i="14"/>
  <c r="E53" i="14"/>
  <c r="D54" i="14"/>
  <c r="E54" i="14"/>
  <c r="D55" i="14"/>
  <c r="E55" i="14"/>
  <c r="D56" i="14"/>
  <c r="E56" i="14"/>
  <c r="D57" i="14"/>
  <c r="E57" i="14"/>
  <c r="D58" i="14"/>
  <c r="E58" i="14"/>
  <c r="D59" i="14"/>
  <c r="E59" i="14"/>
  <c r="D60" i="14"/>
  <c r="E60" i="14"/>
  <c r="D61" i="14"/>
  <c r="E61" i="14"/>
  <c r="D62" i="14"/>
  <c r="E62" i="14"/>
  <c r="D63" i="14"/>
  <c r="E63" i="14"/>
  <c r="U21" i="16"/>
  <c r="G48" i="14"/>
  <c r="V10" i="16"/>
  <c r="G29" i="14"/>
  <c r="Q8" i="16"/>
  <c r="Q13" i="16"/>
  <c r="Q7" i="16"/>
  <c r="Q12" i="16"/>
  <c r="P12" i="16"/>
  <c r="P19" i="16"/>
  <c r="V7" i="16"/>
  <c r="Q6" i="16"/>
  <c r="G51" i="14"/>
  <c r="V17" i="16"/>
  <c r="V18" i="16"/>
  <c r="G52" i="14"/>
  <c r="G41" i="14"/>
  <c r="G72" i="14"/>
  <c r="P14" i="16"/>
  <c r="V5" i="16"/>
  <c r="G79" i="14"/>
  <c r="P16" i="16"/>
  <c r="Q19" i="16"/>
  <c r="Q16" i="16"/>
  <c r="Q5" i="16"/>
  <c r="V14" i="16"/>
  <c r="P8" i="16"/>
  <c r="G80" i="14"/>
  <c r="U12" i="16"/>
  <c r="G77" i="14"/>
  <c r="V16" i="16"/>
  <c r="G19" i="14"/>
  <c r="V11" i="16"/>
  <c r="G16" i="14"/>
  <c r="P5" i="16"/>
  <c r="G69" i="14"/>
  <c r="V12" i="16"/>
  <c r="Q17" i="16"/>
  <c r="G66" i="14"/>
  <c r="G75" i="14"/>
  <c r="G32" i="14"/>
  <c r="G53" i="14"/>
  <c r="G40" i="14"/>
  <c r="G74" i="14"/>
  <c r="Q9" i="16"/>
  <c r="U11" i="16"/>
  <c r="G76" i="14"/>
  <c r="G30" i="14"/>
  <c r="G21" i="14"/>
  <c r="G49" i="14"/>
  <c r="G37" i="14"/>
  <c r="V20" i="16"/>
  <c r="G73" i="14"/>
  <c r="G54" i="14"/>
  <c r="G58" i="14"/>
  <c r="G35" i="14"/>
  <c r="P20" i="16"/>
  <c r="V15" i="16"/>
  <c r="G47" i="14"/>
  <c r="U17" i="16"/>
  <c r="G12" i="14"/>
  <c r="V19" i="16"/>
  <c r="G68" i="14"/>
  <c r="V13" i="16"/>
  <c r="G27" i="14"/>
  <c r="G34" i="14"/>
  <c r="U16" i="16"/>
  <c r="P13" i="16"/>
  <c r="P9" i="16"/>
  <c r="P15" i="16"/>
  <c r="G33" i="14"/>
  <c r="U13" i="16"/>
  <c r="P10" i="16"/>
  <c r="P6" i="16"/>
  <c r="Q18" i="16"/>
  <c r="U14" i="16"/>
  <c r="G57" i="14"/>
  <c r="G20" i="14"/>
  <c r="G63" i="14"/>
  <c r="G23" i="14"/>
  <c r="P11" i="16"/>
  <c r="Q15" i="16"/>
  <c r="G14" i="14"/>
  <c r="U10" i="16"/>
  <c r="G22" i="14"/>
  <c r="K73" i="15"/>
  <c r="G59" i="14"/>
  <c r="G26" i="14"/>
  <c r="Q21" i="16"/>
  <c r="Q11" i="16"/>
  <c r="V8" i="16"/>
  <c r="G24" i="14"/>
  <c r="G62" i="14"/>
  <c r="G25" i="14"/>
  <c r="U8" i="16"/>
  <c r="G55" i="14"/>
  <c r="G15" i="14"/>
  <c r="G64" i="14"/>
  <c r="G9" i="14"/>
  <c r="G28" i="14"/>
  <c r="U19" i="16"/>
  <c r="U20" i="16"/>
  <c r="U6" i="16"/>
  <c r="G36" i="14"/>
  <c r="G70" i="14"/>
  <c r="G13" i="14"/>
  <c r="V9" i="16"/>
  <c r="Q14" i="16"/>
  <c r="V6" i="16"/>
  <c r="G42" i="14"/>
  <c r="G61" i="14"/>
  <c r="G60" i="14"/>
  <c r="G81" i="14"/>
  <c r="G8" i="14"/>
  <c r="P7" i="16"/>
  <c r="G31" i="14"/>
  <c r="G67" i="14"/>
  <c r="Q20" i="16"/>
  <c r="G65" i="14"/>
  <c r="J73" i="15"/>
  <c r="G56" i="14"/>
  <c r="G10" i="14"/>
  <c r="G18" i="14"/>
  <c r="P18" i="16"/>
  <c r="G39" i="14"/>
  <c r="G11" i="14"/>
  <c r="G17" i="14"/>
  <c r="G38" i="14"/>
  <c r="G45" i="14"/>
  <c r="U15" i="16"/>
  <c r="Q10" i="16"/>
  <c r="G71" i="14"/>
  <c r="P17" i="16"/>
  <c r="G78" i="14"/>
  <c r="V21" i="16"/>
  <c r="U9" i="16"/>
  <c r="U18" i="16"/>
  <c r="U5" i="16"/>
  <c r="U7" i="16"/>
  <c r="G46" i="14"/>
  <c r="G50" i="14"/>
  <c r="P21" i="16"/>
  <c r="O67" i="15" l="1"/>
  <c r="N67" i="15"/>
  <c r="J53" i="14"/>
  <c r="J54" i="14"/>
  <c r="J47" i="14"/>
  <c r="J56" i="14"/>
  <c r="J49" i="14"/>
  <c r="J42" i="14"/>
  <c r="J58" i="14"/>
  <c r="J43" i="14"/>
  <c r="J51" i="14"/>
  <c r="J59" i="14"/>
  <c r="J45" i="14"/>
  <c r="J61" i="14"/>
  <c r="J46" i="14"/>
  <c r="J55" i="14"/>
  <c r="J48" i="14"/>
  <c r="J57" i="14"/>
  <c r="J50" i="14"/>
  <c r="J44" i="14"/>
  <c r="J52" i="14"/>
  <c r="J60" i="14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G33" i="19"/>
  <c r="G34" i="19"/>
  <c r="G35" i="19"/>
  <c r="G36" i="19"/>
  <c r="G37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P56" i="14"/>
  <c r="Q59" i="14"/>
  <c r="K53" i="14"/>
  <c r="P58" i="14"/>
  <c r="K49" i="14"/>
  <c r="L61" i="14"/>
  <c r="Q46" i="14"/>
  <c r="V67" i="15"/>
  <c r="Q51" i="14"/>
  <c r="Q55" i="14"/>
  <c r="P60" i="14"/>
  <c r="Q47" i="14"/>
  <c r="P50" i="14"/>
  <c r="Q43" i="14"/>
  <c r="L58" i="14"/>
  <c r="P49" i="14"/>
  <c r="L55" i="14"/>
  <c r="L54" i="14"/>
  <c r="Q45" i="14"/>
  <c r="L57" i="14"/>
  <c r="L52" i="14"/>
  <c r="P59" i="14"/>
  <c r="L53" i="14"/>
  <c r="L43" i="14"/>
  <c r="K58" i="14"/>
  <c r="Q57" i="14"/>
  <c r="Q44" i="14"/>
  <c r="K60" i="14"/>
  <c r="Q67" i="15"/>
  <c r="K55" i="14"/>
  <c r="Q61" i="14"/>
  <c r="P47" i="14"/>
  <c r="L50" i="14"/>
  <c r="K43" i="14"/>
  <c r="P51" i="14"/>
  <c r="Q56" i="14"/>
  <c r="P45" i="14"/>
  <c r="K51" i="14"/>
  <c r="Q49" i="14"/>
  <c r="K52" i="14"/>
  <c r="K50" i="14"/>
  <c r="K44" i="14"/>
  <c r="K46" i="14"/>
  <c r="L60" i="14"/>
  <c r="K54" i="14"/>
  <c r="L42" i="14"/>
  <c r="K61" i="14"/>
  <c r="L47" i="14"/>
  <c r="Q54" i="14"/>
  <c r="Q48" i="14"/>
  <c r="P55" i="14"/>
  <c r="P44" i="14"/>
  <c r="Q58" i="14"/>
  <c r="Q52" i="14"/>
  <c r="L44" i="14"/>
  <c r="P42" i="14"/>
  <c r="K57" i="14"/>
  <c r="Q50" i="14"/>
  <c r="P43" i="14"/>
  <c r="P61" i="14"/>
  <c r="K56" i="14"/>
  <c r="Q42" i="14"/>
  <c r="L46" i="14"/>
  <c r="L51" i="14"/>
  <c r="P53" i="14"/>
  <c r="L48" i="14"/>
  <c r="P48" i="14"/>
  <c r="L59" i="14"/>
  <c r="U67" i="15"/>
  <c r="P67" i="15"/>
  <c r="P57" i="14"/>
  <c r="K59" i="14"/>
  <c r="L56" i="14"/>
  <c r="P54" i="14"/>
  <c r="Q53" i="14"/>
  <c r="L49" i="14"/>
  <c r="K47" i="14"/>
  <c r="P46" i="14"/>
  <c r="K45" i="14"/>
  <c r="L45" i="14"/>
  <c r="K42" i="14"/>
  <c r="P52" i="14"/>
  <c r="K48" i="14"/>
  <c r="Q60" i="14"/>
  <c r="M17" i="15" l="1"/>
  <c r="M18" i="15"/>
  <c r="M19" i="15"/>
  <c r="M20" i="15"/>
  <c r="M21" i="15"/>
  <c r="M22" i="15"/>
  <c r="M23" i="15"/>
  <c r="M24" i="15"/>
  <c r="M25" i="15"/>
  <c r="M26" i="15"/>
  <c r="M27" i="15"/>
  <c r="M15" i="15"/>
  <c r="M16" i="15"/>
  <c r="G26" i="15"/>
  <c r="G27" i="15"/>
  <c r="G28" i="15"/>
  <c r="G29" i="15"/>
  <c r="G17" i="15"/>
  <c r="G18" i="15"/>
  <c r="G19" i="15"/>
  <c r="G20" i="15"/>
  <c r="G21" i="15"/>
  <c r="G22" i="15"/>
  <c r="G23" i="15"/>
  <c r="G24" i="15"/>
  <c r="G25" i="15"/>
  <c r="D92" i="1" l="1"/>
  <c r="C100" i="1"/>
  <c r="L36" i="19" l="1"/>
  <c r="L12" i="19"/>
  <c r="L4" i="19"/>
  <c r="L5" i="19"/>
  <c r="L6" i="19"/>
  <c r="L7" i="19"/>
  <c r="L8" i="19"/>
  <c r="L9" i="19"/>
  <c r="L10" i="19"/>
  <c r="L11" i="19"/>
  <c r="L3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40" i="19"/>
  <c r="G15" i="19"/>
  <c r="G14" i="19"/>
  <c r="H5" i="19"/>
  <c r="H4" i="19"/>
  <c r="H6" i="19"/>
  <c r="H7" i="19"/>
  <c r="H8" i="19"/>
  <c r="H9" i="19"/>
  <c r="H10" i="19"/>
  <c r="H11" i="19"/>
  <c r="H3" i="19"/>
  <c r="G5" i="19"/>
  <c r="G6" i="19"/>
  <c r="G7" i="19"/>
  <c r="G8" i="19"/>
  <c r="G11" i="19"/>
  <c r="V1" i="19"/>
  <c r="J5" i="19"/>
  <c r="G9" i="19"/>
  <c r="G4" i="19"/>
  <c r="G10" i="19"/>
  <c r="G3" i="19"/>
  <c r="J46" i="19"/>
  <c r="M42" i="19" l="1"/>
  <c r="M63" i="19"/>
  <c r="M39" i="19"/>
  <c r="M62" i="19"/>
  <c r="M38" i="19"/>
  <c r="M53" i="19"/>
  <c r="M60" i="19"/>
  <c r="M55" i="19"/>
  <c r="M70" i="19"/>
  <c r="M46" i="19"/>
  <c r="M69" i="19"/>
  <c r="M45" i="19"/>
  <c r="M68" i="19"/>
  <c r="M44" i="19"/>
  <c r="M59" i="19"/>
  <c r="M43" i="19"/>
  <c r="M66" i="19"/>
  <c r="M50" i="19"/>
  <c r="M49" i="19"/>
  <c r="M71" i="19"/>
  <c r="M47" i="19"/>
  <c r="M54" i="19"/>
  <c r="M61" i="19"/>
  <c r="M37" i="19"/>
  <c r="M52" i="19"/>
  <c r="M67" i="19"/>
  <c r="M51" i="19"/>
  <c r="M58" i="19"/>
  <c r="M65" i="19"/>
  <c r="M57" i="19"/>
  <c r="M41" i="19"/>
  <c r="M72" i="19"/>
  <c r="M64" i="19"/>
  <c r="M56" i="19"/>
  <c r="M48" i="19"/>
  <c r="M40" i="19"/>
  <c r="M10" i="19"/>
  <c r="M9" i="19"/>
  <c r="M8" i="19"/>
  <c r="M7" i="19"/>
  <c r="M36" i="19"/>
  <c r="M6" i="19"/>
  <c r="M11" i="19"/>
  <c r="M5" i="19"/>
  <c r="H55" i="1"/>
  <c r="H25" i="1"/>
  <c r="H85" i="1" l="1"/>
  <c r="I77" i="1"/>
  <c r="C85" i="1"/>
  <c r="D77" i="1"/>
  <c r="M16" i="18"/>
  <c r="O46" i="19"/>
  <c r="O47" i="19"/>
  <c r="N7" i="19"/>
  <c r="N39" i="19"/>
  <c r="N54" i="19"/>
  <c r="O11" i="19"/>
  <c r="T62" i="19"/>
  <c r="T41" i="19"/>
  <c r="S52" i="19"/>
  <c r="S68" i="19"/>
  <c r="T5" i="19"/>
  <c r="O68" i="19"/>
  <c r="N50" i="19"/>
  <c r="O6" i="19"/>
  <c r="T53" i="19"/>
  <c r="S39" i="19"/>
  <c r="O50" i="19"/>
  <c r="N70" i="19"/>
  <c r="N43" i="19"/>
  <c r="T47" i="19"/>
  <c r="S67" i="19"/>
  <c r="J4" i="19"/>
  <c r="O59" i="19"/>
  <c r="T10" i="19"/>
  <c r="O55" i="19"/>
  <c r="O10" i="19"/>
  <c r="S62" i="19"/>
  <c r="N6" i="19"/>
  <c r="N5" i="19"/>
  <c r="N68" i="19"/>
  <c r="S54" i="19"/>
  <c r="O58" i="19"/>
  <c r="O7" i="19"/>
  <c r="J3" i="19"/>
  <c r="T45" i="19"/>
  <c r="O9" i="19"/>
  <c r="N11" i="19"/>
  <c r="N10" i="19"/>
  <c r="N53" i="19"/>
  <c r="T59" i="19"/>
  <c r="T6" i="19"/>
  <c r="N72" i="19"/>
  <c r="S46" i="19"/>
  <c r="N59" i="19"/>
  <c r="S60" i="19"/>
  <c r="O67" i="19"/>
  <c r="O53" i="19"/>
  <c r="O36" i="19"/>
  <c r="N49" i="19"/>
  <c r="N60" i="19"/>
  <c r="T70" i="19"/>
  <c r="T71" i="19"/>
  <c r="T43" i="19"/>
  <c r="S63" i="19"/>
  <c r="S65" i="19"/>
  <c r="O70" i="19"/>
  <c r="O44" i="19"/>
  <c r="N69" i="19"/>
  <c r="O5" i="19"/>
  <c r="T60" i="19"/>
  <c r="S48" i="19"/>
  <c r="O62" i="19"/>
  <c r="N63" i="19"/>
  <c r="T9" i="19"/>
  <c r="T54" i="19"/>
  <c r="S49" i="19"/>
  <c r="S61" i="19"/>
  <c r="O39" i="19"/>
  <c r="O54" i="19"/>
  <c r="T11" i="19"/>
  <c r="N48" i="19"/>
  <c r="N61" i="19"/>
  <c r="T52" i="19"/>
  <c r="T40" i="19"/>
  <c r="T72" i="19"/>
  <c r="S50" i="19"/>
  <c r="S44" i="19"/>
  <c r="O52" i="19"/>
  <c r="O57" i="19"/>
  <c r="N62" i="19"/>
  <c r="T66" i="19"/>
  <c r="T55" i="19"/>
  <c r="S58" i="19"/>
  <c r="O40" i="19"/>
  <c r="N56" i="19"/>
  <c r="N8" i="19"/>
  <c r="T61" i="19"/>
  <c r="S45" i="19"/>
  <c r="S55" i="19"/>
  <c r="O49" i="19"/>
  <c r="O60" i="19"/>
  <c r="N42" i="19"/>
  <c r="N45" i="19"/>
  <c r="N55" i="19"/>
  <c r="T63" i="19"/>
  <c r="T68" i="19"/>
  <c r="N9" i="19"/>
  <c r="S69" i="19"/>
  <c r="S57" i="19"/>
  <c r="O63" i="19"/>
  <c r="O41" i="19"/>
  <c r="N40" i="19"/>
  <c r="T64" i="19"/>
  <c r="S10" i="19"/>
  <c r="S47" i="19"/>
  <c r="O65" i="19"/>
  <c r="N51" i="19"/>
  <c r="T42" i="19"/>
  <c r="T37" i="19"/>
  <c r="S38" i="19"/>
  <c r="S37" i="19"/>
  <c r="O61" i="19"/>
  <c r="N66" i="19"/>
  <c r="N58" i="19"/>
  <c r="N37" i="19"/>
  <c r="T50" i="19"/>
  <c r="T65" i="19"/>
  <c r="S6" i="19"/>
  <c r="S51" i="19"/>
  <c r="O56" i="19"/>
  <c r="O72" i="19"/>
  <c r="T67" i="19"/>
  <c r="S56" i="19"/>
  <c r="T46" i="19"/>
  <c r="T7" i="19"/>
  <c r="O42" i="19"/>
  <c r="N64" i="19"/>
  <c r="T56" i="19"/>
  <c r="T8" i="19"/>
  <c r="O69" i="19"/>
  <c r="T49" i="19"/>
  <c r="O43" i="19"/>
  <c r="S11" i="19"/>
  <c r="O66" i="19"/>
  <c r="N46" i="19"/>
  <c r="T69" i="19"/>
  <c r="S71" i="19"/>
  <c r="O51" i="19"/>
  <c r="N41" i="19"/>
  <c r="S9" i="19"/>
  <c r="T48" i="19"/>
  <c r="S36" i="19"/>
  <c r="O38" i="19"/>
  <c r="T36" i="19"/>
  <c r="S70" i="19"/>
  <c r="S40" i="19"/>
  <c r="N52" i="19"/>
  <c r="T38" i="19"/>
  <c r="S8" i="19"/>
  <c r="S64" i="19"/>
  <c r="O48" i="19"/>
  <c r="S41" i="19"/>
  <c r="N65" i="19"/>
  <c r="N36" i="19"/>
  <c r="N71" i="19"/>
  <c r="S53" i="19"/>
  <c r="O45" i="19"/>
  <c r="N38" i="19"/>
  <c r="T44" i="19"/>
  <c r="S43" i="19"/>
  <c r="N57" i="19"/>
  <c r="S59" i="19"/>
  <c r="T39" i="19"/>
  <c r="S7" i="19"/>
  <c r="O37" i="19"/>
  <c r="N47" i="19"/>
  <c r="T57" i="19"/>
  <c r="S72" i="19"/>
  <c r="S5" i="19"/>
  <c r="S66" i="19"/>
  <c r="N44" i="19"/>
  <c r="S42" i="19"/>
  <c r="O64" i="19"/>
  <c r="N67" i="19"/>
  <c r="T51" i="19"/>
  <c r="O71" i="19"/>
  <c r="O8" i="19"/>
  <c r="T58" i="19"/>
  <c r="M4" i="19" l="1"/>
  <c r="M3" i="19"/>
  <c r="H57" i="18"/>
  <c r="H56" i="18"/>
  <c r="H55" i="18"/>
  <c r="H54" i="18"/>
  <c r="H53" i="18"/>
  <c r="H52" i="18"/>
  <c r="H51" i="18"/>
  <c r="H50" i="18"/>
  <c r="H49" i="18"/>
  <c r="H48" i="18"/>
  <c r="H47" i="18"/>
  <c r="H46" i="18"/>
  <c r="H45" i="18"/>
  <c r="H44" i="18"/>
  <c r="H43" i="18"/>
  <c r="H42" i="18"/>
  <c r="H41" i="18"/>
  <c r="H40" i="18"/>
  <c r="H39" i="18"/>
  <c r="H38" i="18"/>
  <c r="H37" i="18"/>
  <c r="H36" i="18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0" i="18"/>
  <c r="S4" i="19"/>
  <c r="O4" i="19"/>
  <c r="N4" i="19"/>
  <c r="O3" i="19"/>
  <c r="N3" i="19"/>
  <c r="S3" i="19"/>
  <c r="T3" i="19"/>
  <c r="T4" i="19"/>
  <c r="H3" i="18" l="1"/>
  <c r="H15" i="17"/>
  <c r="H14" i="17"/>
  <c r="H13" i="17"/>
  <c r="H12" i="17"/>
  <c r="H11" i="17"/>
  <c r="H10" i="17"/>
  <c r="H9" i="17"/>
  <c r="H8" i="17"/>
  <c r="H7" i="17"/>
  <c r="H6" i="17"/>
  <c r="H16" i="17"/>
  <c r="I62" i="1" l="1"/>
  <c r="H70" i="1"/>
  <c r="C70" i="1"/>
  <c r="D62" i="1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K19" i="17" l="1"/>
  <c r="O15" i="17" s="1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59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3" i="17"/>
  <c r="I47" i="1"/>
  <c r="C55" i="1"/>
  <c r="O22" i="16" l="1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6" i="16"/>
  <c r="H3" i="16"/>
  <c r="D47" i="1"/>
  <c r="I32" i="1"/>
  <c r="D32" i="1"/>
  <c r="H40" i="1"/>
  <c r="C40" i="1"/>
  <c r="O33" i="15"/>
  <c r="O34" i="15"/>
  <c r="O35" i="15"/>
  <c r="O30" i="15"/>
  <c r="O31" i="15"/>
  <c r="O32" i="15"/>
  <c r="O36" i="15"/>
  <c r="O38" i="15"/>
  <c r="O39" i="15"/>
  <c r="O40" i="15"/>
  <c r="O41" i="15"/>
  <c r="O42" i="15"/>
  <c r="O43" i="15"/>
  <c r="O44" i="15"/>
  <c r="O46" i="15"/>
  <c r="O47" i="15"/>
  <c r="O48" i="15"/>
  <c r="O49" i="15"/>
  <c r="O50" i="15"/>
  <c r="O51" i="15"/>
  <c r="O52" i="15"/>
  <c r="O54" i="15"/>
  <c r="O55" i="15"/>
  <c r="O56" i="15"/>
  <c r="O57" i="15"/>
  <c r="O58" i="15"/>
  <c r="O59" i="15"/>
  <c r="O60" i="15"/>
  <c r="O62" i="15"/>
  <c r="O63" i="15"/>
  <c r="O64" i="15"/>
  <c r="O65" i="15"/>
  <c r="K32" i="15"/>
  <c r="O28" i="15"/>
  <c r="O29" i="15"/>
  <c r="O37" i="15"/>
  <c r="O45" i="15"/>
  <c r="O53" i="15"/>
  <c r="O61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2" i="15"/>
  <c r="E81" i="14"/>
  <c r="E80" i="14"/>
  <c r="E79" i="14"/>
  <c r="E78" i="14"/>
  <c r="E77" i="14"/>
  <c r="E76" i="14"/>
  <c r="E75" i="14"/>
  <c r="E74" i="14"/>
  <c r="E73" i="14"/>
  <c r="E72" i="14"/>
  <c r="E71" i="14"/>
  <c r="E70" i="14"/>
  <c r="E69" i="14"/>
  <c r="E68" i="14"/>
  <c r="E67" i="14"/>
  <c r="E66" i="14"/>
  <c r="E65" i="14"/>
  <c r="E64" i="14"/>
  <c r="E48" i="14"/>
  <c r="E47" i="14"/>
  <c r="E46" i="14"/>
  <c r="E45" i="14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G72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H3" i="15"/>
  <c r="J90" i="15"/>
  <c r="J103" i="15"/>
  <c r="K109" i="15"/>
  <c r="K90" i="15"/>
  <c r="J74" i="15"/>
  <c r="K104" i="15"/>
  <c r="J77" i="15"/>
  <c r="J99" i="15"/>
  <c r="K101" i="15"/>
  <c r="J78" i="15"/>
  <c r="K84" i="15"/>
  <c r="K89" i="15"/>
  <c r="J88" i="15"/>
  <c r="C6" i="15"/>
  <c r="K108" i="15"/>
  <c r="K96" i="15"/>
  <c r="K74" i="15"/>
  <c r="K86" i="15"/>
  <c r="J85" i="15"/>
  <c r="K85" i="15"/>
  <c r="J87" i="15"/>
  <c r="K91" i="15"/>
  <c r="J83" i="15"/>
  <c r="K82" i="15"/>
  <c r="K95" i="15"/>
  <c r="J100" i="15"/>
  <c r="J97" i="15"/>
  <c r="K88" i="15"/>
  <c r="K72" i="15"/>
  <c r="K92" i="15"/>
  <c r="J98" i="15"/>
  <c r="J81" i="15"/>
  <c r="K100" i="15"/>
  <c r="K102" i="15"/>
  <c r="K81" i="15"/>
  <c r="K97" i="15"/>
  <c r="K105" i="15"/>
  <c r="J82" i="15"/>
  <c r="J106" i="15"/>
  <c r="K98" i="15"/>
  <c r="J84" i="15"/>
  <c r="K99" i="15"/>
  <c r="K78" i="15"/>
  <c r="J108" i="15"/>
  <c r="J79" i="15"/>
  <c r="J96" i="15"/>
  <c r="K106" i="15"/>
  <c r="K76" i="15"/>
  <c r="J76" i="15"/>
  <c r="J91" i="15"/>
  <c r="K107" i="15"/>
  <c r="K75" i="15"/>
  <c r="K87" i="15"/>
  <c r="K77" i="15"/>
  <c r="K83" i="15"/>
  <c r="J107" i="15"/>
  <c r="J80" i="15"/>
  <c r="K80" i="15"/>
  <c r="J75" i="15"/>
  <c r="J89" i="15"/>
  <c r="K93" i="15"/>
  <c r="J95" i="15"/>
  <c r="K79" i="15"/>
  <c r="J92" i="15"/>
  <c r="J72" i="15"/>
  <c r="K94" i="15"/>
  <c r="J104" i="15"/>
  <c r="J109" i="15"/>
  <c r="K103" i="15"/>
  <c r="J102" i="15"/>
  <c r="J105" i="15"/>
  <c r="J101" i="15"/>
  <c r="J93" i="15"/>
  <c r="J94" i="15"/>
  <c r="J86" i="15"/>
  <c r="N73" i="15" l="1"/>
  <c r="O73" i="15"/>
  <c r="O72" i="15"/>
  <c r="N72" i="15"/>
  <c r="O96" i="15"/>
  <c r="N96" i="15"/>
  <c r="O97" i="15"/>
  <c r="N97" i="15"/>
  <c r="O82" i="15"/>
  <c r="N82" i="15"/>
  <c r="O75" i="15"/>
  <c r="N75" i="15"/>
  <c r="O99" i="15"/>
  <c r="N99" i="15"/>
  <c r="O68" i="15"/>
  <c r="N68" i="15"/>
  <c r="O76" i="15"/>
  <c r="N76" i="15"/>
  <c r="O84" i="15"/>
  <c r="N84" i="15"/>
  <c r="O92" i="15"/>
  <c r="N92" i="15"/>
  <c r="O100" i="15"/>
  <c r="N100" i="15"/>
  <c r="O71" i="15"/>
  <c r="N71" i="15"/>
  <c r="O87" i="15"/>
  <c r="N87" i="15"/>
  <c r="O103" i="15"/>
  <c r="N103" i="15"/>
  <c r="O88" i="15"/>
  <c r="N88" i="15"/>
  <c r="O89" i="15"/>
  <c r="N89" i="15"/>
  <c r="O74" i="15"/>
  <c r="N74" i="15"/>
  <c r="O98" i="15"/>
  <c r="N98" i="15"/>
  <c r="O83" i="15"/>
  <c r="N83" i="15"/>
  <c r="O69" i="15"/>
  <c r="N69" i="15"/>
  <c r="O77" i="15"/>
  <c r="N77" i="15"/>
  <c r="O85" i="15"/>
  <c r="N85" i="15"/>
  <c r="O93" i="15"/>
  <c r="N93" i="15"/>
  <c r="O101" i="15"/>
  <c r="N101" i="15"/>
  <c r="O79" i="15"/>
  <c r="N79" i="15"/>
  <c r="O95" i="15"/>
  <c r="N95" i="15"/>
  <c r="O80" i="15"/>
  <c r="N80" i="15"/>
  <c r="O81" i="15"/>
  <c r="N81" i="15"/>
  <c r="O90" i="15"/>
  <c r="N90" i="15"/>
  <c r="O91" i="15"/>
  <c r="N91" i="15"/>
  <c r="O70" i="15"/>
  <c r="N70" i="15"/>
  <c r="O78" i="15"/>
  <c r="N78" i="15"/>
  <c r="O86" i="15"/>
  <c r="N86" i="15"/>
  <c r="O94" i="15"/>
  <c r="N94" i="15"/>
  <c r="O102" i="15"/>
  <c r="N102" i="15"/>
  <c r="O66" i="15"/>
  <c r="I6" i="15"/>
  <c r="H6" i="15"/>
  <c r="E4" i="14"/>
  <c r="E3" i="14"/>
  <c r="J41" i="14"/>
  <c r="I41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J24" i="14"/>
  <c r="I25" i="14"/>
  <c r="J25" i="14"/>
  <c r="I26" i="14"/>
  <c r="J26" i="14"/>
  <c r="I27" i="14"/>
  <c r="J27" i="14"/>
  <c r="I28" i="14"/>
  <c r="J28" i="14"/>
  <c r="I29" i="14"/>
  <c r="J29" i="14"/>
  <c r="I30" i="14"/>
  <c r="J30" i="14"/>
  <c r="I31" i="14"/>
  <c r="J31" i="14"/>
  <c r="I32" i="14"/>
  <c r="J32" i="14"/>
  <c r="I33" i="14"/>
  <c r="J33" i="14"/>
  <c r="I34" i="14"/>
  <c r="J34" i="14"/>
  <c r="I35" i="14"/>
  <c r="J35" i="14"/>
  <c r="I36" i="14"/>
  <c r="J36" i="14"/>
  <c r="I37" i="14"/>
  <c r="J37" i="14"/>
  <c r="I38" i="14"/>
  <c r="J38" i="14"/>
  <c r="I39" i="14"/>
  <c r="J39" i="14"/>
  <c r="I40" i="14"/>
  <c r="J40" i="14"/>
  <c r="D45" i="14"/>
  <c r="D46" i="14"/>
  <c r="D47" i="14"/>
  <c r="D48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I17" i="1"/>
  <c r="P89" i="15"/>
  <c r="P97" i="15"/>
  <c r="P28" i="14"/>
  <c r="K39" i="14"/>
  <c r="P92" i="15"/>
  <c r="P93" i="15"/>
  <c r="P71" i="15"/>
  <c r="V99" i="15"/>
  <c r="P69" i="15"/>
  <c r="U70" i="15"/>
  <c r="U81" i="15"/>
  <c r="P26" i="14"/>
  <c r="U74" i="15"/>
  <c r="V84" i="15"/>
  <c r="P32" i="14"/>
  <c r="K34" i="14"/>
  <c r="Q72" i="15"/>
  <c r="P39" i="14"/>
  <c r="V102" i="15"/>
  <c r="V72" i="15"/>
  <c r="P38" i="14"/>
  <c r="P70" i="15"/>
  <c r="Q31" i="14"/>
  <c r="L34" i="14"/>
  <c r="P102" i="15"/>
  <c r="P88" i="15"/>
  <c r="Q86" i="15"/>
  <c r="Q101" i="15"/>
  <c r="P33" i="14"/>
  <c r="V73" i="15"/>
  <c r="P85" i="15"/>
  <c r="K24" i="14"/>
  <c r="V69" i="15"/>
  <c r="U68" i="15"/>
  <c r="P35" i="14"/>
  <c r="P87" i="15"/>
  <c r="Q35" i="14"/>
  <c r="U92" i="15"/>
  <c r="Q73" i="15"/>
  <c r="Q38" i="14"/>
  <c r="Q30" i="14"/>
  <c r="Q96" i="15"/>
  <c r="K33" i="14"/>
  <c r="K30" i="14"/>
  <c r="Q95" i="15"/>
  <c r="Q90" i="15"/>
  <c r="V78" i="15"/>
  <c r="L36" i="14"/>
  <c r="V97" i="15"/>
  <c r="Q81" i="15"/>
  <c r="L40" i="14"/>
  <c r="L32" i="14"/>
  <c r="Q26" i="14"/>
  <c r="U97" i="15"/>
  <c r="V101" i="15"/>
  <c r="P103" i="15"/>
  <c r="P68" i="15"/>
  <c r="Q100" i="15"/>
  <c r="Q33" i="14"/>
  <c r="P36" i="14"/>
  <c r="V93" i="15"/>
  <c r="Q84" i="15"/>
  <c r="L41" i="14"/>
  <c r="U88" i="15"/>
  <c r="V87" i="15"/>
  <c r="V96" i="15"/>
  <c r="P91" i="15"/>
  <c r="L33" i="14"/>
  <c r="U84" i="15"/>
  <c r="P78" i="15"/>
  <c r="P82" i="15"/>
  <c r="Q102" i="15"/>
  <c r="U73" i="15"/>
  <c r="V79" i="15"/>
  <c r="K36" i="14"/>
  <c r="V77" i="15"/>
  <c r="K27" i="14"/>
  <c r="U80" i="15"/>
  <c r="P29" i="14"/>
  <c r="L28" i="14"/>
  <c r="U91" i="15"/>
  <c r="Q83" i="15"/>
  <c r="P31" i="14"/>
  <c r="V92" i="15"/>
  <c r="U102" i="15"/>
  <c r="P99" i="15"/>
  <c r="U77" i="15"/>
  <c r="P77" i="15"/>
  <c r="L39" i="14"/>
  <c r="L27" i="14"/>
  <c r="U75" i="15"/>
  <c r="Q24" i="14"/>
  <c r="Q74" i="15"/>
  <c r="K31" i="14"/>
  <c r="K37" i="14"/>
  <c r="U79" i="15"/>
  <c r="V68" i="15"/>
  <c r="V85" i="15"/>
  <c r="V76" i="15"/>
  <c r="P73" i="15"/>
  <c r="P25" i="14"/>
  <c r="K28" i="14"/>
  <c r="V74" i="15"/>
  <c r="U96" i="15"/>
  <c r="P90" i="15"/>
  <c r="U103" i="15"/>
  <c r="P83" i="15"/>
  <c r="Q87" i="15"/>
  <c r="P76" i="15"/>
  <c r="Q85" i="15"/>
  <c r="P86" i="15"/>
  <c r="P74" i="15"/>
  <c r="U69" i="15"/>
  <c r="U101" i="15"/>
  <c r="V82" i="15"/>
  <c r="U71" i="15"/>
  <c r="Q98" i="15"/>
  <c r="V86" i="15"/>
  <c r="Q88" i="15"/>
  <c r="P81" i="15"/>
  <c r="Q68" i="15"/>
  <c r="P79" i="15"/>
  <c r="Q99" i="15"/>
  <c r="L30" i="14"/>
  <c r="P40" i="14"/>
  <c r="Q97" i="15"/>
  <c r="Q80" i="15"/>
  <c r="Q76" i="15"/>
  <c r="Q41" i="14"/>
  <c r="U87" i="15"/>
  <c r="V103" i="15"/>
  <c r="L37" i="14"/>
  <c r="K35" i="14"/>
  <c r="P30" i="14"/>
  <c r="Q82" i="15"/>
  <c r="L24" i="14"/>
  <c r="L31" i="14"/>
  <c r="Q75" i="15"/>
  <c r="P75" i="15"/>
  <c r="V89" i="15"/>
  <c r="Q39" i="14"/>
  <c r="L29" i="14"/>
  <c r="Q36" i="14"/>
  <c r="K25" i="14"/>
  <c r="P80" i="15"/>
  <c r="V100" i="15"/>
  <c r="L25" i="14"/>
  <c r="V81" i="15"/>
  <c r="Q89" i="15"/>
  <c r="L26" i="14"/>
  <c r="Q94" i="15"/>
  <c r="U90" i="15"/>
  <c r="P96" i="15"/>
  <c r="K41" i="14"/>
  <c r="Q69" i="15"/>
  <c r="V94" i="15"/>
  <c r="P94" i="15"/>
  <c r="K32" i="14"/>
  <c r="Q79" i="15"/>
  <c r="Q40" i="14"/>
  <c r="Q25" i="14"/>
  <c r="U86" i="15"/>
  <c r="K40" i="14"/>
  <c r="V83" i="15"/>
  <c r="U72" i="15"/>
  <c r="V88" i="15"/>
  <c r="K38" i="14"/>
  <c r="U85" i="15"/>
  <c r="P34" i="14"/>
  <c r="U94" i="15"/>
  <c r="V90" i="15"/>
  <c r="K29" i="14"/>
  <c r="V95" i="15"/>
  <c r="P41" i="14"/>
  <c r="V70" i="15"/>
  <c r="P27" i="14"/>
  <c r="V80" i="15"/>
  <c r="Q37" i="14"/>
  <c r="U76" i="15"/>
  <c r="L38" i="14"/>
  <c r="E6" i="15"/>
  <c r="U95" i="15"/>
  <c r="P100" i="15"/>
  <c r="U93" i="15"/>
  <c r="U100" i="15"/>
  <c r="U99" i="15"/>
  <c r="Q91" i="15"/>
  <c r="Q78" i="15"/>
  <c r="P101" i="15"/>
  <c r="P72" i="15"/>
  <c r="K26" i="14"/>
  <c r="U98" i="15"/>
  <c r="P84" i="15"/>
  <c r="V91" i="15"/>
  <c r="Q32" i="14"/>
  <c r="Q27" i="14"/>
  <c r="P95" i="15"/>
  <c r="Q103" i="15"/>
  <c r="Q71" i="15"/>
  <c r="P37" i="14"/>
  <c r="Q92" i="15"/>
  <c r="Q77" i="15"/>
  <c r="U83" i="15"/>
  <c r="U82" i="15"/>
  <c r="U89" i="15"/>
  <c r="Q34" i="14"/>
  <c r="L35" i="14"/>
  <c r="V75" i="15"/>
  <c r="U78" i="15"/>
  <c r="Q93" i="15"/>
  <c r="P98" i="15"/>
  <c r="V71" i="15"/>
  <c r="Q70" i="15"/>
  <c r="Q29" i="14"/>
  <c r="P24" i="14"/>
  <c r="Q28" i="14"/>
  <c r="V98" i="15"/>
  <c r="J70" i="14" l="1"/>
  <c r="J66" i="14"/>
  <c r="J63" i="14"/>
  <c r="J68" i="14"/>
  <c r="J72" i="14"/>
  <c r="J67" i="14"/>
  <c r="J65" i="14"/>
  <c r="J76" i="14"/>
  <c r="J69" i="14"/>
  <c r="J74" i="14"/>
  <c r="J77" i="14"/>
  <c r="J62" i="14"/>
  <c r="J75" i="14"/>
  <c r="J73" i="14"/>
  <c r="J64" i="14"/>
  <c r="J71" i="14"/>
  <c r="C25" i="1"/>
  <c r="D17" i="1"/>
  <c r="I10" i="1"/>
  <c r="I9" i="1"/>
  <c r="I8" i="1"/>
  <c r="P77" i="14"/>
  <c r="L68" i="14"/>
  <c r="K68" i="14"/>
  <c r="Q68" i="14"/>
  <c r="P68" i="14"/>
  <c r="L77" i="14"/>
  <c r="Q74" i="14"/>
  <c r="P74" i="14"/>
  <c r="K72" i="14"/>
  <c r="L72" i="14"/>
  <c r="Q72" i="14"/>
  <c r="P72" i="14"/>
  <c r="Q75" i="14"/>
  <c r="Q62" i="14"/>
  <c r="Q77" i="14"/>
  <c r="K77" i="14"/>
  <c r="Q67" i="14"/>
  <c r="P67" i="14"/>
  <c r="K67" i="14"/>
  <c r="Q73" i="14"/>
  <c r="P73" i="14"/>
  <c r="P75" i="14"/>
  <c r="P62" i="14"/>
  <c r="K62" i="14"/>
  <c r="Q65" i="14"/>
  <c r="P65" i="14"/>
  <c r="Q64" i="14"/>
  <c r="K64" i="14"/>
  <c r="P64" i="14"/>
  <c r="L73" i="14"/>
  <c r="L75" i="14"/>
  <c r="K75" i="14"/>
  <c r="P76" i="14"/>
  <c r="Q71" i="14"/>
  <c r="P71" i="14"/>
  <c r="L71" i="14"/>
  <c r="K71" i="14"/>
  <c r="L76" i="14"/>
  <c r="K73" i="14"/>
  <c r="K65" i="14"/>
  <c r="L63" i="14"/>
  <c r="L62" i="14"/>
  <c r="L65" i="14"/>
  <c r="P70" i="14"/>
  <c r="K70" i="14"/>
  <c r="L67" i="14"/>
  <c r="F6" i="15"/>
  <c r="K76" i="14"/>
  <c r="Q76" i="14"/>
  <c r="K69" i="14"/>
  <c r="L69" i="14"/>
  <c r="P69" i="14"/>
  <c r="Q66" i="14"/>
  <c r="K66" i="14"/>
  <c r="Q70" i="14"/>
  <c r="L66" i="14"/>
  <c r="L64" i="14"/>
  <c r="L74" i="14"/>
  <c r="K74" i="14"/>
  <c r="Q63" i="14"/>
  <c r="P63" i="14"/>
  <c r="K63" i="14"/>
  <c r="P66" i="14"/>
  <c r="L70" i="14"/>
  <c r="Q69" i="14"/>
  <c r="G56" i="18" l="1"/>
  <c r="G57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0" i="18"/>
  <c r="G17" i="18"/>
  <c r="G15" i="18"/>
  <c r="G14" i="18"/>
  <c r="G13" i="18"/>
  <c r="G12" i="18"/>
  <c r="G11" i="18"/>
  <c r="G10" i="18"/>
  <c r="G9" i="18"/>
  <c r="G8" i="18"/>
  <c r="G7" i="18"/>
  <c r="G6" i="18"/>
  <c r="G3" i="18"/>
  <c r="N53" i="17"/>
  <c r="M53" i="17"/>
  <c r="M16" i="17"/>
  <c r="N16" i="17"/>
  <c r="M17" i="17"/>
  <c r="N17" i="17"/>
  <c r="M18" i="17"/>
  <c r="N18" i="17"/>
  <c r="M19" i="17"/>
  <c r="N19" i="17"/>
  <c r="M20" i="17"/>
  <c r="M21" i="17"/>
  <c r="M22" i="17"/>
  <c r="M23" i="17"/>
  <c r="M24" i="17"/>
  <c r="M25" i="17"/>
  <c r="M26" i="17"/>
  <c r="M27" i="17"/>
  <c r="M28" i="17"/>
  <c r="M29" i="17"/>
  <c r="N29" i="17"/>
  <c r="M30" i="17"/>
  <c r="M31" i="17"/>
  <c r="N31" i="17"/>
  <c r="M32" i="17"/>
  <c r="N32" i="17"/>
  <c r="M33" i="17"/>
  <c r="M34" i="17"/>
  <c r="N34" i="17"/>
  <c r="M35" i="17"/>
  <c r="N35" i="17"/>
  <c r="M36" i="17"/>
  <c r="N36" i="17"/>
  <c r="M37" i="17"/>
  <c r="N37" i="17"/>
  <c r="M38" i="17"/>
  <c r="M39" i="17"/>
  <c r="N39" i="17"/>
  <c r="M40" i="17"/>
  <c r="N40" i="17"/>
  <c r="M41" i="17"/>
  <c r="N41" i="17"/>
  <c r="M42" i="17"/>
  <c r="N42" i="17"/>
  <c r="M43" i="17"/>
  <c r="M44" i="17"/>
  <c r="N44" i="17"/>
  <c r="M45" i="17"/>
  <c r="N45" i="17"/>
  <c r="M46" i="17"/>
  <c r="N46" i="17"/>
  <c r="M47" i="17"/>
  <c r="N47" i="17"/>
  <c r="M48" i="17"/>
  <c r="M49" i="17"/>
  <c r="N49" i="17"/>
  <c r="M50" i="17"/>
  <c r="M51" i="17"/>
  <c r="M52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59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6" i="17"/>
  <c r="G15" i="17"/>
  <c r="G14" i="17"/>
  <c r="G13" i="17"/>
  <c r="G12" i="17"/>
  <c r="G11" i="17"/>
  <c r="G10" i="17"/>
  <c r="G9" i="17"/>
  <c r="G8" i="17"/>
  <c r="G7" i="17"/>
  <c r="G6" i="17"/>
  <c r="G3" i="17"/>
  <c r="G28" i="16"/>
  <c r="G3" i="16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16" i="15"/>
  <c r="G15" i="15"/>
  <c r="G14" i="15"/>
  <c r="G13" i="15"/>
  <c r="G12" i="15"/>
  <c r="G11" i="15"/>
  <c r="G10" i="15"/>
  <c r="G9" i="15"/>
  <c r="G8" i="15"/>
  <c r="G7" i="15"/>
  <c r="G6" i="15"/>
  <c r="K22" i="18"/>
  <c r="K66" i="17"/>
  <c r="J52" i="18"/>
  <c r="K30" i="18"/>
  <c r="K95" i="17"/>
  <c r="J53" i="18"/>
  <c r="J31" i="18"/>
  <c r="K72" i="17"/>
  <c r="K53" i="18"/>
  <c r="K74" i="17"/>
  <c r="K69" i="17"/>
  <c r="J49" i="18"/>
  <c r="K50" i="18"/>
  <c r="J6" i="15"/>
  <c r="J38" i="18"/>
  <c r="K33" i="18"/>
  <c r="K27" i="18"/>
  <c r="J40" i="18"/>
  <c r="J39" i="18"/>
  <c r="J55" i="18"/>
  <c r="K56" i="18"/>
  <c r="K48" i="18"/>
  <c r="J47" i="18"/>
  <c r="J25" i="18"/>
  <c r="K57" i="18"/>
  <c r="J43" i="18"/>
  <c r="K64" i="17"/>
  <c r="K87" i="17"/>
  <c r="K20" i="18"/>
  <c r="K92" i="17"/>
  <c r="K67" i="17"/>
  <c r="J24" i="18"/>
  <c r="K36" i="18"/>
  <c r="K44" i="18"/>
  <c r="K46" i="18"/>
  <c r="K54" i="18"/>
  <c r="J32" i="18"/>
  <c r="K65" i="17"/>
  <c r="J35" i="18"/>
  <c r="K47" i="18"/>
  <c r="K51" i="18"/>
  <c r="J41" i="18"/>
  <c r="J30" i="18"/>
  <c r="K71" i="17"/>
  <c r="K29" i="18"/>
  <c r="K31" i="18"/>
  <c r="K52" i="18"/>
  <c r="J22" i="18"/>
  <c r="K25" i="18"/>
  <c r="K40" i="18"/>
  <c r="K26" i="18"/>
  <c r="K45" i="18"/>
  <c r="J23" i="18"/>
  <c r="K77" i="17"/>
  <c r="J50" i="18"/>
  <c r="K35" i="18"/>
  <c r="K70" i="17"/>
  <c r="K24" i="18"/>
  <c r="J51" i="18"/>
  <c r="K43" i="18"/>
  <c r="J57" i="18"/>
  <c r="J28" i="18"/>
  <c r="K68" i="17"/>
  <c r="J56" i="18"/>
  <c r="K32" i="18"/>
  <c r="J37" i="18"/>
  <c r="J46" i="18"/>
  <c r="K34" i="18"/>
  <c r="J26" i="18"/>
  <c r="J45" i="18"/>
  <c r="J33" i="18"/>
  <c r="K39" i="18"/>
  <c r="K41" i="18"/>
  <c r="J42" i="18"/>
  <c r="K49" i="18"/>
  <c r="K94" i="17"/>
  <c r="K96" i="17"/>
  <c r="K38" i="18"/>
  <c r="K55" i="18"/>
  <c r="J27" i="18"/>
  <c r="K28" i="18"/>
  <c r="K23" i="18"/>
  <c r="J48" i="18"/>
  <c r="K82" i="17"/>
  <c r="J20" i="18"/>
  <c r="K37" i="18"/>
  <c r="J29" i="18"/>
  <c r="J34" i="18"/>
  <c r="J44" i="18"/>
  <c r="K42" i="18"/>
  <c r="J36" i="18"/>
  <c r="J54" i="18"/>
  <c r="O21" i="18" l="1"/>
  <c r="N21" i="18"/>
  <c r="N32" i="18"/>
  <c r="O32" i="18"/>
  <c r="N33" i="18"/>
  <c r="O33" i="18"/>
  <c r="N34" i="18"/>
  <c r="O34" i="18"/>
  <c r="N35" i="18"/>
  <c r="O35" i="18"/>
  <c r="N36" i="18"/>
  <c r="O36" i="18"/>
  <c r="N29" i="18"/>
  <c r="O29" i="18"/>
  <c r="N37" i="18"/>
  <c r="O37" i="18"/>
  <c r="N45" i="18"/>
  <c r="O45" i="18"/>
  <c r="N52" i="18"/>
  <c r="O52" i="18"/>
  <c r="N24" i="18"/>
  <c r="O24" i="18"/>
  <c r="N48" i="18"/>
  <c r="O48" i="18"/>
  <c r="N25" i="18"/>
  <c r="O25" i="18"/>
  <c r="N49" i="18"/>
  <c r="O49" i="18"/>
  <c r="N26" i="18"/>
  <c r="O26" i="18"/>
  <c r="N50" i="18"/>
  <c r="O50" i="18"/>
  <c r="N27" i="18"/>
  <c r="O27" i="18"/>
  <c r="N43" i="18"/>
  <c r="O43" i="18"/>
  <c r="N20" i="18"/>
  <c r="O20" i="18"/>
  <c r="N53" i="18"/>
  <c r="O53" i="18"/>
  <c r="N22" i="18"/>
  <c r="O22" i="18"/>
  <c r="N30" i="18"/>
  <c r="O30" i="18"/>
  <c r="N38" i="18"/>
  <c r="O38" i="18"/>
  <c r="N46" i="18"/>
  <c r="O46" i="18"/>
  <c r="N40" i="18"/>
  <c r="O40" i="18"/>
  <c r="N41" i="18"/>
  <c r="O41" i="18"/>
  <c r="N18" i="18"/>
  <c r="O18" i="18"/>
  <c r="N42" i="18"/>
  <c r="O42" i="18"/>
  <c r="N19" i="18"/>
  <c r="O19" i="18"/>
  <c r="N51" i="18"/>
  <c r="O51" i="18"/>
  <c r="N28" i="18"/>
  <c r="O28" i="18"/>
  <c r="N44" i="18"/>
  <c r="O44" i="18"/>
  <c r="N23" i="18"/>
  <c r="O23" i="18"/>
  <c r="N31" i="18"/>
  <c r="O31" i="18"/>
  <c r="N39" i="18"/>
  <c r="O39" i="18"/>
  <c r="N47" i="18"/>
  <c r="O47" i="18"/>
  <c r="N16" i="18"/>
  <c r="O16" i="18"/>
  <c r="O90" i="17"/>
  <c r="O68" i="17"/>
  <c r="O65" i="17"/>
  <c r="O89" i="17"/>
  <c r="O66" i="17"/>
  <c r="O59" i="17"/>
  <c r="O60" i="17"/>
  <c r="O61" i="17"/>
  <c r="O62" i="17"/>
  <c r="O86" i="17"/>
  <c r="O64" i="17"/>
  <c r="O88" i="17"/>
  <c r="O81" i="17"/>
  <c r="O58" i="17"/>
  <c r="O76" i="17"/>
  <c r="O63" i="17"/>
  <c r="O71" i="17"/>
  <c r="M66" i="15"/>
  <c r="G3" i="15"/>
  <c r="Q19" i="18"/>
  <c r="P20" i="18"/>
  <c r="P45" i="18"/>
  <c r="P29" i="18"/>
  <c r="U42" i="18"/>
  <c r="Q48" i="18"/>
  <c r="Q38" i="18"/>
  <c r="V31" i="18"/>
  <c r="V49" i="18"/>
  <c r="P19" i="18"/>
  <c r="U35" i="18"/>
  <c r="Q31" i="18"/>
  <c r="V53" i="18"/>
  <c r="U48" i="18"/>
  <c r="U34" i="18"/>
  <c r="V20" i="18"/>
  <c r="V18" i="18"/>
  <c r="U16" i="18"/>
  <c r="P46" i="18"/>
  <c r="Q21" i="18"/>
  <c r="P18" i="18"/>
  <c r="V27" i="18"/>
  <c r="V26" i="18"/>
  <c r="U27" i="18"/>
  <c r="Q44" i="18"/>
  <c r="P34" i="18"/>
  <c r="P26" i="18"/>
  <c r="U21" i="18"/>
  <c r="Q22" i="18"/>
  <c r="V45" i="18"/>
  <c r="Q42" i="18"/>
  <c r="U44" i="18"/>
  <c r="Q53" i="18"/>
  <c r="P37" i="18"/>
  <c r="U50" i="18"/>
  <c r="P39" i="18"/>
  <c r="V39" i="18"/>
  <c r="U40" i="18"/>
  <c r="Q40" i="18"/>
  <c r="U45" i="18"/>
  <c r="P28" i="18"/>
  <c r="U49" i="18"/>
  <c r="Q23" i="18"/>
  <c r="Q45" i="18"/>
  <c r="V50" i="18"/>
  <c r="P16" i="18"/>
  <c r="P49" i="18"/>
  <c r="Q37" i="18"/>
  <c r="Q28" i="18"/>
  <c r="V32" i="18"/>
  <c r="V42" i="18"/>
  <c r="Q18" i="18"/>
  <c r="Q49" i="18"/>
  <c r="P23" i="18"/>
  <c r="Q25" i="18"/>
  <c r="V21" i="18"/>
  <c r="U30" i="18"/>
  <c r="U32" i="18"/>
  <c r="P43" i="18"/>
  <c r="P27" i="18"/>
  <c r="U39" i="18"/>
  <c r="Q51" i="18"/>
  <c r="V43" i="18"/>
  <c r="V19" i="18"/>
  <c r="Q33" i="18"/>
  <c r="Q35" i="18"/>
  <c r="U46" i="18"/>
  <c r="V48" i="18"/>
  <c r="U52" i="18"/>
  <c r="V35" i="18"/>
  <c r="U20" i="18"/>
  <c r="U26" i="18"/>
  <c r="P41" i="18"/>
  <c r="V36" i="18"/>
  <c r="V30" i="18"/>
  <c r="U25" i="18"/>
  <c r="P33" i="18"/>
  <c r="Q43" i="18"/>
  <c r="P53" i="18"/>
  <c r="P32" i="18"/>
  <c r="P35" i="18"/>
  <c r="U37" i="18"/>
  <c r="V28" i="18"/>
  <c r="Q29" i="18"/>
  <c r="P30" i="18"/>
  <c r="Q16" i="18"/>
  <c r="V44" i="18"/>
  <c r="U43" i="18"/>
  <c r="V46" i="18"/>
  <c r="U28" i="18"/>
  <c r="U33" i="18"/>
  <c r="V51" i="18"/>
  <c r="P36" i="18"/>
  <c r="P38" i="18"/>
  <c r="U53" i="18"/>
  <c r="U24" i="18"/>
  <c r="U19" i="18"/>
  <c r="Q27" i="18"/>
  <c r="P42" i="18"/>
  <c r="Q47" i="18"/>
  <c r="U23" i="18"/>
  <c r="V40" i="18"/>
  <c r="P48" i="18"/>
  <c r="U51" i="18"/>
  <c r="V52" i="18"/>
  <c r="P40" i="18"/>
  <c r="U47" i="18"/>
  <c r="P25" i="18"/>
  <c r="P50" i="18"/>
  <c r="V34" i="18"/>
  <c r="Q32" i="18"/>
  <c r="P44" i="18"/>
  <c r="Q24" i="18"/>
  <c r="P31" i="18"/>
  <c r="P52" i="18"/>
  <c r="V22" i="18"/>
  <c r="Q36" i="18"/>
  <c r="P51" i="18"/>
  <c r="Q52" i="18"/>
  <c r="U41" i="18"/>
  <c r="V23" i="18"/>
  <c r="Q46" i="18"/>
  <c r="Q20" i="18"/>
  <c r="U31" i="18"/>
  <c r="U36" i="18"/>
  <c r="U18" i="18"/>
  <c r="V47" i="18"/>
  <c r="Q41" i="18"/>
  <c r="P22" i="18"/>
  <c r="V37" i="18"/>
  <c r="Q26" i="18"/>
  <c r="Q30" i="18"/>
  <c r="Q50" i="18"/>
  <c r="V24" i="18"/>
  <c r="V38" i="18"/>
  <c r="P21" i="18"/>
  <c r="Q34" i="18"/>
  <c r="V33" i="18"/>
  <c r="Q39" i="18"/>
  <c r="V29" i="18"/>
  <c r="P24" i="18"/>
  <c r="U22" i="18"/>
  <c r="V41" i="18"/>
  <c r="U29" i="18"/>
  <c r="V25" i="18"/>
  <c r="P47" i="18"/>
  <c r="U38" i="18"/>
  <c r="V16" i="18"/>
  <c r="K6" i="15" l="1"/>
  <c r="O4" i="15" s="1"/>
  <c r="S1" i="14" l="1"/>
  <c r="I5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4" i="14"/>
  <c r="D3" i="14"/>
  <c r="P34" i="17"/>
  <c r="U29" i="17"/>
  <c r="V34" i="17"/>
  <c r="V39" i="17"/>
  <c r="Q41" i="17"/>
  <c r="U17" i="17"/>
  <c r="Q49" i="17"/>
  <c r="V53" i="17"/>
  <c r="J77" i="17"/>
  <c r="V45" i="17"/>
  <c r="V35" i="17"/>
  <c r="G4" i="14"/>
  <c r="J71" i="17"/>
  <c r="U16" i="17"/>
  <c r="J64" i="17"/>
  <c r="J92" i="17"/>
  <c r="P19" i="17"/>
  <c r="Q29" i="17"/>
  <c r="V46" i="17"/>
  <c r="U49" i="17"/>
  <c r="V41" i="17"/>
  <c r="J15" i="17"/>
  <c r="V16" i="17"/>
  <c r="U40" i="17"/>
  <c r="J6" i="17"/>
  <c r="Q18" i="17"/>
  <c r="U18" i="17"/>
  <c r="U35" i="17"/>
  <c r="P31" i="17"/>
  <c r="Q39" i="17"/>
  <c r="Q19" i="17"/>
  <c r="V36" i="17"/>
  <c r="P35" i="17"/>
  <c r="J66" i="17"/>
  <c r="U46" i="17"/>
  <c r="Q53" i="17"/>
  <c r="U47" i="17"/>
  <c r="P36" i="17"/>
  <c r="Q32" i="17"/>
  <c r="P37" i="17"/>
  <c r="U41" i="17"/>
  <c r="Q35" i="17"/>
  <c r="V29" i="17"/>
  <c r="P17" i="17"/>
  <c r="Q47" i="17"/>
  <c r="P41" i="17"/>
  <c r="J69" i="17"/>
  <c r="U36" i="17"/>
  <c r="U42" i="17"/>
  <c r="J67" i="17"/>
  <c r="U37" i="17"/>
  <c r="U34" i="17"/>
  <c r="J95" i="17"/>
  <c r="U39" i="17"/>
  <c r="Q34" i="17"/>
  <c r="J65" i="17"/>
  <c r="V42" i="17"/>
  <c r="J70" i="17"/>
  <c r="J16" i="17"/>
  <c r="J74" i="17"/>
  <c r="V19" i="17"/>
  <c r="P53" i="17"/>
  <c r="Q42" i="17"/>
  <c r="V44" i="17"/>
  <c r="J13" i="17"/>
  <c r="V37" i="17"/>
  <c r="V18" i="17"/>
  <c r="J9" i="17"/>
  <c r="P46" i="17"/>
  <c r="V47" i="17"/>
  <c r="P45" i="17"/>
  <c r="V32" i="17"/>
  <c r="V40" i="17"/>
  <c r="Q17" i="17"/>
  <c r="Q46" i="17"/>
  <c r="U32" i="17"/>
  <c r="J68" i="17"/>
  <c r="U31" i="17"/>
  <c r="V31" i="17"/>
  <c r="J7" i="17"/>
  <c r="Q36" i="17"/>
  <c r="P44" i="17"/>
  <c r="Q44" i="17"/>
  <c r="J96" i="17"/>
  <c r="P49" i="17"/>
  <c r="J94" i="17"/>
  <c r="P42" i="17"/>
  <c r="U45" i="17"/>
  <c r="Q37" i="17"/>
  <c r="P39" i="17"/>
  <c r="Q31" i="17"/>
  <c r="Q45" i="17"/>
  <c r="P40" i="17"/>
  <c r="J82" i="17"/>
  <c r="V49" i="17"/>
  <c r="J10" i="17"/>
  <c r="U44" i="17"/>
  <c r="J87" i="17"/>
  <c r="V17" i="17"/>
  <c r="J72" i="17"/>
  <c r="P16" i="17"/>
  <c r="J11" i="17"/>
  <c r="G3" i="14"/>
  <c r="J12" i="17"/>
  <c r="Q16" i="17"/>
  <c r="P29" i="17"/>
  <c r="U53" i="17"/>
  <c r="P47" i="17"/>
  <c r="P18" i="17"/>
  <c r="J14" i="17"/>
  <c r="J8" i="17"/>
  <c r="P32" i="17"/>
  <c r="Q40" i="17"/>
  <c r="U19" i="17"/>
  <c r="D9" i="1"/>
  <c r="N68" i="17" l="1"/>
  <c r="N66" i="17"/>
  <c r="N58" i="17"/>
  <c r="N71" i="17"/>
  <c r="N64" i="17"/>
  <c r="N90" i="17"/>
  <c r="N76" i="17"/>
  <c r="N59" i="17"/>
  <c r="N60" i="17"/>
  <c r="N65" i="17"/>
  <c r="N81" i="17"/>
  <c r="N62" i="17"/>
  <c r="N63" i="17"/>
  <c r="N61" i="17"/>
  <c r="N86" i="17"/>
  <c r="N88" i="17"/>
  <c r="N89" i="17"/>
  <c r="K9" i="17"/>
  <c r="O7" i="17" s="1"/>
  <c r="K15" i="17"/>
  <c r="O13" i="17" s="1"/>
  <c r="K10" i="17"/>
  <c r="O8" i="17" s="1"/>
  <c r="K16" i="17"/>
  <c r="O14" i="17" s="1"/>
  <c r="K14" i="17"/>
  <c r="O12" i="17" s="1"/>
  <c r="K8" i="17"/>
  <c r="O6" i="17" s="1"/>
  <c r="K6" i="17"/>
  <c r="O4" i="17" s="1"/>
  <c r="K7" i="17"/>
  <c r="O5" i="17" s="1"/>
  <c r="K11" i="17"/>
  <c r="O9" i="17" s="1"/>
  <c r="K13" i="17"/>
  <c r="O11" i="17" s="1"/>
  <c r="K12" i="17"/>
  <c r="O10" i="17" s="1"/>
  <c r="M4" i="18"/>
  <c r="C7" i="18"/>
  <c r="H7" i="18" s="1"/>
  <c r="C8" i="18"/>
  <c r="H8" i="18" s="1"/>
  <c r="C9" i="18"/>
  <c r="H9" i="18" s="1"/>
  <c r="C10" i="18"/>
  <c r="H10" i="18" s="1"/>
  <c r="C11" i="18"/>
  <c r="H11" i="18" s="1"/>
  <c r="C12" i="18"/>
  <c r="H12" i="18" s="1"/>
  <c r="C13" i="18"/>
  <c r="H13" i="18" s="1"/>
  <c r="C14" i="18"/>
  <c r="H14" i="18" s="1"/>
  <c r="C15" i="18"/>
  <c r="H15" i="18" s="1"/>
  <c r="C17" i="18"/>
  <c r="H17" i="18" s="1"/>
  <c r="C6" i="18"/>
  <c r="H6" i="18" s="1"/>
  <c r="M3" i="18"/>
  <c r="X1" i="18"/>
  <c r="M5" i="17"/>
  <c r="M6" i="17"/>
  <c r="M7" i="17"/>
  <c r="M8" i="17"/>
  <c r="M9" i="17"/>
  <c r="M10" i="17"/>
  <c r="M11" i="17"/>
  <c r="M12" i="17"/>
  <c r="M13" i="17"/>
  <c r="M14" i="17"/>
  <c r="M15" i="17"/>
  <c r="M4" i="17"/>
  <c r="M3" i="17"/>
  <c r="X1" i="17"/>
  <c r="M22" i="16"/>
  <c r="M4" i="16"/>
  <c r="M3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6" i="16"/>
  <c r="G6" i="16"/>
  <c r="C6" i="16"/>
  <c r="H6" i="16" s="1"/>
  <c r="X1" i="16"/>
  <c r="D10" i="1"/>
  <c r="U90" i="17"/>
  <c r="K37" i="16"/>
  <c r="Q90" i="17"/>
  <c r="Q68" i="17"/>
  <c r="J53" i="16"/>
  <c r="Q61" i="17"/>
  <c r="Q63" i="17"/>
  <c r="P61" i="17"/>
  <c r="J34" i="16"/>
  <c r="K44" i="16"/>
  <c r="V62" i="17"/>
  <c r="U86" i="17"/>
  <c r="J62" i="16"/>
  <c r="J11" i="18"/>
  <c r="P86" i="17"/>
  <c r="P59" i="17"/>
  <c r="K63" i="16"/>
  <c r="V65" i="17"/>
  <c r="J45" i="16"/>
  <c r="Q60" i="17"/>
  <c r="V86" i="17"/>
  <c r="J31" i="16"/>
  <c r="J50" i="16"/>
  <c r="J41" i="16"/>
  <c r="V81" i="17"/>
  <c r="J51" i="16"/>
  <c r="P66" i="17"/>
  <c r="U71" i="17"/>
  <c r="J61" i="16"/>
  <c r="K31" i="16"/>
  <c r="K41" i="16"/>
  <c r="Q66" i="17"/>
  <c r="J55" i="16"/>
  <c r="J17" i="18"/>
  <c r="P76" i="17"/>
  <c r="K35" i="16"/>
  <c r="K36" i="16"/>
  <c r="U58" i="17"/>
  <c r="J63" i="16"/>
  <c r="U65" i="17"/>
  <c r="P90" i="17"/>
  <c r="J48" i="16"/>
  <c r="K33" i="16"/>
  <c r="J9" i="18"/>
  <c r="J38" i="16"/>
  <c r="Q65" i="17"/>
  <c r="J10" i="18"/>
  <c r="K38" i="16"/>
  <c r="P64" i="17"/>
  <c r="Q81" i="17"/>
  <c r="P62" i="17"/>
  <c r="U89" i="17"/>
  <c r="U62" i="17"/>
  <c r="J54" i="16"/>
  <c r="Q76" i="17"/>
  <c r="K59" i="16"/>
  <c r="U59" i="17"/>
  <c r="V89" i="17"/>
  <c r="J47" i="16"/>
  <c r="U88" i="17"/>
  <c r="V61" i="17"/>
  <c r="J42" i="16"/>
  <c r="J8" i="18"/>
  <c r="J7" i="18"/>
  <c r="Q86" i="17"/>
  <c r="J35" i="16"/>
  <c r="K62" i="16"/>
  <c r="V58" i="17"/>
  <c r="J36" i="16"/>
  <c r="J58" i="16"/>
  <c r="V59" i="17"/>
  <c r="J33" i="16"/>
  <c r="K49" i="16"/>
  <c r="K61" i="16"/>
  <c r="J52" i="16"/>
  <c r="U60" i="17"/>
  <c r="V90" i="17"/>
  <c r="J46" i="16"/>
  <c r="P60" i="17"/>
  <c r="V60" i="17"/>
  <c r="J32" i="16"/>
  <c r="J12" i="18"/>
  <c r="J44" i="16"/>
  <c r="J39" i="16"/>
  <c r="P58" i="17"/>
  <c r="J49" i="16"/>
  <c r="K32" i="16"/>
  <c r="U66" i="17"/>
  <c r="J40" i="16"/>
  <c r="Q62" i="17"/>
  <c r="P68" i="17"/>
  <c r="J43" i="16"/>
  <c r="V71" i="17"/>
  <c r="J60" i="16"/>
  <c r="V68" i="17"/>
  <c r="V64" i="17"/>
  <c r="J59" i="16"/>
  <c r="Q58" i="17"/>
  <c r="V63" i="17"/>
  <c r="U68" i="17"/>
  <c r="C14" i="19"/>
  <c r="C15" i="19" s="1"/>
  <c r="J14" i="18"/>
  <c r="U76" i="17"/>
  <c r="K34" i="16"/>
  <c r="U61" i="17"/>
  <c r="P89" i="17"/>
  <c r="J15" i="18"/>
  <c r="J57" i="16"/>
  <c r="Q64" i="17"/>
  <c r="U63" i="17"/>
  <c r="J56" i="16"/>
  <c r="P65" i="17"/>
  <c r="Q88" i="17"/>
  <c r="J37" i="16"/>
  <c r="P81" i="17"/>
  <c r="P71" i="17"/>
  <c r="Q59" i="17"/>
  <c r="Q89" i="17"/>
  <c r="V66" i="17"/>
  <c r="K54" i="16"/>
  <c r="U64" i="17"/>
  <c r="Q71" i="17"/>
  <c r="P63" i="17"/>
  <c r="J13" i="18"/>
  <c r="V88" i="17"/>
  <c r="V76" i="17"/>
  <c r="P88" i="17"/>
  <c r="U81" i="17"/>
  <c r="K39" i="16"/>
  <c r="N8" i="18" l="1"/>
  <c r="N5" i="18"/>
  <c r="N7" i="18"/>
  <c r="N6" i="18"/>
  <c r="N10" i="18"/>
  <c r="N9" i="18"/>
  <c r="N15" i="18"/>
  <c r="N12" i="18"/>
  <c r="N13" i="18"/>
  <c r="N11" i="18"/>
  <c r="O59" i="16"/>
  <c r="O37" i="16"/>
  <c r="O29" i="16"/>
  <c r="O35" i="16"/>
  <c r="O55" i="16"/>
  <c r="O28" i="16"/>
  <c r="O57" i="16"/>
  <c r="O34" i="16"/>
  <c r="O40" i="16"/>
  <c r="O33" i="16"/>
  <c r="O30" i="16"/>
  <c r="O58" i="16"/>
  <c r="O27" i="16"/>
  <c r="O31" i="16"/>
  <c r="O45" i="16"/>
  <c r="O50" i="16"/>
  <c r="O32" i="16"/>
  <c r="N30" i="16"/>
  <c r="N46" i="16"/>
  <c r="N39" i="16"/>
  <c r="N47" i="16"/>
  <c r="N56" i="16"/>
  <c r="N33" i="16"/>
  <c r="N34" i="16"/>
  <c r="N42" i="16"/>
  <c r="N50" i="16"/>
  <c r="N58" i="16"/>
  <c r="N27" i="16"/>
  <c r="N35" i="16"/>
  <c r="N43" i="16"/>
  <c r="N51" i="16"/>
  <c r="N59" i="16"/>
  <c r="N54" i="16"/>
  <c r="N55" i="16"/>
  <c r="N32" i="16"/>
  <c r="N40" i="16"/>
  <c r="N41" i="16"/>
  <c r="N57" i="16"/>
  <c r="N28" i="16"/>
  <c r="N36" i="16"/>
  <c r="N44" i="16"/>
  <c r="N52" i="16"/>
  <c r="N38" i="16"/>
  <c r="N31" i="16"/>
  <c r="N48" i="16"/>
  <c r="N49" i="16"/>
  <c r="N29" i="16"/>
  <c r="N37" i="16"/>
  <c r="N45" i="16"/>
  <c r="N53" i="16"/>
  <c r="H15" i="19"/>
  <c r="H14" i="19"/>
  <c r="K13" i="18"/>
  <c r="O11" i="18" s="1"/>
  <c r="K15" i="18"/>
  <c r="O13" i="18" s="1"/>
  <c r="K10" i="18"/>
  <c r="O8" i="18" s="1"/>
  <c r="K9" i="18"/>
  <c r="O7" i="18" s="1"/>
  <c r="K12" i="18"/>
  <c r="O10" i="18" s="1"/>
  <c r="K17" i="18"/>
  <c r="O15" i="18" s="1"/>
  <c r="K8" i="18"/>
  <c r="O6" i="18" s="1"/>
  <c r="K14" i="18"/>
  <c r="O12" i="18" s="1"/>
  <c r="K11" i="18"/>
  <c r="O9" i="18" s="1"/>
  <c r="K7" i="18"/>
  <c r="O5" i="18" s="1"/>
  <c r="N22" i="16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28" i="15"/>
  <c r="M4" i="15"/>
  <c r="M5" i="15"/>
  <c r="M6" i="15"/>
  <c r="M7" i="15"/>
  <c r="M8" i="15"/>
  <c r="M9" i="15"/>
  <c r="M10" i="15"/>
  <c r="M11" i="15"/>
  <c r="M12" i="15"/>
  <c r="M13" i="15"/>
  <c r="M14" i="15"/>
  <c r="M3" i="15"/>
  <c r="H1" i="15"/>
  <c r="X1" i="15"/>
  <c r="I4" i="14"/>
  <c r="I3" i="14"/>
  <c r="E15" i="19"/>
  <c r="E14" i="19"/>
  <c r="V30" i="16"/>
  <c r="U48" i="16"/>
  <c r="V8" i="18"/>
  <c r="U53" i="16"/>
  <c r="V51" i="16"/>
  <c r="U59" i="16"/>
  <c r="Q22" i="16"/>
  <c r="U11" i="18"/>
  <c r="J6" i="16"/>
  <c r="P57" i="16"/>
  <c r="Q33" i="16"/>
  <c r="Q37" i="16"/>
  <c r="V12" i="18"/>
  <c r="U39" i="16"/>
  <c r="V28" i="16"/>
  <c r="P7" i="18"/>
  <c r="V48" i="16"/>
  <c r="Q31" i="16"/>
  <c r="V32" i="16"/>
  <c r="U46" i="16"/>
  <c r="Q39" i="16"/>
  <c r="U52" i="16"/>
  <c r="Q8" i="18"/>
  <c r="U55" i="16"/>
  <c r="P43" i="16"/>
  <c r="V58" i="16"/>
  <c r="Q29" i="16"/>
  <c r="U10" i="18"/>
  <c r="U6" i="18"/>
  <c r="U9" i="18"/>
  <c r="U13" i="18"/>
  <c r="V34" i="16"/>
  <c r="U36" i="16"/>
  <c r="Q5" i="18"/>
  <c r="Q52" i="16"/>
  <c r="Q9" i="18"/>
  <c r="P10" i="18"/>
  <c r="P29" i="16"/>
  <c r="P48" i="16"/>
  <c r="V40" i="16"/>
  <c r="P41" i="16"/>
  <c r="Q32" i="16"/>
  <c r="U5" i="18"/>
  <c r="Q49" i="16"/>
  <c r="Q7" i="18"/>
  <c r="V59" i="16"/>
  <c r="U45" i="16"/>
  <c r="P11" i="18"/>
  <c r="F14" i="19"/>
  <c r="V39" i="16"/>
  <c r="P50" i="16"/>
  <c r="F15" i="19"/>
  <c r="U33" i="16"/>
  <c r="V33" i="16"/>
  <c r="U7" i="18"/>
  <c r="P51" i="16"/>
  <c r="V10" i="18"/>
  <c r="P37" i="16"/>
  <c r="V53" i="16"/>
  <c r="V52" i="16"/>
  <c r="P6" i="18"/>
  <c r="Q55" i="16"/>
  <c r="Q36" i="16"/>
  <c r="V42" i="16"/>
  <c r="V37" i="16"/>
  <c r="P28" i="16"/>
  <c r="V57" i="16"/>
  <c r="V38" i="16"/>
  <c r="P31" i="16"/>
  <c r="P38" i="16"/>
  <c r="U32" i="16"/>
  <c r="V45" i="16"/>
  <c r="U57" i="16"/>
  <c r="P56" i="16"/>
  <c r="V7" i="18"/>
  <c r="P13" i="18"/>
  <c r="Q13" i="18"/>
  <c r="Q38" i="16"/>
  <c r="U31" i="16"/>
  <c r="Q46" i="16"/>
  <c r="Q15" i="18"/>
  <c r="Q6" i="18"/>
  <c r="U37" i="16"/>
  <c r="U49" i="16"/>
  <c r="P32" i="16"/>
  <c r="V29" i="16"/>
  <c r="U8" i="18"/>
  <c r="P30" i="16"/>
  <c r="Q12" i="18"/>
  <c r="U12" i="18"/>
  <c r="V22" i="16"/>
  <c r="V49" i="16"/>
  <c r="Q34" i="16"/>
  <c r="U51" i="16"/>
  <c r="Q56" i="16"/>
  <c r="P58" i="16"/>
  <c r="P52" i="16"/>
  <c r="P5" i="18"/>
  <c r="U41" i="16"/>
  <c r="U47" i="16"/>
  <c r="Q53" i="16"/>
  <c r="U38" i="16"/>
  <c r="U44" i="16"/>
  <c r="V54" i="16"/>
  <c r="P15" i="18"/>
  <c r="P42" i="16"/>
  <c r="P33" i="16"/>
  <c r="V15" i="18"/>
  <c r="Q51" i="16"/>
  <c r="U56" i="16"/>
  <c r="P47" i="16"/>
  <c r="Q58" i="16"/>
  <c r="U27" i="16"/>
  <c r="V46" i="16"/>
  <c r="P9" i="18"/>
  <c r="P49" i="16"/>
  <c r="V41" i="16"/>
  <c r="P39" i="16"/>
  <c r="P8" i="18"/>
  <c r="C16" i="19"/>
  <c r="P36" i="16"/>
  <c r="Q10" i="18"/>
  <c r="U29" i="16"/>
  <c r="Q42" i="16"/>
  <c r="Q30" i="16"/>
  <c r="P40" i="16"/>
  <c r="U54" i="16"/>
  <c r="Q27" i="16"/>
  <c r="P12" i="18"/>
  <c r="P44" i="16"/>
  <c r="V13" i="18"/>
  <c r="P22" i="16"/>
  <c r="P34" i="16"/>
  <c r="U15" i="18"/>
  <c r="P59" i="16"/>
  <c r="Q44" i="16"/>
  <c r="Q35" i="16"/>
  <c r="V47" i="16"/>
  <c r="P46" i="16"/>
  <c r="Q43" i="16"/>
  <c r="P55" i="16"/>
  <c r="V6" i="18"/>
  <c r="U22" i="16"/>
  <c r="V31" i="16"/>
  <c r="V35" i="16"/>
  <c r="Q57" i="16"/>
  <c r="V43" i="16"/>
  <c r="U40" i="16"/>
  <c r="U58" i="16"/>
  <c r="P54" i="16"/>
  <c r="P45" i="16"/>
  <c r="E16" i="19"/>
  <c r="V44" i="16"/>
  <c r="P35" i="16"/>
  <c r="U43" i="16"/>
  <c r="V36" i="16"/>
  <c r="Q41" i="16"/>
  <c r="Q45" i="16"/>
  <c r="V27" i="16"/>
  <c r="Q50" i="16"/>
  <c r="C17" i="19"/>
  <c r="P53" i="16"/>
  <c r="P27" i="16"/>
  <c r="U35" i="16"/>
  <c r="V56" i="16"/>
  <c r="U50" i="16"/>
  <c r="U34" i="16"/>
  <c r="U28" i="16"/>
  <c r="V9" i="18"/>
  <c r="V11" i="18"/>
  <c r="U42" i="16"/>
  <c r="U30" i="16"/>
  <c r="Q48" i="16"/>
  <c r="Q28" i="16"/>
  <c r="Q40" i="16"/>
  <c r="J6" i="18"/>
  <c r="V55" i="16"/>
  <c r="Q59" i="16"/>
  <c r="Q47" i="16"/>
  <c r="Q11" i="18"/>
  <c r="V5" i="18"/>
  <c r="V50" i="16"/>
  <c r="Q54" i="16"/>
  <c r="C18" i="19"/>
  <c r="E17" i="19"/>
  <c r="C19" i="19"/>
  <c r="E18" i="19"/>
  <c r="E19" i="19"/>
  <c r="C20" i="19"/>
  <c r="C21" i="19"/>
  <c r="E20" i="19"/>
  <c r="E21" i="19"/>
  <c r="C22" i="19"/>
  <c r="C23" i="19"/>
  <c r="E22" i="19"/>
  <c r="C24" i="19"/>
  <c r="E23" i="19"/>
  <c r="E24" i="19"/>
  <c r="C25" i="19"/>
  <c r="E25" i="19"/>
  <c r="C26" i="19"/>
  <c r="E26" i="19"/>
  <c r="C27" i="19"/>
  <c r="C28" i="19"/>
  <c r="E27" i="19"/>
  <c r="E28" i="19"/>
  <c r="C29" i="19"/>
  <c r="E29" i="19"/>
  <c r="C30" i="19"/>
  <c r="E30" i="19"/>
  <c r="C31" i="19"/>
  <c r="E31" i="19"/>
  <c r="C32" i="19"/>
  <c r="H32" i="19" l="1"/>
  <c r="H31" i="19"/>
  <c r="H30" i="19"/>
  <c r="H29" i="19"/>
  <c r="H28" i="19"/>
  <c r="H27" i="19"/>
  <c r="H26" i="19"/>
  <c r="H25" i="19"/>
  <c r="H24" i="19"/>
  <c r="H23" i="19"/>
  <c r="H22" i="19"/>
  <c r="H21" i="19"/>
  <c r="H20" i="19"/>
  <c r="H19" i="19"/>
  <c r="H18" i="19"/>
  <c r="H17" i="19"/>
  <c r="H16" i="19"/>
  <c r="K6" i="18"/>
  <c r="O4" i="18" s="1"/>
  <c r="K6" i="16"/>
  <c r="O4" i="16" s="1"/>
  <c r="J4" i="14"/>
  <c r="N4" i="16"/>
  <c r="N4" i="18"/>
  <c r="J3" i="14"/>
  <c r="N28" i="15"/>
  <c r="N29" i="15"/>
  <c r="N30" i="15"/>
  <c r="N31" i="15"/>
  <c r="N32" i="15"/>
  <c r="N59" i="15"/>
  <c r="N58" i="15"/>
  <c r="N57" i="15"/>
  <c r="N49" i="15"/>
  <c r="N48" i="15"/>
  <c r="N47" i="15"/>
  <c r="N54" i="15"/>
  <c r="N53" i="15"/>
  <c r="N52" i="15"/>
  <c r="N44" i="15"/>
  <c r="E32" i="19"/>
  <c r="U57" i="15"/>
  <c r="Q29" i="15"/>
  <c r="F20" i="19"/>
  <c r="V53" i="15"/>
  <c r="J3" i="18"/>
  <c r="V58" i="15"/>
  <c r="U58" i="15"/>
  <c r="Q44" i="15"/>
  <c r="U29" i="15"/>
  <c r="U30" i="15"/>
  <c r="J14" i="19"/>
  <c r="J15" i="19"/>
  <c r="J3" i="15"/>
  <c r="F31" i="19"/>
  <c r="U32" i="15"/>
  <c r="V59" i="15"/>
  <c r="F24" i="19"/>
  <c r="J3" i="17"/>
  <c r="F29" i="19"/>
  <c r="F21" i="19"/>
  <c r="U49" i="15"/>
  <c r="Q30" i="15"/>
  <c r="Q58" i="15"/>
  <c r="J31" i="19"/>
  <c r="U54" i="15"/>
  <c r="V49" i="15"/>
  <c r="Q53" i="15"/>
  <c r="U59" i="15"/>
  <c r="F30" i="19"/>
  <c r="Q57" i="15"/>
  <c r="V47" i="15"/>
  <c r="Q4" i="18"/>
  <c r="V28" i="15"/>
  <c r="F26" i="19"/>
  <c r="J26" i="19" s="1"/>
  <c r="F28" i="19"/>
  <c r="V4" i="18"/>
  <c r="P47" i="15"/>
  <c r="U4" i="18"/>
  <c r="V54" i="15"/>
  <c r="V57" i="15"/>
  <c r="P58" i="15"/>
  <c r="Q59" i="15"/>
  <c r="U31" i="15"/>
  <c r="Q54" i="15"/>
  <c r="C33" i="19"/>
  <c r="F17" i="19"/>
  <c r="F16" i="19"/>
  <c r="J20" i="19"/>
  <c r="J24" i="19"/>
  <c r="Q47" i="15"/>
  <c r="F32" i="19"/>
  <c r="V52" i="15"/>
  <c r="F22" i="19"/>
  <c r="F18" i="19"/>
  <c r="J18" i="19" s="1"/>
  <c r="J32" i="19"/>
  <c r="P52" i="15"/>
  <c r="F27" i="19"/>
  <c r="Q52" i="15"/>
  <c r="U4" i="16"/>
  <c r="V44" i="15"/>
  <c r="P29" i="15"/>
  <c r="J27" i="19"/>
  <c r="U53" i="15"/>
  <c r="V4" i="16"/>
  <c r="U48" i="15"/>
  <c r="P53" i="15"/>
  <c r="P57" i="15"/>
  <c r="P54" i="15"/>
  <c r="Q48" i="15"/>
  <c r="Q4" i="16"/>
  <c r="Q49" i="15"/>
  <c r="J28" i="19"/>
  <c r="F19" i="19"/>
  <c r="P4" i="18"/>
  <c r="U28" i="15"/>
  <c r="Q32" i="15"/>
  <c r="Q28" i="15"/>
  <c r="P49" i="15"/>
  <c r="U47" i="15"/>
  <c r="P48" i="15"/>
  <c r="P4" i="16"/>
  <c r="V48" i="15"/>
  <c r="U44" i="15"/>
  <c r="P44" i="15"/>
  <c r="Q31" i="15"/>
  <c r="P28" i="15"/>
  <c r="P31" i="15"/>
  <c r="V31" i="15"/>
  <c r="V32" i="15"/>
  <c r="P59" i="15"/>
  <c r="V30" i="15"/>
  <c r="P32" i="15"/>
  <c r="F23" i="19"/>
  <c r="J23" i="19" s="1"/>
  <c r="U52" i="15"/>
  <c r="F25" i="19"/>
  <c r="P30" i="15"/>
  <c r="V29" i="15"/>
  <c r="J3" i="16"/>
  <c r="E33" i="19"/>
  <c r="M12" i="19" l="1"/>
  <c r="M13" i="19"/>
  <c r="M16" i="19"/>
  <c r="M24" i="19"/>
  <c r="M25" i="19"/>
  <c r="M26" i="19"/>
  <c r="M21" i="19"/>
  <c r="M29" i="19"/>
  <c r="M18" i="19"/>
  <c r="M22" i="19"/>
  <c r="M30" i="19"/>
  <c r="H33" i="19"/>
  <c r="K3" i="18"/>
  <c r="O3" i="18" s="1"/>
  <c r="K3" i="17"/>
  <c r="O3" i="17" s="1"/>
  <c r="K3" i="16"/>
  <c r="O3" i="16" s="1"/>
  <c r="K3" i="15"/>
  <c r="O3" i="15" s="1"/>
  <c r="N3" i="17"/>
  <c r="N3" i="16"/>
  <c r="N3" i="18"/>
  <c r="N3" i="15"/>
  <c r="J19" i="19"/>
  <c r="F33" i="19"/>
  <c r="J29" i="19"/>
  <c r="T29" i="19"/>
  <c r="S18" i="19"/>
  <c r="Y3" i="16" a="1"/>
  <c r="N21" i="19"/>
  <c r="O29" i="19"/>
  <c r="S21" i="19"/>
  <c r="O21" i="19"/>
  <c r="J16" i="19"/>
  <c r="T22" i="19"/>
  <c r="N25" i="19"/>
  <c r="T18" i="19"/>
  <c r="S25" i="19"/>
  <c r="Z3" i="16" a="1"/>
  <c r="U3" i="16"/>
  <c r="N13" i="19"/>
  <c r="Z3" i="17" a="1"/>
  <c r="C34" i="19"/>
  <c r="S30" i="19"/>
  <c r="V3" i="17"/>
  <c r="J25" i="19"/>
  <c r="O24" i="19"/>
  <c r="N26" i="19"/>
  <c r="N22" i="19"/>
  <c r="U3" i="15"/>
  <c r="O13" i="19"/>
  <c r="S16" i="19"/>
  <c r="J30" i="19"/>
  <c r="P3" i="15"/>
  <c r="T30" i="19"/>
  <c r="T25" i="19"/>
  <c r="U3" i="17"/>
  <c r="P3" i="18"/>
  <c r="T13" i="19"/>
  <c r="T21" i="19"/>
  <c r="T12" i="19"/>
  <c r="O12" i="19"/>
  <c r="N12" i="19"/>
  <c r="S12" i="19"/>
  <c r="V3" i="15"/>
  <c r="N18" i="19"/>
  <c r="Q3" i="16"/>
  <c r="P3" i="16"/>
  <c r="P3" i="17"/>
  <c r="T26" i="19"/>
  <c r="S13" i="19"/>
  <c r="O30" i="19"/>
  <c r="S29" i="19"/>
  <c r="O18" i="19"/>
  <c r="V3" i="18"/>
  <c r="S22" i="19"/>
  <c r="Q3" i="17"/>
  <c r="J33" i="19"/>
  <c r="S24" i="19"/>
  <c r="Q3" i="15"/>
  <c r="J17" i="19"/>
  <c r="T16" i="19"/>
  <c r="N29" i="19"/>
  <c r="T24" i="19"/>
  <c r="Q3" i="18"/>
  <c r="J22" i="19"/>
  <c r="S26" i="19"/>
  <c r="U3" i="18"/>
  <c r="O25" i="19"/>
  <c r="V3" i="16"/>
  <c r="O22" i="19"/>
  <c r="J21" i="19"/>
  <c r="N24" i="19"/>
  <c r="N30" i="19"/>
  <c r="N16" i="19"/>
  <c r="O26" i="19"/>
  <c r="O16" i="19"/>
  <c r="C35" i="19"/>
  <c r="C36" i="19"/>
  <c r="E35" i="19"/>
  <c r="F35" i="19" s="1"/>
  <c r="E36" i="19"/>
  <c r="F36" i="19" s="1"/>
  <c r="C37" i="19"/>
  <c r="E37" i="19"/>
  <c r="F37" i="19" s="1"/>
  <c r="H37" i="19" l="1"/>
  <c r="H36" i="19"/>
  <c r="H35" i="19"/>
  <c r="M28" i="19"/>
  <c r="H34" i="19"/>
  <c r="M14" i="19"/>
  <c r="M17" i="19"/>
  <c r="M15" i="19"/>
  <c r="M20" i="19"/>
  <c r="M23" i="19"/>
  <c r="M27" i="19"/>
  <c r="M19" i="19"/>
  <c r="Z26" i="16"/>
  <c r="Z27" i="16"/>
  <c r="Z28" i="16"/>
  <c r="Z37" i="16"/>
  <c r="Z46" i="16"/>
  <c r="Z55" i="16"/>
  <c r="Z9" i="16"/>
  <c r="Z34" i="16"/>
  <c r="Z35" i="16"/>
  <c r="Z36" i="16"/>
  <c r="Z45" i="16"/>
  <c r="Z54" i="16"/>
  <c r="Z8" i="16"/>
  <c r="Z17" i="16"/>
  <c r="Z42" i="16"/>
  <c r="Z43" i="16"/>
  <c r="Z44" i="16"/>
  <c r="Z53" i="16"/>
  <c r="Z7" i="16"/>
  <c r="Z16" i="16"/>
  <c r="Z25" i="16"/>
  <c r="Z11" i="16"/>
  <c r="Z5" i="16"/>
  <c r="Z38" i="16"/>
  <c r="Z40" i="16"/>
  <c r="Z19" i="16"/>
  <c r="Z13" i="16"/>
  <c r="Z15" i="16"/>
  <c r="Z48" i="16"/>
  <c r="Z51" i="16"/>
  <c r="Z21" i="16"/>
  <c r="Z23" i="16"/>
  <c r="Z56" i="16"/>
  <c r="Z10" i="16"/>
  <c r="Z59" i="16"/>
  <c r="Z29" i="16"/>
  <c r="Z31" i="16"/>
  <c r="Z33" i="16"/>
  <c r="Z18" i="16"/>
  <c r="Z6" i="16"/>
  <c r="Z41" i="16"/>
  <c r="Z12" i="16"/>
  <c r="Z47" i="16"/>
  <c r="Z58" i="16"/>
  <c r="Z22" i="16"/>
  <c r="Z57" i="16"/>
  <c r="Z30" i="16"/>
  <c r="Z4" i="16"/>
  <c r="Z39" i="16"/>
  <c r="Z50" i="16"/>
  <c r="Z14" i="16"/>
  <c r="Z49" i="16"/>
  <c r="Z20" i="16"/>
  <c r="Z24" i="16"/>
  <c r="Z3" i="16"/>
  <c r="Z52" i="16"/>
  <c r="Z32" i="16"/>
  <c r="Y18" i="16"/>
  <c r="Y19" i="16"/>
  <c r="Y20" i="16"/>
  <c r="Y29" i="16"/>
  <c r="Y38" i="16"/>
  <c r="Y47" i="16"/>
  <c r="Y56" i="16"/>
  <c r="Y26" i="16"/>
  <c r="Y27" i="16"/>
  <c r="Y28" i="16"/>
  <c r="Y37" i="16"/>
  <c r="Y46" i="16"/>
  <c r="Y55" i="16"/>
  <c r="Y9" i="16"/>
  <c r="Y34" i="16"/>
  <c r="Y35" i="16"/>
  <c r="Y36" i="16"/>
  <c r="Y45" i="16"/>
  <c r="Y54" i="16"/>
  <c r="Y42" i="16"/>
  <c r="Y4" i="16"/>
  <c r="Y6" i="16"/>
  <c r="Y39" i="16"/>
  <c r="Y25" i="16"/>
  <c r="Y50" i="16"/>
  <c r="Y12" i="16"/>
  <c r="Y14" i="16"/>
  <c r="Y8" i="16"/>
  <c r="Y33" i="16"/>
  <c r="Y58" i="16"/>
  <c r="Y44" i="16"/>
  <c r="Y22" i="16"/>
  <c r="Y16" i="16"/>
  <c r="Y41" i="16"/>
  <c r="Y3" i="16"/>
  <c r="Y52" i="16"/>
  <c r="Y30" i="16"/>
  <c r="Y24" i="16"/>
  <c r="Y49" i="16"/>
  <c r="Y5" i="16"/>
  <c r="Y7" i="16"/>
  <c r="Y43" i="16"/>
  <c r="Y15" i="16"/>
  <c r="Y21" i="16"/>
  <c r="Y11" i="16"/>
  <c r="Y32" i="16"/>
  <c r="Y57" i="16"/>
  <c r="Y13" i="16"/>
  <c r="Y40" i="16"/>
  <c r="Y51" i="16"/>
  <c r="Y23" i="16"/>
  <c r="Y48" i="16"/>
  <c r="Y10" i="16"/>
  <c r="Y59" i="16"/>
  <c r="Y53" i="16"/>
  <c r="Y31" i="16"/>
  <c r="Y17" i="16"/>
  <c r="Z58" i="17"/>
  <c r="Z27" i="17"/>
  <c r="Z4" i="17"/>
  <c r="Z68" i="17"/>
  <c r="Z45" i="17"/>
  <c r="Z22" i="17"/>
  <c r="Z86" i="17"/>
  <c r="Z63" i="17"/>
  <c r="Z40" i="17"/>
  <c r="Z17" i="17"/>
  <c r="Z81" i="17"/>
  <c r="Z66" i="17"/>
  <c r="Z35" i="17"/>
  <c r="Z12" i="17"/>
  <c r="Z76" i="17"/>
  <c r="Z53" i="17"/>
  <c r="Z30" i="17"/>
  <c r="Z7" i="17"/>
  <c r="Z71" i="17"/>
  <c r="Z48" i="17"/>
  <c r="Z25" i="17"/>
  <c r="Z89" i="17"/>
  <c r="Z10" i="17"/>
  <c r="Z74" i="17"/>
  <c r="Z43" i="17"/>
  <c r="Z20" i="17"/>
  <c r="Z84" i="17"/>
  <c r="Z61" i="17"/>
  <c r="Z38" i="17"/>
  <c r="Z15" i="17"/>
  <c r="Z79" i="17"/>
  <c r="Z56" i="17"/>
  <c r="Z33" i="17"/>
  <c r="Z18" i="17"/>
  <c r="Z82" i="17"/>
  <c r="Z51" i="17"/>
  <c r="Z28" i="17"/>
  <c r="Z5" i="17"/>
  <c r="Z69" i="17"/>
  <c r="Z46" i="17"/>
  <c r="Z23" i="17"/>
  <c r="Z87" i="17"/>
  <c r="Z64" i="17"/>
  <c r="Z41" i="17"/>
  <c r="Z26" i="17"/>
  <c r="Z59" i="17"/>
  <c r="Z13" i="17"/>
  <c r="Z54" i="17"/>
  <c r="Z8" i="17"/>
  <c r="Z49" i="17"/>
  <c r="Z34" i="17"/>
  <c r="Z67" i="17"/>
  <c r="Z21" i="17"/>
  <c r="Z62" i="17"/>
  <c r="Z16" i="17"/>
  <c r="Z57" i="17"/>
  <c r="Z42" i="17"/>
  <c r="Z75" i="17"/>
  <c r="Z29" i="17"/>
  <c r="Z70" i="17"/>
  <c r="Z24" i="17"/>
  <c r="Z65" i="17"/>
  <c r="Z50" i="17"/>
  <c r="Z83" i="17"/>
  <c r="Z37" i="17"/>
  <c r="Z78" i="17"/>
  <c r="Z32" i="17"/>
  <c r="Z73" i="17"/>
  <c r="Z90" i="17"/>
  <c r="Z36" i="17"/>
  <c r="Z77" i="17"/>
  <c r="Z31" i="17"/>
  <c r="Z72" i="17"/>
  <c r="Z3" i="17"/>
  <c r="Z44" i="17"/>
  <c r="Z85" i="17"/>
  <c r="Z39" i="17"/>
  <c r="Z80" i="17"/>
  <c r="Z11" i="17"/>
  <c r="Z52" i="17"/>
  <c r="Z6" i="17"/>
  <c r="Z47" i="17"/>
  <c r="Z88" i="17"/>
  <c r="Z19" i="17"/>
  <c r="Z60" i="17"/>
  <c r="Z14" i="17"/>
  <c r="Z55" i="17"/>
  <c r="Z9" i="17"/>
  <c r="M31" i="19"/>
  <c r="N28" i="17"/>
  <c r="N25" i="17"/>
  <c r="N20" i="17"/>
  <c r="N48" i="17"/>
  <c r="N27" i="17"/>
  <c r="N22" i="17"/>
  <c r="N50" i="17"/>
  <c r="N21" i="17"/>
  <c r="N24" i="17"/>
  <c r="N23" i="17"/>
  <c r="N38" i="17"/>
  <c r="N52" i="17"/>
  <c r="N30" i="17"/>
  <c r="N51" i="17"/>
  <c r="N43" i="17"/>
  <c r="N33" i="17"/>
  <c r="N26" i="17"/>
  <c r="N66" i="15"/>
  <c r="N41" i="15"/>
  <c r="N46" i="15"/>
  <c r="N61" i="15"/>
  <c r="N63" i="15"/>
  <c r="N51" i="15"/>
  <c r="N56" i="15"/>
  <c r="N43" i="15"/>
  <c r="N4" i="17"/>
  <c r="N14" i="17"/>
  <c r="N15" i="17"/>
  <c r="N12" i="17"/>
  <c r="N9" i="17"/>
  <c r="N13" i="17"/>
  <c r="N10" i="17"/>
  <c r="N7" i="17"/>
  <c r="N8" i="17"/>
  <c r="N11" i="17"/>
  <c r="N5" i="17"/>
  <c r="N6" i="17"/>
  <c r="N42" i="15"/>
  <c r="N35" i="15"/>
  <c r="N60" i="15"/>
  <c r="N34" i="15"/>
  <c r="N45" i="15"/>
  <c r="N33" i="15"/>
  <c r="N62" i="15"/>
  <c r="N39" i="15"/>
  <c r="N64" i="15"/>
  <c r="N65" i="15"/>
  <c r="N50" i="15"/>
  <c r="N40" i="15"/>
  <c r="N55" i="15"/>
  <c r="N38" i="15"/>
  <c r="N37" i="15"/>
  <c r="N36" i="15"/>
  <c r="J37" i="19"/>
  <c r="AC35" i="16"/>
  <c r="AC17" i="16"/>
  <c r="AA23" i="16"/>
  <c r="AC30" i="16"/>
  <c r="AD44" i="16"/>
  <c r="Q63" i="15"/>
  <c r="AA5" i="16"/>
  <c r="AE45" i="16"/>
  <c r="AB52" i="16"/>
  <c r="AC57" i="16"/>
  <c r="P33" i="17"/>
  <c r="AD31" i="16"/>
  <c r="AC52" i="16"/>
  <c r="Q24" i="17"/>
  <c r="AC13" i="16"/>
  <c r="AC4" i="16"/>
  <c r="U52" i="17"/>
  <c r="AA19" i="16"/>
  <c r="V50" i="17"/>
  <c r="AC37" i="16"/>
  <c r="Q50" i="17"/>
  <c r="AC46" i="16"/>
  <c r="U41" i="15"/>
  <c r="AB57" i="16"/>
  <c r="AE33" i="16"/>
  <c r="AA45" i="16"/>
  <c r="AD9" i="16"/>
  <c r="P27" i="17"/>
  <c r="AE31" i="16"/>
  <c r="AA33" i="16"/>
  <c r="U61" i="15"/>
  <c r="AD52" i="16"/>
  <c r="P26" i="17"/>
  <c r="AA43" i="16"/>
  <c r="AB7" i="16"/>
  <c r="AC44" i="16"/>
  <c r="AC36" i="16"/>
  <c r="AA24" i="16"/>
  <c r="AE56" i="16"/>
  <c r="AE9" i="16"/>
  <c r="AD18" i="16"/>
  <c r="AA58" i="16"/>
  <c r="V26" i="17"/>
  <c r="AA55" i="16"/>
  <c r="U26" i="17"/>
  <c r="AD10" i="16"/>
  <c r="U4" i="17"/>
  <c r="AD8" i="16"/>
  <c r="P56" i="15"/>
  <c r="N31" i="19"/>
  <c r="AD22" i="16"/>
  <c r="AA10" i="16"/>
  <c r="P63" i="15"/>
  <c r="U25" i="17"/>
  <c r="AC41" i="16"/>
  <c r="AE38" i="16"/>
  <c r="S23" i="19"/>
  <c r="AB27" i="16"/>
  <c r="AB38" i="16"/>
  <c r="AC27" i="16"/>
  <c r="AA47" i="16"/>
  <c r="T19" i="19"/>
  <c r="U20" i="17"/>
  <c r="AB29" i="16"/>
  <c r="AD48" i="16"/>
  <c r="AB18" i="16"/>
  <c r="Q28" i="17"/>
  <c r="Q22" i="17"/>
  <c r="AA51" i="16"/>
  <c r="V28" i="17"/>
  <c r="AE58" i="16"/>
  <c r="AB26" i="16"/>
  <c r="P28" i="17"/>
  <c r="AB45" i="16"/>
  <c r="AB17" i="16"/>
  <c r="AC34" i="16"/>
  <c r="AD59" i="16"/>
  <c r="AE59" i="16"/>
  <c r="AD25" i="16"/>
  <c r="AA13" i="16"/>
  <c r="AC58" i="16"/>
  <c r="AB33" i="16"/>
  <c r="P24" i="17"/>
  <c r="J36" i="19"/>
  <c r="AE5" i="16"/>
  <c r="AC45" i="16"/>
  <c r="AB9" i="16"/>
  <c r="AA53" i="16"/>
  <c r="S20" i="19"/>
  <c r="AA27" i="16"/>
  <c r="AE55" i="16"/>
  <c r="N23" i="19"/>
  <c r="AA40" i="16"/>
  <c r="AE24" i="16"/>
  <c r="AB54" i="16"/>
  <c r="AE52" i="16"/>
  <c r="AA30" i="16"/>
  <c r="AE12" i="16"/>
  <c r="AC24" i="16"/>
  <c r="AE54" i="16"/>
  <c r="AC39" i="16"/>
  <c r="AB40" i="16"/>
  <c r="AD34" i="16"/>
  <c r="AB47" i="16"/>
  <c r="AB46" i="16"/>
  <c r="Q56" i="15"/>
  <c r="Q48" i="17"/>
  <c r="AE57" i="16"/>
  <c r="AC49" i="16"/>
  <c r="AB58" i="16"/>
  <c r="AB34" i="16"/>
  <c r="AA6" i="16"/>
  <c r="V52" i="17"/>
  <c r="Q23" i="17"/>
  <c r="AA11" i="16"/>
  <c r="AB28" i="16"/>
  <c r="T14" i="19"/>
  <c r="O14" i="19"/>
  <c r="N14" i="19"/>
  <c r="S14" i="19"/>
  <c r="AE19" i="16"/>
  <c r="AE29" i="16"/>
  <c r="AD57" i="16"/>
  <c r="AC31" i="16"/>
  <c r="Y3" i="17" a="1"/>
  <c r="P52" i="17"/>
  <c r="AA41" i="16"/>
  <c r="Q30" i="17"/>
  <c r="AB10" i="16"/>
  <c r="AD24" i="16"/>
  <c r="AD50" i="16"/>
  <c r="AB4" i="16"/>
  <c r="AC54" i="16"/>
  <c r="P38" i="17"/>
  <c r="Q26" i="17"/>
  <c r="AE16" i="16"/>
  <c r="AE11" i="16"/>
  <c r="AB35" i="16"/>
  <c r="AD37" i="16"/>
  <c r="T17" i="19"/>
  <c r="O17" i="19"/>
  <c r="N17" i="19"/>
  <c r="S17" i="19"/>
  <c r="AE42" i="16"/>
  <c r="Q20" i="17"/>
  <c r="AD43" i="16"/>
  <c r="V66" i="15"/>
  <c r="AD33" i="16"/>
  <c r="AD16" i="16"/>
  <c r="O19" i="19"/>
  <c r="AA35" i="16"/>
  <c r="Q43" i="15"/>
  <c r="S27" i="19"/>
  <c r="AC22" i="16"/>
  <c r="U33" i="17"/>
  <c r="AD51" i="16"/>
  <c r="AC43" i="16"/>
  <c r="U51" i="15"/>
  <c r="AD28" i="16"/>
  <c r="AE18" i="16"/>
  <c r="AB50" i="16"/>
  <c r="AA25" i="16"/>
  <c r="J35" i="19"/>
  <c r="AB31" i="16"/>
  <c r="AE8" i="16"/>
  <c r="AB6" i="16"/>
  <c r="T20" i="19"/>
  <c r="AC20" i="16"/>
  <c r="V41" i="15"/>
  <c r="AC10" i="16"/>
  <c r="V51" i="15"/>
  <c r="AC47" i="16"/>
  <c r="AB41" i="16"/>
  <c r="U38" i="17"/>
  <c r="AD36" i="16"/>
  <c r="O23" i="19"/>
  <c r="AC28" i="16"/>
  <c r="S15" i="19"/>
  <c r="AB20" i="16"/>
  <c r="AE32" i="16"/>
  <c r="O31" i="19"/>
  <c r="AE7" i="16"/>
  <c r="AC6" i="16"/>
  <c r="AE26" i="16"/>
  <c r="AC59" i="16"/>
  <c r="AE20" i="16"/>
  <c r="S19" i="19"/>
  <c r="AA9" i="16"/>
  <c r="AB32" i="16"/>
  <c r="AD14" i="16"/>
  <c r="AE48" i="16"/>
  <c r="AD56" i="16"/>
  <c r="AE36" i="16"/>
  <c r="P21" i="17"/>
  <c r="AB22" i="16"/>
  <c r="U46" i="15"/>
  <c r="AA32" i="16"/>
  <c r="AD27" i="16"/>
  <c r="V38" i="17"/>
  <c r="AA56" i="16"/>
  <c r="AC21" i="16"/>
  <c r="AA17" i="16"/>
  <c r="P43" i="15"/>
  <c r="Q66" i="15"/>
  <c r="AB8" i="16"/>
  <c r="AD15" i="16"/>
  <c r="AA31" i="16"/>
  <c r="Q4" i="17"/>
  <c r="AD32" i="16"/>
  <c r="O15" i="19"/>
  <c r="AC56" i="16"/>
  <c r="Q51" i="17"/>
  <c r="AD17" i="16"/>
  <c r="AB59" i="16"/>
  <c r="AE35" i="16"/>
  <c r="AB49" i="16"/>
  <c r="AD23" i="16"/>
  <c r="N19" i="19"/>
  <c r="AE34" i="16"/>
  <c r="AD49" i="16"/>
  <c r="AC32" i="16"/>
  <c r="AE10" i="16"/>
  <c r="AE44" i="16"/>
  <c r="AE17" i="16"/>
  <c r="AA12" i="16"/>
  <c r="AE39" i="16"/>
  <c r="AD40" i="16"/>
  <c r="U66" i="15"/>
  <c r="V51" i="17"/>
  <c r="AA15" i="16"/>
  <c r="Q43" i="17"/>
  <c r="P30" i="17"/>
  <c r="AC8" i="16"/>
  <c r="AC50" i="16"/>
  <c r="U48" i="17"/>
  <c r="AA14" i="16"/>
  <c r="AA39" i="16"/>
  <c r="AA28" i="16"/>
  <c r="AB13" i="16"/>
  <c r="AC25" i="16"/>
  <c r="V33" i="17"/>
  <c r="AA49" i="16"/>
  <c r="U56" i="15"/>
  <c r="U43" i="17"/>
  <c r="P41" i="15"/>
  <c r="AB53" i="16"/>
  <c r="AE25" i="16"/>
  <c r="AB30" i="16"/>
  <c r="AC42" i="16"/>
  <c r="Q51" i="15"/>
  <c r="AB55" i="16"/>
  <c r="AD45" i="16"/>
  <c r="S28" i="19"/>
  <c r="T28" i="19"/>
  <c r="N28" i="19"/>
  <c r="O28" i="19"/>
  <c r="AC18" i="16"/>
  <c r="AD21" i="16"/>
  <c r="N20" i="19"/>
  <c r="AC14" i="16"/>
  <c r="U30" i="17"/>
  <c r="P46" i="15"/>
  <c r="AD39" i="16"/>
  <c r="AE13" i="16"/>
  <c r="P23" i="17"/>
  <c r="P43" i="17"/>
  <c r="AB42" i="16"/>
  <c r="U50" i="17"/>
  <c r="AE27" i="16"/>
  <c r="Q61" i="15"/>
  <c r="AA18" i="16"/>
  <c r="AB15" i="16"/>
  <c r="AA20" i="16"/>
  <c r="E34" i="19"/>
  <c r="F34" i="19" s="1"/>
  <c r="AB36" i="16"/>
  <c r="AD38" i="16"/>
  <c r="O20" i="19"/>
  <c r="AB23" i="16"/>
  <c r="U27" i="17"/>
  <c r="AA50" i="16"/>
  <c r="AC5" i="16"/>
  <c r="P66" i="15"/>
  <c r="AA21" i="16"/>
  <c r="T27" i="19"/>
  <c r="AC40" i="16"/>
  <c r="AD6" i="16"/>
  <c r="P51" i="17"/>
  <c r="AC11" i="16"/>
  <c r="Q27" i="17"/>
  <c r="AE15" i="16"/>
  <c r="AA16" i="16"/>
  <c r="AD55" i="16"/>
  <c r="AD26" i="16"/>
  <c r="Q38" i="17"/>
  <c r="AB14" i="16"/>
  <c r="P4" i="17"/>
  <c r="AB19" i="16"/>
  <c r="AD35" i="16"/>
  <c r="AA4" i="16"/>
  <c r="AA48" i="16"/>
  <c r="AA59" i="16"/>
  <c r="AD5" i="16"/>
  <c r="AA38" i="16"/>
  <c r="T31" i="19"/>
  <c r="AC7" i="16"/>
  <c r="AD7" i="16"/>
  <c r="AC33" i="16"/>
  <c r="U24" i="17"/>
  <c r="AA42" i="16"/>
  <c r="AD46" i="16"/>
  <c r="AB25" i="16"/>
  <c r="AB48" i="16"/>
  <c r="AE40" i="16"/>
  <c r="P50" i="17"/>
  <c r="N27" i="19"/>
  <c r="AB37" i="16"/>
  <c r="AE4" i="16"/>
  <c r="V27" i="17"/>
  <c r="AC19" i="16"/>
  <c r="U43" i="15"/>
  <c r="AB16" i="16"/>
  <c r="AD58" i="16"/>
  <c r="AD30" i="16"/>
  <c r="AD12" i="16"/>
  <c r="AE21" i="16"/>
  <c r="AA26" i="16"/>
  <c r="AB5" i="16"/>
  <c r="AD47" i="16"/>
  <c r="AC16" i="16"/>
  <c r="AC15" i="16"/>
  <c r="U28" i="17"/>
  <c r="AD19" i="16"/>
  <c r="AA37" i="16"/>
  <c r="Q21" i="17"/>
  <c r="AC55" i="16"/>
  <c r="AA34" i="16"/>
  <c r="V24" i="17"/>
  <c r="N15" i="19"/>
  <c r="Q33" i="17"/>
  <c r="AB39" i="16"/>
  <c r="AA52" i="16"/>
  <c r="AC26" i="16"/>
  <c r="AB56" i="16"/>
  <c r="AC23" i="16"/>
  <c r="AB51" i="16"/>
  <c r="AC48" i="16"/>
  <c r="S31" i="19"/>
  <c r="AC51" i="16"/>
  <c r="AC53" i="16"/>
  <c r="U63" i="15"/>
  <c r="V20" i="17"/>
  <c r="AE41" i="16"/>
  <c r="AD13" i="16"/>
  <c r="V22" i="17"/>
  <c r="V21" i="17"/>
  <c r="AA54" i="16"/>
  <c r="AD4" i="16"/>
  <c r="Q41" i="15"/>
  <c r="AC38" i="16"/>
  <c r="Q25" i="17"/>
  <c r="AD53" i="16"/>
  <c r="U22" i="17"/>
  <c r="Q46" i="15"/>
  <c r="AD20" i="16"/>
  <c r="AE50" i="16"/>
  <c r="V56" i="15"/>
  <c r="AE46" i="16"/>
  <c r="Q52" i="17"/>
  <c r="V4" i="17"/>
  <c r="AA8" i="16"/>
  <c r="P20" i="17"/>
  <c r="P61" i="15"/>
  <c r="AA36" i="16"/>
  <c r="U21" i="17"/>
  <c r="AB12" i="16"/>
  <c r="AB21" i="16"/>
  <c r="V30" i="17"/>
  <c r="P48" i="17"/>
  <c r="AE22" i="16"/>
  <c r="V25" i="17"/>
  <c r="AE14" i="16"/>
  <c r="AB11" i="16"/>
  <c r="P25" i="17"/>
  <c r="AE37" i="16"/>
  <c r="AD11" i="16"/>
  <c r="AE53" i="16"/>
  <c r="T15" i="19"/>
  <c r="V23" i="17"/>
  <c r="T23" i="19"/>
  <c r="V63" i="15"/>
  <c r="AD42" i="16"/>
  <c r="AA57" i="16"/>
  <c r="AE23" i="16"/>
  <c r="AD29" i="16"/>
  <c r="V43" i="17"/>
  <c r="V46" i="15"/>
  <c r="AC29" i="16"/>
  <c r="AA7" i="16"/>
  <c r="AE6" i="16"/>
  <c r="AA29" i="16"/>
  <c r="AA46" i="16"/>
  <c r="V61" i="15"/>
  <c r="O27" i="19"/>
  <c r="U51" i="17"/>
  <c r="P22" i="17"/>
  <c r="AE28" i="16"/>
  <c r="AB44" i="16"/>
  <c r="V43" i="15"/>
  <c r="AC12" i="16"/>
  <c r="AD54" i="16"/>
  <c r="AE49" i="16"/>
  <c r="AA44" i="16"/>
  <c r="V48" i="17"/>
  <c r="AE51" i="16"/>
  <c r="AE47" i="16"/>
  <c r="AE43" i="16"/>
  <c r="AB24" i="16"/>
  <c r="AC9" i="16"/>
  <c r="AD41" i="16"/>
  <c r="AE30" i="16"/>
  <c r="AA22" i="16"/>
  <c r="U23" i="17"/>
  <c r="P51" i="15"/>
  <c r="AB43" i="16"/>
  <c r="M33" i="19" l="1"/>
  <c r="M34" i="19"/>
  <c r="M35" i="19"/>
  <c r="X53" i="16"/>
  <c r="X57" i="16"/>
  <c r="X49" i="16"/>
  <c r="X44" i="16"/>
  <c r="X39" i="16"/>
  <c r="X34" i="16"/>
  <c r="X56" i="16"/>
  <c r="X59" i="16"/>
  <c r="X32" i="16"/>
  <c r="X24" i="16"/>
  <c r="X58" i="16"/>
  <c r="X6" i="16"/>
  <c r="X9" i="16"/>
  <c r="X47" i="16"/>
  <c r="X10" i="16"/>
  <c r="X11" i="16"/>
  <c r="X30" i="16"/>
  <c r="X33" i="16"/>
  <c r="X4" i="16"/>
  <c r="X55" i="16"/>
  <c r="X38" i="16"/>
  <c r="X48" i="16"/>
  <c r="X21" i="16"/>
  <c r="X52" i="16"/>
  <c r="X8" i="16"/>
  <c r="X42" i="16"/>
  <c r="X46" i="16"/>
  <c r="X29" i="16"/>
  <c r="X23" i="16"/>
  <c r="X15" i="16"/>
  <c r="X14" i="16"/>
  <c r="X54" i="16"/>
  <c r="X37" i="16"/>
  <c r="X20" i="16"/>
  <c r="X51" i="16"/>
  <c r="X43" i="16"/>
  <c r="X41" i="16"/>
  <c r="X12" i="16"/>
  <c r="X45" i="16"/>
  <c r="X28" i="16"/>
  <c r="X19" i="16"/>
  <c r="X17" i="16"/>
  <c r="X40" i="16"/>
  <c r="X7" i="16"/>
  <c r="X16" i="16"/>
  <c r="X50" i="16"/>
  <c r="X36" i="16"/>
  <c r="X27" i="16"/>
  <c r="X18" i="16"/>
  <c r="X31" i="16"/>
  <c r="X13" i="16"/>
  <c r="X5" i="16"/>
  <c r="X22" i="16"/>
  <c r="X25" i="16"/>
  <c r="X35" i="16"/>
  <c r="X26" i="16"/>
  <c r="Y58" i="17"/>
  <c r="Y27" i="17"/>
  <c r="Y4" i="17"/>
  <c r="Y68" i="17"/>
  <c r="Y45" i="17"/>
  <c r="Y22" i="17"/>
  <c r="Y86" i="17"/>
  <c r="Y63" i="17"/>
  <c r="Y40" i="17"/>
  <c r="Y17" i="17"/>
  <c r="Y81" i="17"/>
  <c r="Y66" i="17"/>
  <c r="Y35" i="17"/>
  <c r="Y12" i="17"/>
  <c r="Y76" i="17"/>
  <c r="Y53" i="17"/>
  <c r="Y30" i="17"/>
  <c r="Y7" i="17"/>
  <c r="Y71" i="17"/>
  <c r="Y48" i="17"/>
  <c r="Y25" i="17"/>
  <c r="Y89" i="17"/>
  <c r="Y10" i="17"/>
  <c r="Y74" i="17"/>
  <c r="Y43" i="17"/>
  <c r="Y20" i="17"/>
  <c r="Y84" i="17"/>
  <c r="Y61" i="17"/>
  <c r="Y38" i="17"/>
  <c r="Y15" i="17"/>
  <c r="Y79" i="17"/>
  <c r="Y56" i="17"/>
  <c r="Y33" i="17"/>
  <c r="Y18" i="17"/>
  <c r="Y82" i="17"/>
  <c r="Y51" i="17"/>
  <c r="Y90" i="17"/>
  <c r="Y28" i="17"/>
  <c r="Y29" i="17"/>
  <c r="Y54" i="17"/>
  <c r="Y55" i="17"/>
  <c r="Y80" i="17"/>
  <c r="Y3" i="17"/>
  <c r="Y36" i="17"/>
  <c r="Y37" i="17"/>
  <c r="Y62" i="17"/>
  <c r="Y87" i="17"/>
  <c r="Y88" i="17"/>
  <c r="Y11" i="17"/>
  <c r="Y44" i="17"/>
  <c r="Y69" i="17"/>
  <c r="Y70" i="17"/>
  <c r="Y8" i="17"/>
  <c r="Y9" i="17"/>
  <c r="Y19" i="17"/>
  <c r="Y52" i="17"/>
  <c r="Y77" i="17"/>
  <c r="Y78" i="17"/>
  <c r="Y16" i="17"/>
  <c r="Y41" i="17"/>
  <c r="Y26" i="17"/>
  <c r="Y59" i="17"/>
  <c r="Y60" i="17"/>
  <c r="Y85" i="17"/>
  <c r="Y23" i="17"/>
  <c r="Y24" i="17"/>
  <c r="Y49" i="17"/>
  <c r="Y34" i="17"/>
  <c r="Y67" i="17"/>
  <c r="Y5" i="17"/>
  <c r="Y6" i="17"/>
  <c r="Y31" i="17"/>
  <c r="Y32" i="17"/>
  <c r="Y57" i="17"/>
  <c r="Y42" i="17"/>
  <c r="Y75" i="17"/>
  <c r="Y13" i="17"/>
  <c r="Y14" i="17"/>
  <c r="Y39" i="17"/>
  <c r="Y64" i="17"/>
  <c r="Y65" i="17"/>
  <c r="Y50" i="17"/>
  <c r="Y83" i="17"/>
  <c r="Y21" i="17"/>
  <c r="Y46" i="17"/>
  <c r="Y47" i="17"/>
  <c r="Y72" i="17"/>
  <c r="Y73" i="17"/>
  <c r="C28" i="14"/>
  <c r="C25" i="14"/>
  <c r="C26" i="14"/>
  <c r="C29" i="14"/>
  <c r="C32" i="14"/>
  <c r="C37" i="14"/>
  <c r="C40" i="14"/>
  <c r="C34" i="14"/>
  <c r="C39" i="14"/>
  <c r="C41" i="14"/>
  <c r="C24" i="14"/>
  <c r="C31" i="14"/>
  <c r="C38" i="14"/>
  <c r="C27" i="14"/>
  <c r="C35" i="14"/>
  <c r="C23" i="14"/>
  <c r="C30" i="14"/>
  <c r="C33" i="14"/>
  <c r="C22" i="14"/>
  <c r="C42" i="14"/>
  <c r="C36" i="14"/>
  <c r="J34" i="19"/>
  <c r="AC30" i="17"/>
  <c r="AB18" i="17"/>
  <c r="AD16" i="17"/>
  <c r="AB75" i="17"/>
  <c r="AC46" i="17"/>
  <c r="AC76" i="17"/>
  <c r="AC56" i="17"/>
  <c r="AE86" i="17"/>
  <c r="AD10" i="17"/>
  <c r="AB84" i="17"/>
  <c r="AC87" i="17"/>
  <c r="AB42" i="17"/>
  <c r="AA77" i="17"/>
  <c r="AD57" i="17"/>
  <c r="AE66" i="17"/>
  <c r="AD38" i="17"/>
  <c r="AD28" i="17"/>
  <c r="AE6" i="17"/>
  <c r="AC5" i="17"/>
  <c r="AE17" i="17"/>
  <c r="AD8" i="17"/>
  <c r="AB49" i="17"/>
  <c r="AE32" i="17"/>
  <c r="AB4" i="17"/>
  <c r="AB61" i="17"/>
  <c r="AC67" i="17"/>
  <c r="AA6" i="17"/>
  <c r="AB32" i="17"/>
  <c r="AB37" i="17"/>
  <c r="AA85" i="17"/>
  <c r="AA36" i="17"/>
  <c r="AD55" i="17"/>
  <c r="AE55" i="17"/>
  <c r="AC41" i="17"/>
  <c r="AA76" i="17"/>
  <c r="AD15" i="17"/>
  <c r="AD87" i="17"/>
  <c r="AA49" i="17"/>
  <c r="AD53" i="17"/>
  <c r="AA7" i="17"/>
  <c r="AB81" i="17"/>
  <c r="AA46" i="17"/>
  <c r="AA56" i="17"/>
  <c r="AD43" i="17"/>
  <c r="AC10" i="17"/>
  <c r="AE7" i="17"/>
  <c r="AE89" i="17"/>
  <c r="AE69" i="17"/>
  <c r="AD89" i="17"/>
  <c r="AC52" i="17"/>
  <c r="AB22" i="17"/>
  <c r="AD77" i="17"/>
  <c r="AE39" i="17"/>
  <c r="AD49" i="17"/>
  <c r="AE43" i="17"/>
  <c r="AC59" i="17"/>
  <c r="AC49" i="17"/>
  <c r="AE47" i="17"/>
  <c r="AA54" i="17"/>
  <c r="AC89" i="17"/>
  <c r="AA71" i="17"/>
  <c r="AD82" i="17"/>
  <c r="AD60" i="17"/>
  <c r="AB9" i="17"/>
  <c r="AB57" i="17"/>
  <c r="AD37" i="17"/>
  <c r="AE50" i="17"/>
  <c r="AC4" i="17"/>
  <c r="AA17" i="17"/>
  <c r="AA70" i="17"/>
  <c r="AB89" i="17"/>
  <c r="AC20" i="17"/>
  <c r="AB38" i="17"/>
  <c r="AE64" i="17"/>
  <c r="AA34" i="17"/>
  <c r="AC51" i="17"/>
  <c r="AA30" i="17"/>
  <c r="AE67" i="17"/>
  <c r="AD36" i="17"/>
  <c r="AD66" i="17"/>
  <c r="AB28" i="17"/>
  <c r="AD73" i="17"/>
  <c r="AE75" i="17"/>
  <c r="AD70" i="17"/>
  <c r="N33" i="19"/>
  <c r="T33" i="19"/>
  <c r="S33" i="19"/>
  <c r="O33" i="19"/>
  <c r="AC33" i="17"/>
  <c r="AA44" i="17"/>
  <c r="AE49" i="17"/>
  <c r="AD21" i="17"/>
  <c r="AC12" i="17"/>
  <c r="AC79" i="17"/>
  <c r="AB88" i="17"/>
  <c r="AD74" i="17"/>
  <c r="AB87" i="17"/>
  <c r="AA68" i="17"/>
  <c r="AB72" i="17"/>
  <c r="AE11" i="17"/>
  <c r="AA66" i="17"/>
  <c r="AD32" i="17"/>
  <c r="AA4" i="17"/>
  <c r="AB48" i="17"/>
  <c r="AA90" i="17"/>
  <c r="AD9" i="17"/>
  <c r="AA39" i="17"/>
  <c r="AA86" i="17"/>
  <c r="AE44" i="17"/>
  <c r="AB15" i="17"/>
  <c r="AA61" i="17"/>
  <c r="AB27" i="17"/>
  <c r="AD81" i="17"/>
  <c r="AB51" i="17"/>
  <c r="AD13" i="17"/>
  <c r="AE56" i="17"/>
  <c r="AD80" i="17"/>
  <c r="AA67" i="17"/>
  <c r="AD58" i="17"/>
  <c r="AE23" i="17"/>
  <c r="AB65" i="17"/>
  <c r="AD45" i="17"/>
  <c r="AC29" i="17"/>
  <c r="AD47" i="17"/>
  <c r="AD25" i="17"/>
  <c r="AC42" i="17"/>
  <c r="AD69" i="17"/>
  <c r="AB52" i="17"/>
  <c r="AA80" i="17"/>
  <c r="AA53" i="17"/>
  <c r="AD68" i="17"/>
  <c r="AB64" i="17"/>
  <c r="AD85" i="17"/>
  <c r="AD78" i="17"/>
  <c r="AA82" i="17"/>
  <c r="AA63" i="17"/>
  <c r="AB19" i="17"/>
  <c r="AE34" i="17"/>
  <c r="AE22" i="17"/>
  <c r="AA57" i="17"/>
  <c r="AC32" i="17"/>
  <c r="AC60" i="17"/>
  <c r="AE87" i="17"/>
  <c r="AC28" i="17"/>
  <c r="AE8" i="17"/>
  <c r="AC62" i="17"/>
  <c r="AA88" i="17"/>
  <c r="AE14" i="17"/>
  <c r="AE48" i="17"/>
  <c r="AE77" i="17"/>
  <c r="AD19" i="17"/>
  <c r="AC31" i="17"/>
  <c r="AD17" i="17"/>
  <c r="S34" i="19"/>
  <c r="O34" i="19"/>
  <c r="N34" i="19"/>
  <c r="T34" i="19"/>
  <c r="AC55" i="17"/>
  <c r="AE78" i="17"/>
  <c r="AA83" i="17"/>
  <c r="AB35" i="17"/>
  <c r="AA15" i="17"/>
  <c r="AE29" i="17"/>
  <c r="AD52" i="17"/>
  <c r="AC88" i="17"/>
  <c r="AC72" i="17"/>
  <c r="AE51" i="17"/>
  <c r="AE88" i="17"/>
  <c r="AD27" i="17"/>
  <c r="AB70" i="17"/>
  <c r="AA65" i="17"/>
  <c r="AE81" i="17"/>
  <c r="AA51" i="17"/>
  <c r="AB8" i="17"/>
  <c r="AB5" i="17"/>
  <c r="AE5" i="17"/>
  <c r="AA84" i="17"/>
  <c r="AA73" i="17"/>
  <c r="AB7" i="17"/>
  <c r="AE83" i="17"/>
  <c r="AC68" i="17"/>
  <c r="AE25" i="17"/>
  <c r="AE30" i="17"/>
  <c r="AC36" i="17"/>
  <c r="AE28" i="17"/>
  <c r="AC57" i="17"/>
  <c r="AA25" i="17"/>
  <c r="AB31" i="17"/>
  <c r="AC74" i="17"/>
  <c r="AD75" i="17"/>
  <c r="AE20" i="17"/>
  <c r="AE84" i="17"/>
  <c r="S35" i="19"/>
  <c r="T35" i="19"/>
  <c r="O35" i="19"/>
  <c r="N35" i="19"/>
  <c r="AC7" i="17"/>
  <c r="AD41" i="17"/>
  <c r="AD86" i="17"/>
  <c r="AC27" i="17"/>
  <c r="AE71" i="17"/>
  <c r="AD44" i="17"/>
  <c r="AE21" i="17"/>
  <c r="AE76" i="17"/>
  <c r="AE33" i="17"/>
  <c r="AA60" i="17"/>
  <c r="AD33" i="17"/>
  <c r="AB69" i="17"/>
  <c r="AE90" i="17"/>
  <c r="AD11" i="17"/>
  <c r="AE79" i="17"/>
  <c r="AD40" i="17"/>
  <c r="AE4" i="17"/>
  <c r="AD5" i="17"/>
  <c r="AD30" i="17"/>
  <c r="AD90" i="17"/>
  <c r="AA10" i="17"/>
  <c r="AC25" i="17"/>
  <c r="AC21" i="17"/>
  <c r="AC19" i="17"/>
  <c r="AA45" i="17"/>
  <c r="AD18" i="17"/>
  <c r="AB76" i="17"/>
  <c r="AA48" i="17"/>
  <c r="AB39" i="17"/>
  <c r="AC70" i="17"/>
  <c r="AA50" i="17"/>
  <c r="AC90" i="17"/>
  <c r="AB24" i="17"/>
  <c r="AA69" i="17"/>
  <c r="AC35" i="17"/>
  <c r="AB79" i="17"/>
  <c r="AE63" i="17"/>
  <c r="AC11" i="17"/>
  <c r="AC16" i="17"/>
  <c r="AC71" i="17"/>
  <c r="AA43" i="17"/>
  <c r="AD72" i="17"/>
  <c r="AA58" i="17"/>
  <c r="AE26" i="17"/>
  <c r="AA28" i="17"/>
  <c r="AB54" i="17"/>
  <c r="AD29" i="17"/>
  <c r="AE37" i="17"/>
  <c r="AA31" i="17"/>
  <c r="AB23" i="17"/>
  <c r="AA8" i="17"/>
  <c r="AA38" i="17"/>
  <c r="AB40" i="17"/>
  <c r="AA26" i="17"/>
  <c r="AD54" i="17"/>
  <c r="AC77" i="17"/>
  <c r="AE12" i="17"/>
  <c r="AB16" i="17"/>
  <c r="AD83" i="17"/>
  <c r="AA27" i="17"/>
  <c r="AB50" i="17"/>
  <c r="AC65" i="17"/>
  <c r="AE54" i="17"/>
  <c r="AE60" i="17"/>
  <c r="AE59" i="17"/>
  <c r="AD48" i="17"/>
  <c r="AD84" i="17"/>
  <c r="AC63" i="17"/>
  <c r="AE13" i="17"/>
  <c r="AB30" i="17"/>
  <c r="AA13" i="17"/>
  <c r="AD63" i="17"/>
  <c r="AC83" i="17"/>
  <c r="AC66" i="17"/>
  <c r="AC24" i="17"/>
  <c r="AA52" i="17"/>
  <c r="AD71" i="17"/>
  <c r="AD20" i="17"/>
  <c r="AC34" i="17"/>
  <c r="AE24" i="17"/>
  <c r="AA5" i="17"/>
  <c r="AA40" i="17"/>
  <c r="AC13" i="17"/>
  <c r="AA33" i="17"/>
  <c r="AD56" i="17"/>
  <c r="AD62" i="17"/>
  <c r="AD26" i="17"/>
  <c r="AB25" i="17"/>
  <c r="AB13" i="17"/>
  <c r="AA29" i="17"/>
  <c r="AE73" i="17"/>
  <c r="AE18" i="17"/>
  <c r="AB41" i="17"/>
  <c r="AA32" i="17"/>
  <c r="AC9" i="17"/>
  <c r="AC64" i="17"/>
  <c r="AE9" i="17"/>
  <c r="AA47" i="17"/>
  <c r="AB11" i="17"/>
  <c r="AE52" i="17"/>
  <c r="AD31" i="17"/>
  <c r="AD34" i="17"/>
  <c r="AB44" i="17"/>
  <c r="AC14" i="17"/>
  <c r="AA22" i="17"/>
  <c r="AB68" i="17"/>
  <c r="AE19" i="17"/>
  <c r="AA64" i="17"/>
  <c r="AB60" i="17"/>
  <c r="AB90" i="17"/>
  <c r="AE85" i="17"/>
  <c r="AE65" i="17"/>
  <c r="AB73" i="17"/>
  <c r="AB85" i="17"/>
  <c r="AE41" i="17"/>
  <c r="AC15" i="17"/>
  <c r="AE35" i="17"/>
  <c r="AA75" i="17"/>
  <c r="AC58" i="17"/>
  <c r="AD59" i="17"/>
  <c r="AE72" i="17"/>
  <c r="AD67" i="17"/>
  <c r="AD6" i="17"/>
  <c r="AA78" i="17"/>
  <c r="AD23" i="17"/>
  <c r="AC8" i="17"/>
  <c r="AB6" i="17"/>
  <c r="AC82" i="17"/>
  <c r="AA55" i="17"/>
  <c r="AC6" i="17"/>
  <c r="AA12" i="17"/>
  <c r="AD24" i="17"/>
  <c r="AA37" i="17"/>
  <c r="AC23" i="17"/>
  <c r="AC81" i="17"/>
  <c r="AC39" i="17"/>
  <c r="AE82" i="17"/>
  <c r="AA87" i="17"/>
  <c r="AE38" i="17"/>
  <c r="AC69" i="17"/>
  <c r="AE42" i="17"/>
  <c r="AE74" i="17"/>
  <c r="AD7" i="17"/>
  <c r="AB74" i="17"/>
  <c r="AA16" i="17"/>
  <c r="AD14" i="17"/>
  <c r="AB10" i="17"/>
  <c r="AA81" i="17"/>
  <c r="AC22" i="17"/>
  <c r="AC38" i="17"/>
  <c r="AC26" i="17"/>
  <c r="AE16" i="17"/>
  <c r="AA42" i="17"/>
  <c r="AB20" i="17"/>
  <c r="AA23" i="17"/>
  <c r="AD76" i="17"/>
  <c r="AB63" i="17"/>
  <c r="AB47" i="17"/>
  <c r="AE27" i="17"/>
  <c r="AB58" i="17"/>
  <c r="AB82" i="17"/>
  <c r="AB45" i="17"/>
  <c r="AD22" i="17"/>
  <c r="AD88" i="17"/>
  <c r="AB66" i="17"/>
  <c r="AE70" i="17"/>
  <c r="AC84" i="17"/>
  <c r="AC47" i="17"/>
  <c r="AC78" i="17"/>
  <c r="AB56" i="17"/>
  <c r="AB83" i="17"/>
  <c r="AA41" i="17"/>
  <c r="AA79" i="17"/>
  <c r="AB29" i="17"/>
  <c r="AD51" i="17"/>
  <c r="AA20" i="17"/>
  <c r="AD79" i="17"/>
  <c r="AC85" i="17"/>
  <c r="AB34" i="17"/>
  <c r="AB77" i="17"/>
  <c r="AA19" i="17"/>
  <c r="AE31" i="17"/>
  <c r="AE15" i="17"/>
  <c r="AD61" i="17"/>
  <c r="AB36" i="17"/>
  <c r="AA21" i="17"/>
  <c r="AC53" i="17"/>
  <c r="AE53" i="17"/>
  <c r="AE62" i="17"/>
  <c r="AD42" i="17"/>
  <c r="AC61" i="17"/>
  <c r="AA18" i="17"/>
  <c r="AD50" i="17"/>
  <c r="AD64" i="17"/>
  <c r="AB21" i="17"/>
  <c r="AA72" i="17"/>
  <c r="AA35" i="17"/>
  <c r="AD39" i="17"/>
  <c r="AC48" i="17"/>
  <c r="AD12" i="17"/>
  <c r="AC44" i="17"/>
  <c r="AE46" i="17"/>
  <c r="AB67" i="17"/>
  <c r="AE61" i="17"/>
  <c r="AE68" i="17"/>
  <c r="AA59" i="17"/>
  <c r="AE80" i="17"/>
  <c r="AE40" i="17"/>
  <c r="AA9" i="17"/>
  <c r="AA89" i="17"/>
  <c r="AC73" i="17"/>
  <c r="AA62" i="17"/>
  <c r="AB53" i="17"/>
  <c r="AC45" i="17"/>
  <c r="AD46" i="17"/>
  <c r="AC18" i="17"/>
  <c r="AE10" i="17"/>
  <c r="AB86" i="17"/>
  <c r="AD65" i="17"/>
  <c r="AA24" i="17"/>
  <c r="AC54" i="17"/>
  <c r="AE45" i="17"/>
  <c r="AC80" i="17"/>
  <c r="AC86" i="17"/>
  <c r="AA14" i="17"/>
  <c r="AD4" i="17"/>
  <c r="AC43" i="17"/>
  <c r="AA11" i="17"/>
  <c r="AC75" i="17"/>
  <c r="AB17" i="17"/>
  <c r="AB26" i="17"/>
  <c r="AC17" i="17"/>
  <c r="AB62" i="17"/>
  <c r="AE36" i="17"/>
  <c r="AA74" i="17"/>
  <c r="AB14" i="17"/>
  <c r="AB43" i="17"/>
  <c r="AE58" i="17"/>
  <c r="AB71" i="17"/>
  <c r="AB46" i="17"/>
  <c r="AB80" i="17"/>
  <c r="AB33" i="17"/>
  <c r="AB78" i="17"/>
  <c r="AE57" i="17"/>
  <c r="AB12" i="17"/>
  <c r="AC40" i="17"/>
  <c r="AD35" i="17"/>
  <c r="AB55" i="17"/>
  <c r="AC50" i="17"/>
  <c r="AB59" i="17"/>
  <c r="AC37" i="17"/>
  <c r="M32" i="19" l="1"/>
  <c r="X4" i="17"/>
  <c r="J22" i="14"/>
  <c r="J20" i="14"/>
  <c r="J23" i="14"/>
  <c r="J21" i="14"/>
  <c r="C10" i="14"/>
  <c r="C13" i="14"/>
  <c r="C15" i="14"/>
  <c r="C12" i="14"/>
  <c r="C20" i="14"/>
  <c r="C11" i="14"/>
  <c r="C16" i="14"/>
  <c r="C14" i="14"/>
  <c r="C17" i="14"/>
  <c r="C19" i="14"/>
  <c r="C9" i="14"/>
  <c r="C7" i="14"/>
  <c r="C21" i="14"/>
  <c r="C18" i="14"/>
  <c r="C8" i="14"/>
  <c r="N32" i="19"/>
  <c r="T32" i="19"/>
  <c r="W3" i="19" a="1"/>
  <c r="O32" i="19"/>
  <c r="S32" i="19"/>
  <c r="Q40" i="15"/>
  <c r="P37" i="15"/>
  <c r="Q14" i="17"/>
  <c r="P38" i="15"/>
  <c r="U40" i="15"/>
  <c r="Q45" i="15"/>
  <c r="V38" i="15"/>
  <c r="U64" i="15"/>
  <c r="U37" i="15"/>
  <c r="P42" i="15"/>
  <c r="P39" i="15"/>
  <c r="P11" i="17"/>
  <c r="P45" i="15"/>
  <c r="P6" i="17"/>
  <c r="Q62" i="15"/>
  <c r="L22" i="14"/>
  <c r="Q33" i="15"/>
  <c r="U35" i="15"/>
  <c r="U50" i="15"/>
  <c r="V9" i="17"/>
  <c r="P5" i="17"/>
  <c r="Q36" i="15"/>
  <c r="L23" i="14"/>
  <c r="V65" i="15"/>
  <c r="P13" i="17"/>
  <c r="Q34" i="15"/>
  <c r="Q20" i="14"/>
  <c r="V14" i="17"/>
  <c r="P36" i="15"/>
  <c r="V13" i="17"/>
  <c r="P21" i="14"/>
  <c r="P55" i="15"/>
  <c r="U7" i="17"/>
  <c r="U9" i="17"/>
  <c r="U65" i="15"/>
  <c r="Q38" i="15"/>
  <c r="Q21" i="14"/>
  <c r="U8" i="17"/>
  <c r="P50" i="15"/>
  <c r="V64" i="15"/>
  <c r="U38" i="15"/>
  <c r="V8" i="17"/>
  <c r="V7" i="17"/>
  <c r="U39" i="15"/>
  <c r="P10" i="17"/>
  <c r="Q60" i="15"/>
  <c r="V37" i="15"/>
  <c r="U55" i="15"/>
  <c r="P40" i="15"/>
  <c r="Q9" i="17"/>
  <c r="L20" i="14"/>
  <c r="U14" i="17"/>
  <c r="V62" i="15"/>
  <c r="V55" i="15"/>
  <c r="Q39" i="15"/>
  <c r="U10" i="17"/>
  <c r="U62" i="15"/>
  <c r="V12" i="17"/>
  <c r="Q8" i="17"/>
  <c r="V5" i="17"/>
  <c r="L21" i="14"/>
  <c r="V11" i="17"/>
  <c r="V35" i="15"/>
  <c r="Q5" i="17"/>
  <c r="P12" i="17"/>
  <c r="U13" i="17"/>
  <c r="P8" i="17"/>
  <c r="V15" i="17"/>
  <c r="V36" i="15"/>
  <c r="Q23" i="14"/>
  <c r="U42" i="15"/>
  <c r="Q55" i="15"/>
  <c r="Q7" i="17"/>
  <c r="U15" i="17"/>
  <c r="P7" i="17"/>
  <c r="U34" i="15"/>
  <c r="K20" i="14"/>
  <c r="Q37" i="15"/>
  <c r="V39" i="15"/>
  <c r="V33" i="15"/>
  <c r="U6" i="17"/>
  <c r="V60" i="15"/>
  <c r="V42" i="15"/>
  <c r="Q35" i="15"/>
  <c r="P35" i="15"/>
  <c r="U36" i="15"/>
  <c r="Q6" i="17"/>
  <c r="K22" i="14"/>
  <c r="K23" i="14"/>
  <c r="Q42" i="15"/>
  <c r="K21" i="14"/>
  <c r="U12" i="17"/>
  <c r="P34" i="15"/>
  <c r="Q15" i="17"/>
  <c r="Q65" i="15"/>
  <c r="P23" i="14"/>
  <c r="P60" i="15"/>
  <c r="P14" i="17"/>
  <c r="P62" i="15"/>
  <c r="V50" i="15"/>
  <c r="Q22" i="14"/>
  <c r="P64" i="15"/>
  <c r="P65" i="15"/>
  <c r="Q13" i="17"/>
  <c r="Q12" i="17"/>
  <c r="P22" i="14"/>
  <c r="P20" i="14"/>
  <c r="V40" i="15"/>
  <c r="Q10" i="17"/>
  <c r="V6" i="17"/>
  <c r="Q50" i="15"/>
  <c r="U60" i="15"/>
  <c r="V10" i="17"/>
  <c r="U11" i="17"/>
  <c r="P15" i="17"/>
  <c r="P33" i="15"/>
  <c r="P9" i="17"/>
  <c r="V45" i="15"/>
  <c r="U33" i="15"/>
  <c r="V34" i="15"/>
  <c r="Q64" i="15"/>
  <c r="U45" i="15"/>
  <c r="Q11" i="17"/>
  <c r="U5" i="17"/>
  <c r="W60" i="19" l="1"/>
  <c r="W53" i="19"/>
  <c r="W24" i="19"/>
  <c r="W9" i="19"/>
  <c r="W66" i="19"/>
  <c r="W71" i="19"/>
  <c r="W20" i="19"/>
  <c r="W18" i="19"/>
  <c r="W29" i="19"/>
  <c r="W34" i="19"/>
  <c r="W69" i="19"/>
  <c r="W40" i="19"/>
  <c r="W63" i="19"/>
  <c r="W67" i="19"/>
  <c r="W4" i="19"/>
  <c r="W68" i="19"/>
  <c r="W39" i="19"/>
  <c r="W17" i="19"/>
  <c r="W10" i="19"/>
  <c r="W64" i="19"/>
  <c r="W6" i="19"/>
  <c r="W33" i="19"/>
  <c r="W44" i="19"/>
  <c r="W47" i="19"/>
  <c r="W19" i="19"/>
  <c r="W12" i="19"/>
  <c r="W54" i="19"/>
  <c r="W32" i="19"/>
  <c r="W25" i="19"/>
  <c r="W8" i="19"/>
  <c r="W3" i="19"/>
  <c r="W52" i="19"/>
  <c r="W27" i="19"/>
  <c r="W23" i="19"/>
  <c r="W15" i="19"/>
  <c r="W35" i="19"/>
  <c r="W70" i="19"/>
  <c r="W36" i="19"/>
  <c r="W30" i="19"/>
  <c r="W48" i="19"/>
  <c r="W51" i="19"/>
  <c r="W38" i="19"/>
  <c r="W14" i="19"/>
  <c r="W59" i="19"/>
  <c r="W7" i="19"/>
  <c r="W42" i="19"/>
  <c r="W62" i="19"/>
  <c r="W31" i="19"/>
  <c r="W11" i="19"/>
  <c r="W22" i="19"/>
  <c r="W28" i="19"/>
  <c r="W46" i="19"/>
  <c r="W26" i="19"/>
  <c r="W37" i="19"/>
  <c r="W72" i="19"/>
  <c r="W43" i="19"/>
  <c r="W61" i="19"/>
  <c r="W41" i="19"/>
  <c r="W16" i="19"/>
  <c r="W58" i="19"/>
  <c r="W5" i="19"/>
  <c r="W56" i="19"/>
  <c r="W50" i="19"/>
  <c r="W65" i="19"/>
  <c r="W45" i="19"/>
  <c r="W57" i="19"/>
  <c r="W49" i="19"/>
  <c r="W13" i="19"/>
  <c r="W55" i="19"/>
  <c r="W21" i="19"/>
  <c r="X73" i="17"/>
  <c r="X74" i="17"/>
  <c r="X87" i="17"/>
  <c r="X5" i="17"/>
  <c r="X22" i="17"/>
  <c r="X38" i="17"/>
  <c r="X70" i="17"/>
  <c r="X42" i="17"/>
  <c r="X20" i="17"/>
  <c r="X11" i="17"/>
  <c r="X64" i="17"/>
  <c r="X53" i="17"/>
  <c r="X29" i="17"/>
  <c r="X59" i="17"/>
  <c r="X46" i="17"/>
  <c r="X25" i="17"/>
  <c r="X36" i="17"/>
  <c r="X49" i="17"/>
  <c r="X50" i="17"/>
  <c r="X7" i="17"/>
  <c r="X55" i="17"/>
  <c r="X31" i="17"/>
  <c r="X63" i="17"/>
  <c r="X79" i="17"/>
  <c r="X9" i="17"/>
  <c r="X13" i="17"/>
  <c r="X35" i="17"/>
  <c r="X51" i="17"/>
  <c r="X16" i="17"/>
  <c r="X57" i="17"/>
  <c r="X17" i="17"/>
  <c r="X33" i="17"/>
  <c r="X85" i="17"/>
  <c r="X72" i="17"/>
  <c r="X10" i="17"/>
  <c r="X62" i="17"/>
  <c r="X67" i="17"/>
  <c r="X45" i="17"/>
  <c r="X61" i="17"/>
  <c r="X69" i="17"/>
  <c r="X24" i="17"/>
  <c r="X27" i="17"/>
  <c r="X43" i="17"/>
  <c r="X52" i="17"/>
  <c r="X39" i="17"/>
  <c r="X76" i="17"/>
  <c r="X28" i="17"/>
  <c r="X26" i="17"/>
  <c r="X21" i="17"/>
  <c r="X48" i="17"/>
  <c r="X82" i="17"/>
  <c r="X78" i="17"/>
  <c r="X65" i="17"/>
  <c r="X30" i="17"/>
  <c r="X88" i="17"/>
  <c r="X6" i="17"/>
  <c r="X86" i="17"/>
  <c r="X15" i="17"/>
  <c r="X8" i="17"/>
  <c r="X75" i="17"/>
  <c r="X66" i="17"/>
  <c r="X84" i="17"/>
  <c r="X44" i="17"/>
  <c r="X32" i="17"/>
  <c r="X40" i="17"/>
  <c r="X54" i="17"/>
  <c r="X60" i="17"/>
  <c r="X47" i="17"/>
  <c r="X89" i="17"/>
  <c r="X37" i="17"/>
  <c r="X68" i="17"/>
  <c r="X71" i="17"/>
  <c r="X80" i="17"/>
  <c r="X23" i="17"/>
  <c r="X58" i="17"/>
  <c r="X56" i="17"/>
  <c r="X19" i="17"/>
  <c r="X14" i="17"/>
  <c r="X12" i="17"/>
  <c r="X41" i="17"/>
  <c r="X83" i="17"/>
  <c r="X18" i="17"/>
  <c r="X34" i="17"/>
  <c r="X90" i="17"/>
  <c r="X81" i="17"/>
  <c r="X77" i="17"/>
  <c r="J12" i="14"/>
  <c r="J6" i="14"/>
  <c r="J14" i="14"/>
  <c r="J16" i="14"/>
  <c r="J9" i="14"/>
  <c r="J19" i="14"/>
  <c r="J18" i="14"/>
  <c r="J10" i="14"/>
  <c r="J7" i="14"/>
  <c r="J13" i="14"/>
  <c r="J17" i="14"/>
  <c r="J11" i="14"/>
  <c r="J15" i="14"/>
  <c r="J8" i="14"/>
  <c r="AA60" i="19"/>
  <c r="Y60" i="19"/>
  <c r="X60" i="19"/>
  <c r="Z60" i="19"/>
  <c r="AB60" i="19"/>
  <c r="Y29" i="19"/>
  <c r="AB29" i="19"/>
  <c r="X29" i="19"/>
  <c r="AA29" i="19"/>
  <c r="Z29" i="19"/>
  <c r="AB39" i="19"/>
  <c r="X39" i="19"/>
  <c r="AA39" i="19"/>
  <c r="Z39" i="19"/>
  <c r="Y39" i="19"/>
  <c r="X19" i="19"/>
  <c r="AB19" i="19"/>
  <c r="AA19" i="19"/>
  <c r="Z19" i="19"/>
  <c r="Y19" i="19"/>
  <c r="Z27" i="19"/>
  <c r="Y27" i="19"/>
  <c r="X27" i="19"/>
  <c r="AA27" i="19"/>
  <c r="AB27" i="19"/>
  <c r="Y51" i="19"/>
  <c r="X51" i="19"/>
  <c r="AA51" i="19"/>
  <c r="Z51" i="19"/>
  <c r="AB51" i="19"/>
  <c r="AA11" i="19"/>
  <c r="X11" i="19"/>
  <c r="AB11" i="19"/>
  <c r="Z11" i="19"/>
  <c r="Y11" i="19"/>
  <c r="X61" i="19"/>
  <c r="Z61" i="19"/>
  <c r="Y61" i="19"/>
  <c r="AA61" i="19"/>
  <c r="AB61" i="19"/>
  <c r="X45" i="19"/>
  <c r="AA45" i="19"/>
  <c r="Z45" i="19"/>
  <c r="AB45" i="19"/>
  <c r="Y45" i="19"/>
  <c r="K13" i="14"/>
  <c r="Q8" i="14"/>
  <c r="K14" i="14"/>
  <c r="Q19" i="14"/>
  <c r="P11" i="14"/>
  <c r="L17" i="14"/>
  <c r="K6" i="14"/>
  <c r="K17" i="14"/>
  <c r="K19" i="14"/>
  <c r="Q14" i="14"/>
  <c r="L16" i="14"/>
  <c r="L8" i="14"/>
  <c r="X24" i="19"/>
  <c r="AB24" i="19"/>
  <c r="Z24" i="19"/>
  <c r="AA24" i="19"/>
  <c r="Y24" i="19"/>
  <c r="Y54" i="19"/>
  <c r="AB54" i="19"/>
  <c r="AA54" i="19"/>
  <c r="X54" i="19"/>
  <c r="Z54" i="19"/>
  <c r="AB28" i="19"/>
  <c r="X28" i="19"/>
  <c r="Y28" i="19"/>
  <c r="AA28" i="19"/>
  <c r="Z28" i="19"/>
  <c r="L6" i="14"/>
  <c r="P8" i="14"/>
  <c r="K12" i="14"/>
  <c r="P17" i="14"/>
  <c r="L12" i="14"/>
  <c r="X40" i="19"/>
  <c r="AA40" i="19"/>
  <c r="Z40" i="19"/>
  <c r="AB40" i="19"/>
  <c r="Y40" i="19"/>
  <c r="AA59" i="19"/>
  <c r="Y59" i="19"/>
  <c r="AB59" i="19"/>
  <c r="X59" i="19"/>
  <c r="Z59" i="19"/>
  <c r="AA13" i="19"/>
  <c r="AB13" i="19"/>
  <c r="Z13" i="19"/>
  <c r="Y13" i="19"/>
  <c r="X13" i="19"/>
  <c r="Q6" i="14"/>
  <c r="K8" i="14"/>
  <c r="P6" i="14"/>
  <c r="K10" i="14"/>
  <c r="Y66" i="19"/>
  <c r="AB66" i="19"/>
  <c r="Z66" i="19"/>
  <c r="X66" i="19"/>
  <c r="AA66" i="19"/>
  <c r="AA25" i="19"/>
  <c r="Y25" i="19"/>
  <c r="AB25" i="19"/>
  <c r="Z25" i="19"/>
  <c r="X25" i="19"/>
  <c r="AB70" i="19"/>
  <c r="Y70" i="19"/>
  <c r="X70" i="19"/>
  <c r="AA70" i="19"/>
  <c r="Z70" i="19"/>
  <c r="Z7" i="19"/>
  <c r="Y7" i="19"/>
  <c r="X7" i="19"/>
  <c r="AA7" i="19"/>
  <c r="AB7" i="19"/>
  <c r="Z5" i="19"/>
  <c r="Y5" i="19"/>
  <c r="X5" i="19"/>
  <c r="AA5" i="19"/>
  <c r="AB5" i="19"/>
  <c r="Y55" i="19"/>
  <c r="Z55" i="19"/>
  <c r="AB55" i="19"/>
  <c r="AA55" i="19"/>
  <c r="X55" i="19"/>
  <c r="K9" i="14"/>
  <c r="L18" i="14"/>
  <c r="P13" i="14"/>
  <c r="Y67" i="19"/>
  <c r="AB67" i="19"/>
  <c r="AA67" i="19"/>
  <c r="X67" i="19"/>
  <c r="Z67" i="19"/>
  <c r="Q10" i="14"/>
  <c r="L7" i="14"/>
  <c r="Y44" i="19"/>
  <c r="AA44" i="19"/>
  <c r="Z44" i="19"/>
  <c r="AB44" i="19"/>
  <c r="X44" i="19"/>
  <c r="Y72" i="19"/>
  <c r="Z72" i="19"/>
  <c r="X72" i="19"/>
  <c r="AB72" i="19"/>
  <c r="AA72" i="19"/>
  <c r="K16" i="14"/>
  <c r="P16" i="14"/>
  <c r="Y68" i="19"/>
  <c r="AA68" i="19"/>
  <c r="AB68" i="19"/>
  <c r="X68" i="19"/>
  <c r="Z68" i="19"/>
  <c r="P10" i="14"/>
  <c r="L14" i="14"/>
  <c r="AA53" i="19"/>
  <c r="X53" i="19"/>
  <c r="Y53" i="19"/>
  <c r="Z53" i="19"/>
  <c r="AB53" i="19"/>
  <c r="AB34" i="19"/>
  <c r="Z34" i="19"/>
  <c r="X34" i="19"/>
  <c r="Y34" i="19"/>
  <c r="AA34" i="19"/>
  <c r="Z17" i="19"/>
  <c r="AB17" i="19"/>
  <c r="Y17" i="19"/>
  <c r="X17" i="19"/>
  <c r="AA17" i="19"/>
  <c r="Y12" i="19"/>
  <c r="Z12" i="19"/>
  <c r="X12" i="19"/>
  <c r="AA12" i="19"/>
  <c r="AB12" i="19"/>
  <c r="Y23" i="19"/>
  <c r="AB23" i="19"/>
  <c r="AA23" i="19"/>
  <c r="X23" i="19"/>
  <c r="Z23" i="19"/>
  <c r="Y38" i="19"/>
  <c r="AA38" i="19"/>
  <c r="AB38" i="19"/>
  <c r="X38" i="19"/>
  <c r="Z38" i="19"/>
  <c r="AB22" i="19"/>
  <c r="X22" i="19"/>
  <c r="Z22" i="19"/>
  <c r="AA22" i="19"/>
  <c r="Y22" i="19"/>
  <c r="Y41" i="19"/>
  <c r="AB41" i="19"/>
  <c r="X41" i="19"/>
  <c r="AA41" i="19"/>
  <c r="Z41" i="19"/>
  <c r="X57" i="19"/>
  <c r="AB57" i="19"/>
  <c r="Y57" i="19"/>
  <c r="AA57" i="19"/>
  <c r="Z57" i="19"/>
  <c r="L19" i="14"/>
  <c r="K7" i="14"/>
  <c r="X69" i="19"/>
  <c r="Y69" i="19"/>
  <c r="AA69" i="19"/>
  <c r="AB69" i="19"/>
  <c r="Z69" i="19"/>
  <c r="Z10" i="19"/>
  <c r="X10" i="19"/>
  <c r="AA10" i="19"/>
  <c r="AB10" i="19"/>
  <c r="Y10" i="19"/>
  <c r="AA15" i="19"/>
  <c r="Y15" i="19"/>
  <c r="AB15" i="19"/>
  <c r="X15" i="19"/>
  <c r="Z15" i="19"/>
  <c r="X14" i="19"/>
  <c r="AA14" i="19"/>
  <c r="Y14" i="19"/>
  <c r="AB14" i="19"/>
  <c r="Z14" i="19"/>
  <c r="AA16" i="19"/>
  <c r="X16" i="19"/>
  <c r="Z16" i="19"/>
  <c r="Y16" i="19"/>
  <c r="AB16" i="19"/>
  <c r="X49" i="19"/>
  <c r="AB49" i="19"/>
  <c r="AA49" i="19"/>
  <c r="Z49" i="19"/>
  <c r="Y49" i="19"/>
  <c r="L15" i="14"/>
  <c r="P14" i="14"/>
  <c r="X9" i="19"/>
  <c r="Y9" i="19"/>
  <c r="AA9" i="19"/>
  <c r="AB9" i="19"/>
  <c r="Z9" i="19"/>
  <c r="AB64" i="19"/>
  <c r="X64" i="19"/>
  <c r="Y64" i="19"/>
  <c r="AA64" i="19"/>
  <c r="Z64" i="19"/>
  <c r="X32" i="19"/>
  <c r="AA32" i="19"/>
  <c r="AB32" i="19"/>
  <c r="Z32" i="19"/>
  <c r="Y32" i="19"/>
  <c r="X35" i="19"/>
  <c r="AA35" i="19"/>
  <c r="Y35" i="19"/>
  <c r="Z35" i="19"/>
  <c r="AB35" i="19"/>
  <c r="Z46" i="19"/>
  <c r="X46" i="19"/>
  <c r="AA46" i="19"/>
  <c r="AB46" i="19"/>
  <c r="Y46" i="19"/>
  <c r="Z58" i="19"/>
  <c r="X58" i="19"/>
  <c r="AA58" i="19"/>
  <c r="Y58" i="19"/>
  <c r="AB58" i="19"/>
  <c r="P9" i="14"/>
  <c r="K18" i="14"/>
  <c r="AB63" i="19"/>
  <c r="AA63" i="19"/>
  <c r="Y63" i="19"/>
  <c r="Z63" i="19"/>
  <c r="X63" i="19"/>
  <c r="Z26" i="19"/>
  <c r="AB26" i="19"/>
  <c r="X26" i="19"/>
  <c r="Y26" i="19"/>
  <c r="AA26" i="19"/>
  <c r="Q9" i="14"/>
  <c r="AB8" i="19"/>
  <c r="X8" i="19"/>
  <c r="Z8" i="19"/>
  <c r="Y8" i="19"/>
  <c r="AA8" i="19"/>
  <c r="Q15" i="14"/>
  <c r="K15" i="14"/>
  <c r="Q11" i="14"/>
  <c r="X4" i="19"/>
  <c r="AB4" i="19"/>
  <c r="AA4" i="19"/>
  <c r="Z4" i="19"/>
  <c r="Y4" i="19"/>
  <c r="AA30" i="19"/>
  <c r="X30" i="19"/>
  <c r="AB30" i="19"/>
  <c r="Z30" i="19"/>
  <c r="Y30" i="19"/>
  <c r="Y50" i="19"/>
  <c r="AB50" i="19"/>
  <c r="X50" i="19"/>
  <c r="AA50" i="19"/>
  <c r="Z50" i="19"/>
  <c r="Q12" i="14"/>
  <c r="P12" i="14"/>
  <c r="L10" i="14"/>
  <c r="L13" i="14"/>
  <c r="Z18" i="19"/>
  <c r="AB18" i="19"/>
  <c r="AA18" i="19"/>
  <c r="X18" i="19"/>
  <c r="Y18" i="19"/>
  <c r="X48" i="19"/>
  <c r="AB48" i="19"/>
  <c r="Y48" i="19"/>
  <c r="Z48" i="19"/>
  <c r="AA48" i="19"/>
  <c r="Z31" i="19"/>
  <c r="Y31" i="19"/>
  <c r="X31" i="19"/>
  <c r="AA31" i="19"/>
  <c r="AB31" i="19"/>
  <c r="Z43" i="19"/>
  <c r="AA43" i="19"/>
  <c r="AB43" i="19"/>
  <c r="X43" i="19"/>
  <c r="Y43" i="19"/>
  <c r="Z65" i="19"/>
  <c r="AA65" i="19"/>
  <c r="Y65" i="19"/>
  <c r="X65" i="19"/>
  <c r="AB65" i="19"/>
  <c r="Q16" i="14"/>
  <c r="P18" i="14"/>
  <c r="Q13" i="14"/>
  <c r="L11" i="14"/>
  <c r="Q17" i="14"/>
  <c r="Y6" i="19"/>
  <c r="AA6" i="19"/>
  <c r="Z6" i="19"/>
  <c r="X6" i="19"/>
  <c r="AB6" i="19"/>
  <c r="Q18" i="14"/>
  <c r="L9" i="14"/>
  <c r="K11" i="14"/>
  <c r="AA33" i="19"/>
  <c r="Z33" i="19"/>
  <c r="X33" i="19"/>
  <c r="AB33" i="19"/>
  <c r="Y33" i="19"/>
  <c r="P15" i="14"/>
  <c r="AA20" i="19"/>
  <c r="Z20" i="19"/>
  <c r="X20" i="19"/>
  <c r="AB20" i="19"/>
  <c r="Y20" i="19"/>
  <c r="AA62" i="19"/>
  <c r="Z62" i="19"/>
  <c r="X62" i="19"/>
  <c r="AB62" i="19"/>
  <c r="Y62" i="19"/>
  <c r="Q7" i="14"/>
  <c r="Z47" i="19"/>
  <c r="X47" i="19"/>
  <c r="AA47" i="19"/>
  <c r="Y47" i="19"/>
  <c r="AB47" i="19"/>
  <c r="P19" i="14"/>
  <c r="AA71" i="19"/>
  <c r="X71" i="19"/>
  <c r="Y71" i="19"/>
  <c r="AB71" i="19"/>
  <c r="Z71" i="19"/>
  <c r="AA36" i="19"/>
  <c r="AB36" i="19"/>
  <c r="X36" i="19"/>
  <c r="Y36" i="19"/>
  <c r="Z36" i="19"/>
  <c r="AB42" i="19"/>
  <c r="AA42" i="19"/>
  <c r="Z42" i="19"/>
  <c r="Y42" i="19"/>
  <c r="X42" i="19"/>
  <c r="Y37" i="19"/>
  <c r="AB37" i="19"/>
  <c r="X37" i="19"/>
  <c r="AA37" i="19"/>
  <c r="Z37" i="19"/>
  <c r="X56" i="19"/>
  <c r="Z56" i="19"/>
  <c r="AB56" i="19"/>
  <c r="Y56" i="19"/>
  <c r="AA56" i="19"/>
  <c r="AB21" i="19"/>
  <c r="AA21" i="19"/>
  <c r="X21" i="19"/>
  <c r="Y21" i="19"/>
  <c r="Z21" i="19"/>
  <c r="P7" i="14"/>
  <c r="Y52" i="19"/>
  <c r="AB52" i="19"/>
  <c r="X52" i="19"/>
  <c r="AA52" i="19"/>
  <c r="Z52" i="19"/>
  <c r="V52" i="19" l="1"/>
  <c r="V21" i="19"/>
  <c r="V56" i="19"/>
  <c r="V37" i="19"/>
  <c r="V42" i="19"/>
  <c r="V36" i="19"/>
  <c r="V71" i="19"/>
  <c r="V47" i="19"/>
  <c r="V62" i="19"/>
  <c r="V20" i="19"/>
  <c r="V33" i="19"/>
  <c r="V6" i="19"/>
  <c r="V65" i="19"/>
  <c r="V43" i="19"/>
  <c r="V31" i="19"/>
  <c r="V48" i="19"/>
  <c r="V18" i="19"/>
  <c r="V50" i="19"/>
  <c r="V30" i="19"/>
  <c r="V4" i="19"/>
  <c r="V8" i="19"/>
  <c r="V26" i="19"/>
  <c r="V63" i="19"/>
  <c r="V58" i="19"/>
  <c r="V46" i="19"/>
  <c r="V35" i="19"/>
  <c r="V32" i="19"/>
  <c r="V64" i="19"/>
  <c r="V9" i="19"/>
  <c r="V49" i="19"/>
  <c r="V16" i="19"/>
  <c r="V14" i="19"/>
  <c r="V15" i="19"/>
  <c r="V10" i="19"/>
  <c r="V69" i="19"/>
  <c r="V57" i="19"/>
  <c r="V41" i="19"/>
  <c r="V22" i="19"/>
  <c r="V38" i="19"/>
  <c r="V23" i="19"/>
  <c r="V12" i="19"/>
  <c r="V17" i="19"/>
  <c r="V34" i="19"/>
  <c r="V53" i="19"/>
  <c r="V68" i="19"/>
  <c r="V72" i="19"/>
  <c r="V44" i="19"/>
  <c r="V67" i="19"/>
  <c r="V55" i="19"/>
  <c r="V5" i="19"/>
  <c r="V7" i="19"/>
  <c r="V70" i="19"/>
  <c r="V25" i="19"/>
  <c r="V66" i="19"/>
  <c r="V13" i="19"/>
  <c r="V59" i="19"/>
  <c r="V40" i="19"/>
  <c r="V28" i="19"/>
  <c r="V54" i="19"/>
  <c r="V24" i="19"/>
  <c r="V45" i="19"/>
  <c r="V61" i="19"/>
  <c r="V11" i="19"/>
  <c r="V51" i="19"/>
  <c r="V27" i="19"/>
  <c r="V19" i="19"/>
  <c r="V39" i="19"/>
  <c r="V29" i="19"/>
  <c r="V60" i="19"/>
  <c r="N4" i="15"/>
  <c r="I16" i="15" l="1"/>
  <c r="I15" i="15"/>
  <c r="I14" i="15"/>
  <c r="I13" i="15"/>
  <c r="I12" i="15"/>
  <c r="I11" i="15"/>
  <c r="I10" i="15"/>
  <c r="I9" i="15"/>
  <c r="I8" i="15"/>
  <c r="I7" i="15"/>
  <c r="K3" i="14"/>
  <c r="AC3" i="17"/>
  <c r="AE3" i="17"/>
  <c r="Q3" i="14"/>
  <c r="P3" i="14"/>
  <c r="D45" i="1"/>
  <c r="AF2" i="16" s="1" a="1"/>
  <c r="C53" i="1"/>
  <c r="C54" i="1"/>
  <c r="AB3" i="17"/>
  <c r="AB3" i="19"/>
  <c r="K4" i="14"/>
  <c r="AA3" i="17"/>
  <c r="L4" i="14"/>
  <c r="U4" i="15"/>
  <c r="AA3" i="16"/>
  <c r="Z3" i="19"/>
  <c r="Q4" i="14"/>
  <c r="AB3" i="16"/>
  <c r="D90" i="1"/>
  <c r="P4" i="14"/>
  <c r="C7" i="15"/>
  <c r="C8" i="15" s="1"/>
  <c r="E7" i="15"/>
  <c r="F7" i="15" s="1"/>
  <c r="P4" i="15"/>
  <c r="D46" i="1"/>
  <c r="C98" i="1"/>
  <c r="X3" i="19"/>
  <c r="AD3" i="16"/>
  <c r="I45" i="1"/>
  <c r="Y3" i="19"/>
  <c r="AC2" i="19" a="1"/>
  <c r="C9" i="15"/>
  <c r="AE3" i="16"/>
  <c r="V4" i="15"/>
  <c r="G7" i="14"/>
  <c r="C99" i="1"/>
  <c r="L3" i="14"/>
  <c r="D60" i="1"/>
  <c r="AD3" i="17"/>
  <c r="I60" i="1"/>
  <c r="D55" i="1"/>
  <c r="I55" i="1"/>
  <c r="I61" i="1"/>
  <c r="Q4" i="15"/>
  <c r="AC3" i="16"/>
  <c r="D53" i="1"/>
  <c r="E8" i="15"/>
  <c r="AA3" i="19"/>
  <c r="D100" i="1"/>
  <c r="AF3" i="19"/>
  <c r="AF18" i="19"/>
  <c r="AF17" i="19"/>
  <c r="AF24" i="19"/>
  <c r="AF31" i="19"/>
  <c r="AF38" i="19"/>
  <c r="AF45" i="19"/>
  <c r="AF52" i="19"/>
  <c r="AF59" i="19"/>
  <c r="AF10" i="19"/>
  <c r="AF9" i="19"/>
  <c r="AF16" i="19"/>
  <c r="AF23" i="19"/>
  <c r="AF30" i="19"/>
  <c r="AF37" i="19"/>
  <c r="AF44" i="19"/>
  <c r="AF51" i="19"/>
  <c r="AF43" i="19"/>
  <c r="AF8" i="19"/>
  <c r="AF58" i="19"/>
  <c r="AF57" i="19"/>
  <c r="AF64" i="19"/>
  <c r="AF71" i="19"/>
  <c r="AF7" i="19"/>
  <c r="AF14" i="19"/>
  <c r="AF21" i="19"/>
  <c r="AF28" i="19"/>
  <c r="AF35" i="19"/>
  <c r="AF15" i="19"/>
  <c r="AF49" i="19"/>
  <c r="AF63" i="19"/>
  <c r="AF70" i="19"/>
  <c r="AF6" i="19"/>
  <c r="AF13" i="19"/>
  <c r="AF20" i="19"/>
  <c r="AF27" i="19"/>
  <c r="AF22" i="19"/>
  <c r="AF66" i="19"/>
  <c r="AF72" i="19"/>
  <c r="AF29" i="19"/>
  <c r="AF56" i="19"/>
  <c r="AF41" i="19"/>
  <c r="AF55" i="19"/>
  <c r="AF69" i="19"/>
  <c r="AF19" i="19"/>
  <c r="AF34" i="19"/>
  <c r="AF33" i="19"/>
  <c r="AF40" i="19"/>
  <c r="AF47" i="19"/>
  <c r="AF54" i="19"/>
  <c r="AF61" i="19"/>
  <c r="AF68" i="19"/>
  <c r="AF4" i="19"/>
  <c r="AF11" i="19"/>
  <c r="AF65" i="19"/>
  <c r="AF36" i="19"/>
  <c r="AF50" i="19"/>
  <c r="AF42" i="19"/>
  <c r="AF48" i="19"/>
  <c r="AF62" i="19"/>
  <c r="AF5" i="19"/>
  <c r="AF12" i="19"/>
  <c r="AF26" i="19"/>
  <c r="AF25" i="19"/>
  <c r="AF32" i="19"/>
  <c r="AF39" i="19"/>
  <c r="AF46" i="19"/>
  <c r="AF53" i="19"/>
  <c r="AF60" i="19"/>
  <c r="AF67" i="19"/>
  <c r="H54" i="1"/>
  <c r="I46" i="1"/>
  <c r="H53" i="1"/>
  <c r="E9" i="15"/>
  <c r="C10" i="15"/>
  <c r="D61" i="1"/>
  <c r="C69" i="1"/>
  <c r="D69" i="1" s="1"/>
  <c r="D70" i="1"/>
  <c r="C68" i="1"/>
  <c r="H68" i="1"/>
  <c r="H69" i="1"/>
  <c r="I70" i="1"/>
  <c r="E10" i="15"/>
  <c r="C11" i="15"/>
  <c r="E11" i="15"/>
  <c r="C12" i="15"/>
  <c r="C13" i="15"/>
  <c r="E12" i="15"/>
  <c r="E13" i="15"/>
  <c r="C14" i="15"/>
  <c r="E14" i="15"/>
  <c r="C15" i="15"/>
  <c r="E15" i="15"/>
  <c r="C16" i="15"/>
  <c r="E16" i="15"/>
  <c r="C17" i="15"/>
  <c r="C18" i="15"/>
  <c r="E17" i="15"/>
  <c r="C19" i="15"/>
  <c r="E18" i="15"/>
  <c r="E19" i="15"/>
  <c r="C20" i="15"/>
  <c r="C21" i="15"/>
  <c r="E20" i="15"/>
  <c r="C22" i="15"/>
  <c r="E21" i="15"/>
  <c r="C23" i="15"/>
  <c r="E22" i="15"/>
  <c r="C24" i="15"/>
  <c r="E23" i="15"/>
  <c r="E24" i="15"/>
  <c r="C25" i="15"/>
  <c r="H16" i="15" l="1"/>
  <c r="H15" i="15"/>
  <c r="H14" i="15"/>
  <c r="H13" i="15"/>
  <c r="H12" i="15"/>
  <c r="H11" i="15"/>
  <c r="H10" i="15"/>
  <c r="AF41" i="16"/>
  <c r="AJ41" i="16" s="1"/>
  <c r="AF50" i="16"/>
  <c r="AJ50" i="16" s="1"/>
  <c r="AF59" i="16"/>
  <c r="AJ59" i="16" s="1"/>
  <c r="AF38" i="16"/>
  <c r="AJ38" i="16" s="1"/>
  <c r="AF27" i="16"/>
  <c r="AJ27" i="16" s="1"/>
  <c r="AF18" i="16"/>
  <c r="AJ18" i="16" s="1"/>
  <c r="AF8" i="16"/>
  <c r="AJ8" i="16" s="1"/>
  <c r="AF3" i="16"/>
  <c r="AJ3" i="16" s="1"/>
  <c r="AF42" i="16"/>
  <c r="AJ42" i="16" s="1"/>
  <c r="AF51" i="16"/>
  <c r="AJ51" i="16" s="1"/>
  <c r="AF5" i="16"/>
  <c r="AJ5" i="16" s="1"/>
  <c r="AF40" i="16"/>
  <c r="AJ40" i="16" s="1"/>
  <c r="AF21" i="16"/>
  <c r="AJ21" i="16" s="1"/>
  <c r="AF37" i="16"/>
  <c r="AJ37" i="16" s="1"/>
  <c r="AF4" i="16"/>
  <c r="AJ4" i="16" s="1"/>
  <c r="AF30" i="16"/>
  <c r="AJ30" i="16" s="1"/>
  <c r="AF43" i="16"/>
  <c r="AJ43" i="16" s="1"/>
  <c r="AF52" i="16"/>
  <c r="AJ52" i="16" s="1"/>
  <c r="AF14" i="16"/>
  <c r="AJ14" i="16" s="1"/>
  <c r="AF33" i="16"/>
  <c r="AJ33" i="16" s="1"/>
  <c r="AF54" i="16"/>
  <c r="AJ54" i="16" s="1"/>
  <c r="AF12" i="16"/>
  <c r="AJ12" i="16" s="1"/>
  <c r="AF39" i="16"/>
  <c r="AJ39" i="16" s="1"/>
  <c r="AF44" i="16"/>
  <c r="AJ44" i="16" s="1"/>
  <c r="AF6" i="16"/>
  <c r="AJ6" i="16" s="1"/>
  <c r="AF23" i="16"/>
  <c r="AJ23" i="16" s="1"/>
  <c r="AF19" i="16"/>
  <c r="AJ19" i="16" s="1"/>
  <c r="AF56" i="16"/>
  <c r="AJ56" i="16" s="1"/>
  <c r="AF47" i="16"/>
  <c r="AJ47" i="16" s="1"/>
  <c r="AF26" i="16"/>
  <c r="AJ26" i="16" s="1"/>
  <c r="AF53" i="16"/>
  <c r="AJ53" i="16" s="1"/>
  <c r="AF32" i="16"/>
  <c r="AJ32" i="16" s="1"/>
  <c r="AF10" i="16"/>
  <c r="AJ10" i="16" s="1"/>
  <c r="AF45" i="16"/>
  <c r="AJ45" i="16" s="1"/>
  <c r="AF7" i="16"/>
  <c r="AJ7" i="16" s="1"/>
  <c r="AF25" i="16"/>
  <c r="AJ25" i="16" s="1"/>
  <c r="AF35" i="16"/>
  <c r="AJ35" i="16" s="1"/>
  <c r="AF34" i="16"/>
  <c r="AJ34" i="16" s="1"/>
  <c r="AF16" i="16"/>
  <c r="AJ16" i="16" s="1"/>
  <c r="AF11" i="16"/>
  <c r="AJ11" i="16" s="1"/>
  <c r="AF29" i="16"/>
  <c r="AJ29" i="16" s="1"/>
  <c r="AF20" i="16"/>
  <c r="AJ20" i="16" s="1"/>
  <c r="AF49" i="16"/>
  <c r="AJ49" i="16" s="1"/>
  <c r="AF36" i="16"/>
  <c r="AJ36" i="16" s="1"/>
  <c r="AF31" i="16"/>
  <c r="AJ31" i="16" s="1"/>
  <c r="AF55" i="16"/>
  <c r="AJ55" i="16" s="1"/>
  <c r="AF15" i="16"/>
  <c r="AJ15" i="16" s="1"/>
  <c r="AF13" i="16"/>
  <c r="AJ13" i="16" s="1"/>
  <c r="AF9" i="16"/>
  <c r="AJ9" i="16" s="1"/>
  <c r="AF24" i="16"/>
  <c r="AJ24" i="16" s="1"/>
  <c r="AF46" i="16"/>
  <c r="AJ46" i="16" s="1"/>
  <c r="AF22" i="16"/>
  <c r="AJ22" i="16" s="1"/>
  <c r="AF57" i="16"/>
  <c r="AJ57" i="16" s="1"/>
  <c r="AF48" i="16"/>
  <c r="AJ48" i="16" s="1"/>
  <c r="AF17" i="16"/>
  <c r="AJ17" i="16" s="1"/>
  <c r="AF58" i="16"/>
  <c r="AJ58" i="16" s="1"/>
  <c r="AF2" i="16"/>
  <c r="AF28" i="16"/>
  <c r="AJ28" i="16" s="1"/>
  <c r="H9" i="15"/>
  <c r="J5" i="14"/>
  <c r="X3" i="17"/>
  <c r="H8" i="15"/>
  <c r="H7" i="15"/>
  <c r="X3" i="16"/>
  <c r="V3" i="19"/>
  <c r="I25" i="15"/>
  <c r="H25" i="15"/>
  <c r="I24" i="15"/>
  <c r="H24" i="15"/>
  <c r="I23" i="15"/>
  <c r="H23" i="15"/>
  <c r="I22" i="15"/>
  <c r="H22" i="15"/>
  <c r="I21" i="15"/>
  <c r="H21" i="15"/>
  <c r="I20" i="15"/>
  <c r="H20" i="15"/>
  <c r="I19" i="15"/>
  <c r="H19" i="15"/>
  <c r="I18" i="15"/>
  <c r="H18" i="15"/>
  <c r="AC9" i="19"/>
  <c r="AC24" i="19"/>
  <c r="AC39" i="19"/>
  <c r="AC54" i="19"/>
  <c r="AC69" i="19"/>
  <c r="AC29" i="19"/>
  <c r="AC20" i="19"/>
  <c r="AC36" i="19"/>
  <c r="AC70" i="19"/>
  <c r="AC59" i="19"/>
  <c r="AC57" i="19"/>
  <c r="AC64" i="19"/>
  <c r="AC11" i="19"/>
  <c r="AC45" i="19"/>
  <c r="AC34" i="19"/>
  <c r="AC14" i="19"/>
  <c r="AC35" i="19"/>
  <c r="AC53" i="19"/>
  <c r="AC49" i="19"/>
  <c r="AC7" i="19"/>
  <c r="AC61" i="19"/>
  <c r="AC2" i="19"/>
  <c r="AC17" i="19"/>
  <c r="AC32" i="19"/>
  <c r="AC47" i="19"/>
  <c r="AC62" i="19"/>
  <c r="AC15" i="19"/>
  <c r="AC6" i="19"/>
  <c r="AC22" i="19"/>
  <c r="AC56" i="19"/>
  <c r="AC18" i="19"/>
  <c r="AC33" i="19"/>
  <c r="AC48" i="19"/>
  <c r="AC42" i="19"/>
  <c r="AC58" i="19"/>
  <c r="AC52" i="19"/>
  <c r="AC26" i="19"/>
  <c r="AC41" i="19"/>
  <c r="AC51" i="19"/>
  <c r="AC28" i="19"/>
  <c r="AC44" i="19"/>
  <c r="AC27" i="19"/>
  <c r="AC60" i="19"/>
  <c r="AC19" i="19"/>
  <c r="AC37" i="19"/>
  <c r="AC30" i="19"/>
  <c r="AC68" i="19"/>
  <c r="AC12" i="19"/>
  <c r="AC23" i="19"/>
  <c r="AC16" i="19"/>
  <c r="AC31" i="19"/>
  <c r="AC5" i="19"/>
  <c r="AC65" i="19"/>
  <c r="AC13" i="19"/>
  <c r="AC66" i="19"/>
  <c r="AC10" i="19"/>
  <c r="AC25" i="19"/>
  <c r="AC40" i="19"/>
  <c r="AC55" i="19"/>
  <c r="AC72" i="19"/>
  <c r="AC63" i="19"/>
  <c r="AC8" i="19"/>
  <c r="AC21" i="19"/>
  <c r="AC3" i="19"/>
  <c r="AC67" i="19"/>
  <c r="AC4" i="19"/>
  <c r="AC38" i="19"/>
  <c r="AC71" i="19"/>
  <c r="AC46" i="19"/>
  <c r="AC43" i="19"/>
  <c r="AC50" i="19"/>
  <c r="I17" i="15"/>
  <c r="H17" i="15"/>
  <c r="E25" i="15"/>
  <c r="I54" i="1"/>
  <c r="F21" i="15"/>
  <c r="F22" i="15"/>
  <c r="F16" i="15"/>
  <c r="D54" i="1"/>
  <c r="F11" i="15"/>
  <c r="F25" i="15"/>
  <c r="I69" i="1"/>
  <c r="F15" i="15"/>
  <c r="D98" i="1"/>
  <c r="F20" i="15"/>
  <c r="P5" i="14"/>
  <c r="F23" i="15"/>
  <c r="F14" i="15"/>
  <c r="J16" i="15"/>
  <c r="AG2" i="16" a="1"/>
  <c r="J22" i="15"/>
  <c r="F10" i="15"/>
  <c r="J10" i="15" s="1"/>
  <c r="I53" i="1"/>
  <c r="K5" i="14"/>
  <c r="F12" i="15"/>
  <c r="F8" i="15"/>
  <c r="J8" i="15" s="1"/>
  <c r="C26" i="15"/>
  <c r="C27" i="15" s="1"/>
  <c r="C28" i="15" s="1"/>
  <c r="F17" i="15"/>
  <c r="Q5" i="14"/>
  <c r="I68" i="1"/>
  <c r="D68" i="1"/>
  <c r="E26" i="15"/>
  <c r="J15" i="15"/>
  <c r="T3" i="14" a="1"/>
  <c r="J14" i="15"/>
  <c r="F24" i="15"/>
  <c r="E27" i="15"/>
  <c r="D99" i="1"/>
  <c r="AF2" i="17" a="1"/>
  <c r="L5" i="14"/>
  <c r="F13" i="15"/>
  <c r="J13" i="15" s="1"/>
  <c r="F18" i="15"/>
  <c r="J7" i="15"/>
  <c r="F9" i="15"/>
  <c r="J9" i="15" s="1"/>
  <c r="AG2" i="17" a="1"/>
  <c r="J12" i="15"/>
  <c r="F19" i="15"/>
  <c r="E28" i="15"/>
  <c r="N6" i="15" l="1"/>
  <c r="K8" i="15"/>
  <c r="O6" i="15" s="1"/>
  <c r="T36" i="14"/>
  <c r="T74" i="14"/>
  <c r="T57" i="14"/>
  <c r="T34" i="14"/>
  <c r="T43" i="14"/>
  <c r="T68" i="14"/>
  <c r="T77" i="14"/>
  <c r="T31" i="14"/>
  <c r="T48" i="14"/>
  <c r="T37" i="14"/>
  <c r="T21" i="14"/>
  <c r="T59" i="14"/>
  <c r="T26" i="14"/>
  <c r="T35" i="14"/>
  <c r="T60" i="14"/>
  <c r="T69" i="14"/>
  <c r="T23" i="14"/>
  <c r="T40" i="14"/>
  <c r="T73" i="14"/>
  <c r="T44" i="14"/>
  <c r="T52" i="14"/>
  <c r="T15" i="14"/>
  <c r="T18" i="14"/>
  <c r="T70" i="14"/>
  <c r="T29" i="14"/>
  <c r="T28" i="14"/>
  <c r="T53" i="14"/>
  <c r="T24" i="14"/>
  <c r="T41" i="14"/>
  <c r="T11" i="14"/>
  <c r="T19" i="14"/>
  <c r="T63" i="14"/>
  <c r="T14" i="14"/>
  <c r="T45" i="14"/>
  <c r="T54" i="14"/>
  <c r="T33" i="14"/>
  <c r="T3" i="14"/>
  <c r="T12" i="14"/>
  <c r="T56" i="14"/>
  <c r="T7" i="14"/>
  <c r="T46" i="14"/>
  <c r="T8" i="14"/>
  <c r="T25" i="14"/>
  <c r="T58" i="14"/>
  <c r="T4" i="14"/>
  <c r="T13" i="14"/>
  <c r="T38" i="14"/>
  <c r="T64" i="14"/>
  <c r="T67" i="14"/>
  <c r="T22" i="14"/>
  <c r="T72" i="14"/>
  <c r="T6" i="14"/>
  <c r="T27" i="14"/>
  <c r="T61" i="14"/>
  <c r="T32" i="14"/>
  <c r="T65" i="14"/>
  <c r="T62" i="14"/>
  <c r="T49" i="14"/>
  <c r="T55" i="14"/>
  <c r="T50" i="14"/>
  <c r="T75" i="14"/>
  <c r="T30" i="14"/>
  <c r="T51" i="14"/>
  <c r="T10" i="14"/>
  <c r="T9" i="14"/>
  <c r="T42" i="14"/>
  <c r="T76" i="14"/>
  <c r="T39" i="14"/>
  <c r="T16" i="14"/>
  <c r="T20" i="14"/>
  <c r="T66" i="14"/>
  <c r="T71" i="14"/>
  <c r="T17" i="14"/>
  <c r="T5" i="14"/>
  <c r="T47" i="14"/>
  <c r="K12" i="15"/>
  <c r="O10" i="15" s="1"/>
  <c r="N10" i="15"/>
  <c r="N5" i="15"/>
  <c r="K7" i="15"/>
  <c r="O5" i="15" s="1"/>
  <c r="K10" i="15"/>
  <c r="O8" i="15" s="1"/>
  <c r="N8" i="15"/>
  <c r="N13" i="15"/>
  <c r="K15" i="15"/>
  <c r="O13" i="15" s="1"/>
  <c r="AG32" i="16"/>
  <c r="AL32" i="16" s="1"/>
  <c r="AG9" i="16"/>
  <c r="AL9" i="16" s="1"/>
  <c r="AG26" i="16"/>
  <c r="AL26" i="16" s="1"/>
  <c r="AG17" i="16"/>
  <c r="AL17" i="16" s="1"/>
  <c r="AG38" i="16"/>
  <c r="AL38" i="16" s="1"/>
  <c r="AG56" i="16"/>
  <c r="AL56" i="16" s="1"/>
  <c r="AG35" i="16"/>
  <c r="AL35" i="16" s="1"/>
  <c r="AG2" i="16"/>
  <c r="AG10" i="16"/>
  <c r="AL10" i="16" s="1"/>
  <c r="AG51" i="16"/>
  <c r="AL51" i="16" s="1"/>
  <c r="AG42" i="16"/>
  <c r="AL42" i="16" s="1"/>
  <c r="AG16" i="16"/>
  <c r="AL16" i="16" s="1"/>
  <c r="AG49" i="16"/>
  <c r="AL49" i="16" s="1"/>
  <c r="AG7" i="16"/>
  <c r="AL7" i="16" s="1"/>
  <c r="AG57" i="16"/>
  <c r="AL57" i="16" s="1"/>
  <c r="AG3" i="16"/>
  <c r="AL3" i="16" s="1"/>
  <c r="AG11" i="16"/>
  <c r="AL11" i="16" s="1"/>
  <c r="AG45" i="16"/>
  <c r="AL45" i="16" s="1"/>
  <c r="AG28" i="16"/>
  <c r="AL28" i="16" s="1"/>
  <c r="AG19" i="16"/>
  <c r="AL19" i="16" s="1"/>
  <c r="AG29" i="16"/>
  <c r="AL29" i="16" s="1"/>
  <c r="AG18" i="16"/>
  <c r="AL18" i="16" s="1"/>
  <c r="AG58" i="16"/>
  <c r="AL58" i="16" s="1"/>
  <c r="AG4" i="16"/>
  <c r="AL4" i="16" s="1"/>
  <c r="AG12" i="16"/>
  <c r="AL12" i="16" s="1"/>
  <c r="AG47" i="16"/>
  <c r="AL47" i="16" s="1"/>
  <c r="AG6" i="16"/>
  <c r="AL6" i="16" s="1"/>
  <c r="AG44" i="16"/>
  <c r="AL44" i="16" s="1"/>
  <c r="AG43" i="16"/>
  <c r="AL43" i="16" s="1"/>
  <c r="AG37" i="16"/>
  <c r="AL37" i="16" s="1"/>
  <c r="AG13" i="16"/>
  <c r="AL13" i="16" s="1"/>
  <c r="AG34" i="16"/>
  <c r="AL34" i="16" s="1"/>
  <c r="AG46" i="16"/>
  <c r="AL46" i="16" s="1"/>
  <c r="AG22" i="16"/>
  <c r="AL22" i="16" s="1"/>
  <c r="AG20" i="16"/>
  <c r="AL20" i="16" s="1"/>
  <c r="AG27" i="16"/>
  <c r="AL27" i="16" s="1"/>
  <c r="AG31" i="16"/>
  <c r="AL31" i="16" s="1"/>
  <c r="AG53" i="16"/>
  <c r="AL53" i="16" s="1"/>
  <c r="AG52" i="16"/>
  <c r="AL52" i="16" s="1"/>
  <c r="AG40" i="16"/>
  <c r="AL40" i="16" s="1"/>
  <c r="AG55" i="16"/>
  <c r="AL55" i="16" s="1"/>
  <c r="AG54" i="16"/>
  <c r="AL54" i="16" s="1"/>
  <c r="AG59" i="16"/>
  <c r="AL59" i="16" s="1"/>
  <c r="AG21" i="16"/>
  <c r="AL21" i="16" s="1"/>
  <c r="AG8" i="16"/>
  <c r="AL8" i="16" s="1"/>
  <c r="AG15" i="16"/>
  <c r="AL15" i="16" s="1"/>
  <c r="AG5" i="16"/>
  <c r="AL5" i="16" s="1"/>
  <c r="AG30" i="16"/>
  <c r="AL30" i="16" s="1"/>
  <c r="AG25" i="16"/>
  <c r="AL25" i="16" s="1"/>
  <c r="AG33" i="16"/>
  <c r="AL33" i="16" s="1"/>
  <c r="AG14" i="16"/>
  <c r="AL14" i="16" s="1"/>
  <c r="AG39" i="16"/>
  <c r="AL39" i="16" s="1"/>
  <c r="AG50" i="16"/>
  <c r="AL50" i="16" s="1"/>
  <c r="AG24" i="16"/>
  <c r="AL24" i="16" s="1"/>
  <c r="AG23" i="16"/>
  <c r="AL23" i="16" s="1"/>
  <c r="AG48" i="16"/>
  <c r="AL48" i="16" s="1"/>
  <c r="AG36" i="16"/>
  <c r="AL36" i="16" s="1"/>
  <c r="AG41" i="16"/>
  <c r="AL41" i="16" s="1"/>
  <c r="K13" i="15"/>
  <c r="O11" i="15" s="1"/>
  <c r="N11" i="15"/>
  <c r="AG75" i="17"/>
  <c r="AL75" i="17" s="1"/>
  <c r="AG17" i="17"/>
  <c r="AL17" i="17" s="1"/>
  <c r="AG78" i="17"/>
  <c r="AL78" i="17" s="1"/>
  <c r="AG68" i="17"/>
  <c r="AL68" i="17" s="1"/>
  <c r="AG66" i="17"/>
  <c r="AL66" i="17" s="1"/>
  <c r="AG48" i="17"/>
  <c r="AL48" i="17" s="1"/>
  <c r="AG82" i="17"/>
  <c r="AL82" i="17" s="1"/>
  <c r="AG77" i="17"/>
  <c r="AL77" i="17" s="1"/>
  <c r="AG80" i="17"/>
  <c r="AL80" i="17" s="1"/>
  <c r="AG5" i="17"/>
  <c r="AL5" i="17" s="1"/>
  <c r="AG34" i="17"/>
  <c r="AL34" i="17" s="1"/>
  <c r="AG52" i="17"/>
  <c r="AL52" i="17" s="1"/>
  <c r="AG81" i="17"/>
  <c r="AL81" i="17" s="1"/>
  <c r="AG55" i="17"/>
  <c r="AL55" i="17" s="1"/>
  <c r="AG45" i="17"/>
  <c r="AL45" i="17" s="1"/>
  <c r="AG35" i="17"/>
  <c r="AL35" i="17" s="1"/>
  <c r="AG41" i="17"/>
  <c r="AL41" i="17" s="1"/>
  <c r="AG28" i="17"/>
  <c r="AL28" i="17" s="1"/>
  <c r="AG31" i="17"/>
  <c r="AL31" i="17" s="1"/>
  <c r="AG10" i="17"/>
  <c r="AL10" i="17" s="1"/>
  <c r="AG46" i="17"/>
  <c r="AL46" i="17" s="1"/>
  <c r="AG67" i="17"/>
  <c r="AL67" i="17" s="1"/>
  <c r="AG29" i="17"/>
  <c r="AL29" i="17" s="1"/>
  <c r="AG50" i="17"/>
  <c r="AL50" i="17" s="1"/>
  <c r="AG32" i="17"/>
  <c r="AL32" i="17" s="1"/>
  <c r="AG22" i="17"/>
  <c r="AL22" i="17" s="1"/>
  <c r="AG12" i="17"/>
  <c r="AL12" i="17" s="1"/>
  <c r="AG74" i="17"/>
  <c r="AL74" i="17" s="1"/>
  <c r="AG69" i="17"/>
  <c r="AL69" i="17" s="1"/>
  <c r="AG72" i="17"/>
  <c r="AL72" i="17" s="1"/>
  <c r="AG43" i="17"/>
  <c r="AL43" i="17" s="1"/>
  <c r="AG87" i="17"/>
  <c r="AL87" i="17" s="1"/>
  <c r="AG21" i="17"/>
  <c r="AL21" i="17" s="1"/>
  <c r="AG6" i="17"/>
  <c r="AL6" i="17" s="1"/>
  <c r="AG19" i="17"/>
  <c r="AL19" i="17" s="1"/>
  <c r="AG25" i="17"/>
  <c r="AL25" i="17" s="1"/>
  <c r="AG86" i="17"/>
  <c r="AL86" i="17" s="1"/>
  <c r="AG76" i="17"/>
  <c r="AL76" i="17" s="1"/>
  <c r="AG20" i="17"/>
  <c r="AL20" i="17" s="1"/>
  <c r="AG23" i="17"/>
  <c r="AL23" i="17" s="1"/>
  <c r="AG65" i="17"/>
  <c r="AL65" i="17" s="1"/>
  <c r="AG84" i="17"/>
  <c r="AL84" i="17" s="1"/>
  <c r="AG26" i="17"/>
  <c r="AL26" i="17" s="1"/>
  <c r="AG62" i="17"/>
  <c r="AL62" i="17" s="1"/>
  <c r="AG9" i="17"/>
  <c r="AL9" i="17" s="1"/>
  <c r="AG83" i="17"/>
  <c r="AL83" i="17" s="1"/>
  <c r="AG63" i="17"/>
  <c r="AL63" i="17" s="1"/>
  <c r="AG61" i="17"/>
  <c r="AL61" i="17" s="1"/>
  <c r="AG3" i="17"/>
  <c r="AL3" i="17" s="1"/>
  <c r="AG59" i="17"/>
  <c r="AL59" i="17" s="1"/>
  <c r="AG73" i="17"/>
  <c r="AL73" i="17" s="1"/>
  <c r="AG60" i="17"/>
  <c r="AL60" i="17" s="1"/>
  <c r="AG40" i="17"/>
  <c r="AL40" i="17" s="1"/>
  <c r="AG15" i="17"/>
  <c r="AL15" i="17" s="1"/>
  <c r="AG44" i="17"/>
  <c r="AL44" i="17" s="1"/>
  <c r="AG13" i="17"/>
  <c r="AL13" i="17" s="1"/>
  <c r="AG42" i="17"/>
  <c r="AL42" i="17" s="1"/>
  <c r="AG37" i="17"/>
  <c r="AL37" i="17" s="1"/>
  <c r="AG33" i="17"/>
  <c r="AL33" i="17" s="1"/>
  <c r="AG56" i="17"/>
  <c r="AL56" i="17" s="1"/>
  <c r="AG85" i="17"/>
  <c r="AL85" i="17" s="1"/>
  <c r="AG54" i="17"/>
  <c r="AL54" i="17" s="1"/>
  <c r="AG11" i="17"/>
  <c r="AL11" i="17" s="1"/>
  <c r="AG14" i="17"/>
  <c r="AL14" i="17" s="1"/>
  <c r="AG2" i="17"/>
  <c r="AG49" i="17"/>
  <c r="AL49" i="17" s="1"/>
  <c r="AG39" i="17"/>
  <c r="AL39" i="17" s="1"/>
  <c r="AG8" i="17"/>
  <c r="AL8" i="17" s="1"/>
  <c r="AG70" i="17"/>
  <c r="AL70" i="17" s="1"/>
  <c r="AG89" i="17"/>
  <c r="AL89" i="17" s="1"/>
  <c r="AG53" i="17"/>
  <c r="AL53" i="17" s="1"/>
  <c r="AG64" i="17"/>
  <c r="AL64" i="17" s="1"/>
  <c r="AG38" i="17"/>
  <c r="AL38" i="17" s="1"/>
  <c r="AG16" i="17"/>
  <c r="AL16" i="17" s="1"/>
  <c r="AG47" i="17"/>
  <c r="AL47" i="17" s="1"/>
  <c r="AG58" i="17"/>
  <c r="AL58" i="17" s="1"/>
  <c r="AG30" i="17"/>
  <c r="AL30" i="17" s="1"/>
  <c r="AG57" i="17"/>
  <c r="AL57" i="17" s="1"/>
  <c r="AG79" i="17"/>
  <c r="AL79" i="17" s="1"/>
  <c r="AG24" i="17"/>
  <c r="AL24" i="17" s="1"/>
  <c r="AG27" i="17"/>
  <c r="AL27" i="17" s="1"/>
  <c r="AG7" i="17"/>
  <c r="AL7" i="17" s="1"/>
  <c r="AG90" i="17"/>
  <c r="AL90" i="17" s="1"/>
  <c r="AG18" i="17"/>
  <c r="AL18" i="17" s="1"/>
  <c r="AG88" i="17"/>
  <c r="AL88" i="17" s="1"/>
  <c r="AG4" i="17"/>
  <c r="AL4" i="17" s="1"/>
  <c r="AG71" i="17"/>
  <c r="AL71" i="17" s="1"/>
  <c r="AG36" i="17"/>
  <c r="AL36" i="17" s="1"/>
  <c r="AG51" i="17"/>
  <c r="AL51" i="17" s="1"/>
  <c r="AF67" i="17"/>
  <c r="AJ67" i="17" s="1"/>
  <c r="AF9" i="17"/>
  <c r="AJ9" i="17" s="1"/>
  <c r="AF70" i="17"/>
  <c r="AJ70" i="17" s="1"/>
  <c r="AF83" i="17"/>
  <c r="AJ83" i="17" s="1"/>
  <c r="AF89" i="17"/>
  <c r="AJ89" i="17" s="1"/>
  <c r="AF63" i="17"/>
  <c r="AJ63" i="17" s="1"/>
  <c r="AF43" i="17"/>
  <c r="AJ43" i="17" s="1"/>
  <c r="AF87" i="17"/>
  <c r="AJ87" i="17" s="1"/>
  <c r="AF12" i="17"/>
  <c r="AJ12" i="17" s="1"/>
  <c r="AF15" i="17"/>
  <c r="AJ15" i="17" s="1"/>
  <c r="AF57" i="17"/>
  <c r="AJ57" i="17" s="1"/>
  <c r="AF44" i="17"/>
  <c r="AJ44" i="17" s="1"/>
  <c r="AF73" i="17"/>
  <c r="AJ73" i="17" s="1"/>
  <c r="AF47" i="17"/>
  <c r="AJ47" i="17" s="1"/>
  <c r="AF60" i="17"/>
  <c r="AJ60" i="17" s="1"/>
  <c r="AF58" i="17"/>
  <c r="AJ58" i="17" s="1"/>
  <c r="AF40" i="17"/>
  <c r="AJ40" i="17" s="1"/>
  <c r="AF84" i="17"/>
  <c r="AJ84" i="17" s="1"/>
  <c r="AF26" i="17"/>
  <c r="AJ26" i="17" s="1"/>
  <c r="AF53" i="17"/>
  <c r="AJ53" i="17" s="1"/>
  <c r="AF56" i="17"/>
  <c r="AJ56" i="17" s="1"/>
  <c r="AF90" i="17"/>
  <c r="AJ90" i="17" s="1"/>
  <c r="AF21" i="17"/>
  <c r="AJ21" i="17" s="1"/>
  <c r="AF42" i="17"/>
  <c r="AJ42" i="17" s="1"/>
  <c r="AF24" i="17"/>
  <c r="AJ24" i="17" s="1"/>
  <c r="AF37" i="17"/>
  <c r="AJ37" i="17" s="1"/>
  <c r="AF27" i="17"/>
  <c r="AJ27" i="17" s="1"/>
  <c r="AF2" i="17"/>
  <c r="AF38" i="17"/>
  <c r="AJ38" i="17" s="1"/>
  <c r="AF59" i="17"/>
  <c r="AJ59" i="17" s="1"/>
  <c r="AF7" i="17"/>
  <c r="AJ7" i="17" s="1"/>
  <c r="AF49" i="17"/>
  <c r="AJ49" i="17" s="1"/>
  <c r="AF36" i="17"/>
  <c r="AJ36" i="17" s="1"/>
  <c r="AF85" i="17"/>
  <c r="AJ85" i="17" s="1"/>
  <c r="AF11" i="17"/>
  <c r="AJ11" i="17" s="1"/>
  <c r="AF88" i="17"/>
  <c r="AJ88" i="17" s="1"/>
  <c r="AF14" i="17"/>
  <c r="AJ14" i="17" s="1"/>
  <c r="AF4" i="17"/>
  <c r="AJ4" i="17" s="1"/>
  <c r="AF35" i="17"/>
  <c r="AJ35" i="17" s="1"/>
  <c r="AF79" i="17"/>
  <c r="AJ79" i="17" s="1"/>
  <c r="AF13" i="17"/>
  <c r="AJ13" i="17" s="1"/>
  <c r="AF48" i="17"/>
  <c r="AJ48" i="17" s="1"/>
  <c r="AF82" i="17"/>
  <c r="AJ82" i="17" s="1"/>
  <c r="AF77" i="17"/>
  <c r="AJ77" i="17" s="1"/>
  <c r="AF62" i="17"/>
  <c r="AJ62" i="17" s="1"/>
  <c r="AF17" i="17"/>
  <c r="AJ17" i="17" s="1"/>
  <c r="AF68" i="17"/>
  <c r="AJ68" i="17" s="1"/>
  <c r="AF18" i="17"/>
  <c r="AJ18" i="17" s="1"/>
  <c r="AF41" i="17"/>
  <c r="AJ41" i="17" s="1"/>
  <c r="AF31" i="17"/>
  <c r="AJ31" i="17" s="1"/>
  <c r="AF39" i="17"/>
  <c r="AJ39" i="17" s="1"/>
  <c r="AF81" i="17"/>
  <c r="AJ81" i="17" s="1"/>
  <c r="AF45" i="17"/>
  <c r="AJ45" i="17" s="1"/>
  <c r="AF51" i="17"/>
  <c r="AJ51" i="17" s="1"/>
  <c r="AF74" i="17"/>
  <c r="AJ74" i="17" s="1"/>
  <c r="AF72" i="17"/>
  <c r="AJ72" i="17" s="1"/>
  <c r="AF16" i="17"/>
  <c r="AJ16" i="17" s="1"/>
  <c r="AF50" i="17"/>
  <c r="AJ50" i="17" s="1"/>
  <c r="AF22" i="17"/>
  <c r="AJ22" i="17" s="1"/>
  <c r="AF5" i="17"/>
  <c r="AJ5" i="17" s="1"/>
  <c r="AF20" i="17"/>
  <c r="AJ20" i="17" s="1"/>
  <c r="AF80" i="17"/>
  <c r="AJ80" i="17" s="1"/>
  <c r="AF19" i="17"/>
  <c r="AJ19" i="17" s="1"/>
  <c r="AF86" i="17"/>
  <c r="AJ86" i="17" s="1"/>
  <c r="AF46" i="17"/>
  <c r="AJ46" i="17" s="1"/>
  <c r="AF61" i="17"/>
  <c r="AJ61" i="17" s="1"/>
  <c r="AF75" i="17"/>
  <c r="AJ75" i="17" s="1"/>
  <c r="AF78" i="17"/>
  <c r="AJ78" i="17" s="1"/>
  <c r="AF76" i="17"/>
  <c r="AJ76" i="17" s="1"/>
  <c r="AF54" i="17"/>
  <c r="AJ54" i="17" s="1"/>
  <c r="AF28" i="17"/>
  <c r="AJ28" i="17" s="1"/>
  <c r="AF65" i="17"/>
  <c r="AJ65" i="17" s="1"/>
  <c r="AF52" i="17"/>
  <c r="AJ52" i="17" s="1"/>
  <c r="AF55" i="17"/>
  <c r="AJ55" i="17" s="1"/>
  <c r="AF30" i="17"/>
  <c r="AJ30" i="17" s="1"/>
  <c r="AF8" i="17"/>
  <c r="AJ8" i="17" s="1"/>
  <c r="AF69" i="17"/>
  <c r="AJ69" i="17" s="1"/>
  <c r="AF34" i="17"/>
  <c r="AJ34" i="17" s="1"/>
  <c r="AF29" i="17"/>
  <c r="AJ29" i="17" s="1"/>
  <c r="AF32" i="17"/>
  <c r="AJ32" i="17" s="1"/>
  <c r="AF71" i="17"/>
  <c r="AJ71" i="17" s="1"/>
  <c r="AF33" i="17"/>
  <c r="AJ33" i="17" s="1"/>
  <c r="AF23" i="17"/>
  <c r="AJ23" i="17" s="1"/>
  <c r="AF3" i="17"/>
  <c r="AJ3" i="17" s="1"/>
  <c r="AF6" i="17"/>
  <c r="AJ6" i="17" s="1"/>
  <c r="AF25" i="17"/>
  <c r="AJ25" i="17" s="1"/>
  <c r="AF10" i="17"/>
  <c r="AJ10" i="17" s="1"/>
  <c r="AF66" i="17"/>
  <c r="AJ66" i="17" s="1"/>
  <c r="AF64" i="17"/>
  <c r="AJ64" i="17" s="1"/>
  <c r="K9" i="15"/>
  <c r="O7" i="15" s="1"/>
  <c r="N7" i="15"/>
  <c r="N12" i="15"/>
  <c r="K14" i="15"/>
  <c r="O12" i="15" s="1"/>
  <c r="K16" i="15"/>
  <c r="O14" i="15" s="1"/>
  <c r="N14" i="15"/>
  <c r="I29" i="15"/>
  <c r="I28" i="15"/>
  <c r="H28" i="15"/>
  <c r="I27" i="15"/>
  <c r="H27" i="15"/>
  <c r="N20" i="15"/>
  <c r="K22" i="15"/>
  <c r="O20" i="15" s="1"/>
  <c r="I26" i="15"/>
  <c r="H26" i="15"/>
  <c r="J19" i="15"/>
  <c r="J23" i="15"/>
  <c r="Y35" i="14"/>
  <c r="W11" i="14"/>
  <c r="V12" i="14"/>
  <c r="W61" i="14"/>
  <c r="Y30" i="14"/>
  <c r="P5" i="15"/>
  <c r="V77" i="14"/>
  <c r="X60" i="14"/>
  <c r="X56" i="14"/>
  <c r="V32" i="14"/>
  <c r="U51" i="14"/>
  <c r="F27" i="15"/>
  <c r="Y70" i="14"/>
  <c r="W7" i="14"/>
  <c r="W64" i="14"/>
  <c r="W10" i="14"/>
  <c r="Y71" i="14"/>
  <c r="W36" i="14"/>
  <c r="U23" i="14"/>
  <c r="V14" i="14"/>
  <c r="X67" i="14"/>
  <c r="V62" i="14"/>
  <c r="V17" i="14"/>
  <c r="W28" i="14"/>
  <c r="U8" i="14"/>
  <c r="X42" i="14"/>
  <c r="U5" i="14"/>
  <c r="V21" i="14"/>
  <c r="U25" i="14"/>
  <c r="V76" i="14"/>
  <c r="V59" i="14"/>
  <c r="W58" i="14"/>
  <c r="X43" i="14"/>
  <c r="Y4" i="14"/>
  <c r="U14" i="15"/>
  <c r="V31" i="14"/>
  <c r="U48" i="14"/>
  <c r="J21" i="15"/>
  <c r="U45" i="14"/>
  <c r="X49" i="14"/>
  <c r="V12" i="15"/>
  <c r="X73" i="14"/>
  <c r="W54" i="14"/>
  <c r="W47" i="14"/>
  <c r="X34" i="14"/>
  <c r="V33" i="14"/>
  <c r="Y39" i="14"/>
  <c r="W26" i="14"/>
  <c r="Y3" i="14"/>
  <c r="X40" i="14"/>
  <c r="U44" i="14"/>
  <c r="W52" i="14"/>
  <c r="X27" i="14"/>
  <c r="P10" i="15"/>
  <c r="V68" i="14"/>
  <c r="W20" i="14"/>
  <c r="W77" i="14"/>
  <c r="Y56" i="14"/>
  <c r="W32" i="14"/>
  <c r="Y69" i="14"/>
  <c r="V70" i="14"/>
  <c r="X64" i="14"/>
  <c r="Q7" i="15"/>
  <c r="Y36" i="14"/>
  <c r="U14" i="14"/>
  <c r="V67" i="14"/>
  <c r="W17" i="14"/>
  <c r="U28" i="14"/>
  <c r="Y8" i="14"/>
  <c r="V53" i="14"/>
  <c r="U76" i="14"/>
  <c r="W59" i="14"/>
  <c r="W43" i="14"/>
  <c r="U16" i="14"/>
  <c r="Y31" i="14"/>
  <c r="F26" i="15"/>
  <c r="Q13" i="15"/>
  <c r="Y73" i="14"/>
  <c r="Y72" i="14"/>
  <c r="U24" i="14"/>
  <c r="U39" i="14"/>
  <c r="V26" i="14"/>
  <c r="V40" i="14"/>
  <c r="Y52" i="14"/>
  <c r="C29" i="15"/>
  <c r="U35" i="14"/>
  <c r="Y61" i="14"/>
  <c r="Y19" i="14"/>
  <c r="Y66" i="14"/>
  <c r="X7" i="14"/>
  <c r="V7" i="15"/>
  <c r="X14" i="14"/>
  <c r="V20" i="15"/>
  <c r="Y42" i="14"/>
  <c r="V25" i="14"/>
  <c r="Y59" i="14"/>
  <c r="V16" i="14"/>
  <c r="W48" i="14"/>
  <c r="Y45" i="14"/>
  <c r="U73" i="14"/>
  <c r="W24" i="14"/>
  <c r="U26" i="14"/>
  <c r="Q11" i="15"/>
  <c r="J25" i="15"/>
  <c r="W68" i="14"/>
  <c r="V11" i="14"/>
  <c r="Y13" i="14"/>
  <c r="Q6" i="15"/>
  <c r="V38" i="14"/>
  <c r="X69" i="14"/>
  <c r="V65" i="14"/>
  <c r="U7" i="15"/>
  <c r="X46" i="14"/>
  <c r="U17" i="14"/>
  <c r="Y22" i="14"/>
  <c r="W53" i="14"/>
  <c r="U59" i="14"/>
  <c r="Y43" i="14"/>
  <c r="W31" i="14"/>
  <c r="W45" i="14"/>
  <c r="W73" i="14"/>
  <c r="X39" i="14"/>
  <c r="U40" i="14"/>
  <c r="Y27" i="14"/>
  <c r="Y68" i="14"/>
  <c r="W13" i="14"/>
  <c r="P6" i="15"/>
  <c r="W38" i="14"/>
  <c r="U69" i="14"/>
  <c r="W65" i="14"/>
  <c r="U29" i="14"/>
  <c r="W9" i="14"/>
  <c r="V28" i="14"/>
  <c r="W21" i="14"/>
  <c r="X76" i="14"/>
  <c r="X4" i="14"/>
  <c r="X31" i="14"/>
  <c r="U49" i="14"/>
  <c r="U54" i="14"/>
  <c r="X24" i="14"/>
  <c r="U3" i="14"/>
  <c r="V11" i="15"/>
  <c r="W12" i="14"/>
  <c r="V30" i="14"/>
  <c r="Y20" i="14"/>
  <c r="X38" i="14"/>
  <c r="V69" i="14"/>
  <c r="V71" i="14"/>
  <c r="X29" i="14"/>
  <c r="V8" i="15"/>
  <c r="V5" i="14"/>
  <c r="Y55" i="14"/>
  <c r="W4" i="14"/>
  <c r="J20" i="15"/>
  <c r="W57" i="14"/>
  <c r="W72" i="14"/>
  <c r="X6" i="14"/>
  <c r="V44" i="14"/>
  <c r="V13" i="14"/>
  <c r="Y60" i="14"/>
  <c r="W66" i="14"/>
  <c r="U64" i="14"/>
  <c r="W71" i="14"/>
  <c r="Y14" i="14"/>
  <c r="V9" i="14"/>
  <c r="X8" i="14"/>
  <c r="U21" i="14"/>
  <c r="Q20" i="15"/>
  <c r="Q14" i="15"/>
  <c r="X74" i="14"/>
  <c r="Q12" i="15"/>
  <c r="Y54" i="14"/>
  <c r="U33" i="14"/>
  <c r="X3" i="14"/>
  <c r="W41" i="14"/>
  <c r="V23" i="14"/>
  <c r="X17" i="14"/>
  <c r="X5" i="14"/>
  <c r="V55" i="14"/>
  <c r="V43" i="14"/>
  <c r="Y48" i="14"/>
  <c r="V73" i="14"/>
  <c r="Y47" i="14"/>
  <c r="W3" i="14"/>
  <c r="U52" i="14"/>
  <c r="J24" i="15"/>
  <c r="X35" i="14"/>
  <c r="Y11" i="14"/>
  <c r="Y12" i="14"/>
  <c r="X61" i="14"/>
  <c r="Q5" i="15"/>
  <c r="V19" i="14"/>
  <c r="V51" i="14"/>
  <c r="Y7" i="14"/>
  <c r="U10" i="14"/>
  <c r="W29" i="14"/>
  <c r="W62" i="14"/>
  <c r="W42" i="14"/>
  <c r="X25" i="14"/>
  <c r="U50" i="14"/>
  <c r="V14" i="15"/>
  <c r="V48" i="14"/>
  <c r="X45" i="14"/>
  <c r="X47" i="14"/>
  <c r="X33" i="14"/>
  <c r="V75" i="14"/>
  <c r="Y44" i="14"/>
  <c r="W27" i="14"/>
  <c r="X68" i="14"/>
  <c r="U13" i="14"/>
  <c r="U20" i="14"/>
  <c r="Y77" i="14"/>
  <c r="V56" i="14"/>
  <c r="W69" i="14"/>
  <c r="U70" i="14"/>
  <c r="Y10" i="14"/>
  <c r="U36" i="14"/>
  <c r="W67" i="14"/>
  <c r="Y17" i="14"/>
  <c r="X22" i="14"/>
  <c r="U53" i="14"/>
  <c r="W76" i="14"/>
  <c r="U43" i="14"/>
  <c r="V18" i="14"/>
  <c r="W74" i="14"/>
  <c r="V57" i="14"/>
  <c r="U47" i="14"/>
  <c r="W39" i="14"/>
  <c r="W40" i="14"/>
  <c r="V52" i="14"/>
  <c r="X20" i="14"/>
  <c r="X66" i="14"/>
  <c r="V7" i="14"/>
  <c r="X36" i="14"/>
  <c r="Y67" i="14"/>
  <c r="Y37" i="14"/>
  <c r="V42" i="14"/>
  <c r="Y76" i="14"/>
  <c r="W16" i="14"/>
  <c r="X48" i="14"/>
  <c r="V13" i="15"/>
  <c r="U72" i="14"/>
  <c r="U6" i="14"/>
  <c r="X75" i="14"/>
  <c r="U11" i="15"/>
  <c r="J11" i="15"/>
  <c r="V15" i="14"/>
  <c r="U30" i="14"/>
  <c r="U60" i="14"/>
  <c r="X32" i="14"/>
  <c r="W63" i="14"/>
  <c r="U71" i="14"/>
  <c r="Y46" i="14"/>
  <c r="Q8" i="15"/>
  <c r="V22" i="14"/>
  <c r="X53" i="14"/>
  <c r="X58" i="14"/>
  <c r="Y16" i="14"/>
  <c r="P13" i="15"/>
  <c r="V72" i="14"/>
  <c r="V6" i="14"/>
  <c r="Y75" i="14"/>
  <c r="Y41" i="14"/>
  <c r="U68" i="14"/>
  <c r="W15" i="14"/>
  <c r="X13" i="14"/>
  <c r="V60" i="14"/>
  <c r="W51" i="14"/>
  <c r="Y64" i="14"/>
  <c r="U46" i="14"/>
  <c r="X37" i="14"/>
  <c r="U22" i="14"/>
  <c r="Y53" i="14"/>
  <c r="Y50" i="14"/>
  <c r="U18" i="14"/>
  <c r="V74" i="14"/>
  <c r="X54" i="14"/>
  <c r="V34" i="14"/>
  <c r="J17" i="15"/>
  <c r="V41" i="14"/>
  <c r="V35" i="14"/>
  <c r="W30" i="14"/>
  <c r="U6" i="15"/>
  <c r="Y38" i="14"/>
  <c r="W70" i="14"/>
  <c r="X65" i="14"/>
  <c r="X23" i="14"/>
  <c r="Y62" i="14"/>
  <c r="V37" i="14"/>
  <c r="Y5" i="14"/>
  <c r="U55" i="14"/>
  <c r="V4" i="14"/>
  <c r="W18" i="14"/>
  <c r="W49" i="14"/>
  <c r="X57" i="14"/>
  <c r="V47" i="14"/>
  <c r="Y6" i="14"/>
  <c r="X52" i="14"/>
  <c r="W35" i="14"/>
  <c r="Y15" i="14"/>
  <c r="X12" i="14"/>
  <c r="V61" i="14"/>
  <c r="X30" i="14"/>
  <c r="U77" i="14"/>
  <c r="U38" i="14"/>
  <c r="X70" i="14"/>
  <c r="V64" i="14"/>
  <c r="X71" i="14"/>
  <c r="W14" i="14"/>
  <c r="U62" i="14"/>
  <c r="W37" i="14"/>
  <c r="Y21" i="14"/>
  <c r="V58" i="14"/>
  <c r="P14" i="15"/>
  <c r="V45" i="14"/>
  <c r="U12" i="15"/>
  <c r="Y34" i="14"/>
  <c r="X41" i="14"/>
  <c r="X11" i="14"/>
  <c r="U32" i="14"/>
  <c r="Y65" i="14"/>
  <c r="V29" i="14"/>
  <c r="Y9" i="14"/>
  <c r="Y28" i="14"/>
  <c r="F28" i="15"/>
  <c r="V50" i="14"/>
  <c r="U31" i="14"/>
  <c r="U13" i="15"/>
  <c r="X72" i="14"/>
  <c r="Y33" i="14"/>
  <c r="W75" i="14"/>
  <c r="V27" i="14"/>
  <c r="X15" i="14"/>
  <c r="U61" i="14"/>
  <c r="X77" i="14"/>
  <c r="Y32" i="14"/>
  <c r="X63" i="14"/>
  <c r="X10" i="14"/>
  <c r="Y29" i="14"/>
  <c r="U9" i="14"/>
  <c r="X28" i="14"/>
  <c r="P20" i="15"/>
  <c r="W55" i="14"/>
  <c r="X50" i="14"/>
  <c r="X18" i="14"/>
  <c r="U74" i="14"/>
  <c r="Y57" i="14"/>
  <c r="V24" i="14"/>
  <c r="X26" i="14"/>
  <c r="U41" i="14"/>
  <c r="U11" i="14"/>
  <c r="V20" i="14"/>
  <c r="U19" i="14"/>
  <c r="U66" i="14"/>
  <c r="U7" i="14"/>
  <c r="W23" i="14"/>
  <c r="U67" i="14"/>
  <c r="U37" i="14"/>
  <c r="W5" i="14"/>
  <c r="X55" i="14"/>
  <c r="W50" i="14"/>
  <c r="Y18" i="14"/>
  <c r="Y74" i="14"/>
  <c r="U57" i="14"/>
  <c r="U34" i="14"/>
  <c r="V39" i="14"/>
  <c r="Y40" i="14"/>
  <c r="U27" i="14"/>
  <c r="V6" i="15"/>
  <c r="V66" i="14"/>
  <c r="Y63" i="14"/>
  <c r="U65" i="14"/>
  <c r="Y23" i="14"/>
  <c r="X9" i="14"/>
  <c r="V8" i="14"/>
  <c r="X21" i="14"/>
  <c r="Y58" i="14"/>
  <c r="X16" i="14"/>
  <c r="P12" i="15"/>
  <c r="Y24" i="14"/>
  <c r="V3" i="14"/>
  <c r="U10" i="15"/>
  <c r="U12" i="14"/>
  <c r="V5" i="15"/>
  <c r="U56" i="14"/>
  <c r="X51" i="14"/>
  <c r="U63" i="14"/>
  <c r="U20" i="15"/>
  <c r="U8" i="15"/>
  <c r="W22" i="14"/>
  <c r="Y25" i="14"/>
  <c r="W34" i="14"/>
  <c r="J18" i="15"/>
  <c r="W56" i="14"/>
  <c r="V63" i="14"/>
  <c r="V10" i="14"/>
  <c r="V36" i="14"/>
  <c r="W46" i="14"/>
  <c r="W8" i="14"/>
  <c r="W25" i="14"/>
  <c r="X59" i="14"/>
  <c r="U4" i="14"/>
  <c r="V49" i="14"/>
  <c r="W33" i="14"/>
  <c r="X44" i="14"/>
  <c r="Q10" i="15"/>
  <c r="X19" i="14"/>
  <c r="W19" i="14"/>
  <c r="U75" i="14"/>
  <c r="U15" i="14"/>
  <c r="V46" i="14"/>
  <c r="W44" i="14"/>
  <c r="Y51" i="14"/>
  <c r="U42" i="14"/>
  <c r="Y26" i="14"/>
  <c r="P7" i="15"/>
  <c r="X62" i="14"/>
  <c r="Y49" i="14"/>
  <c r="P11" i="15"/>
  <c r="U58" i="14"/>
  <c r="V10" i="15"/>
  <c r="U5" i="15"/>
  <c r="P8" i="15"/>
  <c r="V54" i="14"/>
  <c r="W60" i="14"/>
  <c r="W6" i="14"/>
  <c r="N9" i="15" l="1"/>
  <c r="K11" i="15"/>
  <c r="O9" i="15" s="1"/>
  <c r="K24" i="15"/>
  <c r="O22" i="15" s="1"/>
  <c r="N22" i="15"/>
  <c r="K25" i="15"/>
  <c r="O23" i="15" s="1"/>
  <c r="N23" i="15"/>
  <c r="H29" i="15"/>
  <c r="K19" i="15"/>
  <c r="O17" i="15" s="1"/>
  <c r="N17" i="15"/>
  <c r="S27" i="14"/>
  <c r="S41" i="14"/>
  <c r="S52" i="14"/>
  <c r="S44" i="14"/>
  <c r="S40" i="14"/>
  <c r="K18" i="15"/>
  <c r="O16" i="15" s="1"/>
  <c r="N16" i="15"/>
  <c r="S75" i="14"/>
  <c r="S3" i="14"/>
  <c r="S26" i="14"/>
  <c r="N15" i="15"/>
  <c r="K17" i="15"/>
  <c r="O15" i="15" s="1"/>
  <c r="S39" i="14"/>
  <c r="S6" i="14"/>
  <c r="S33" i="14"/>
  <c r="S24" i="14"/>
  <c r="S34" i="14"/>
  <c r="S47" i="14"/>
  <c r="S72" i="14"/>
  <c r="S54" i="14"/>
  <c r="S73" i="14"/>
  <c r="S57" i="14"/>
  <c r="S49" i="14"/>
  <c r="S45" i="14"/>
  <c r="S74" i="14"/>
  <c r="N19" i="15"/>
  <c r="K21" i="15"/>
  <c r="O19" i="15" s="1"/>
  <c r="S48" i="14"/>
  <c r="K20" i="15"/>
  <c r="O18" i="15" s="1"/>
  <c r="N18" i="15"/>
  <c r="S31" i="14"/>
  <c r="S18" i="14"/>
  <c r="S16" i="14"/>
  <c r="S4" i="14"/>
  <c r="S43" i="14"/>
  <c r="S50" i="14"/>
  <c r="S58" i="14"/>
  <c r="S59" i="14"/>
  <c r="S76" i="14"/>
  <c r="S55" i="14"/>
  <c r="S25" i="14"/>
  <c r="S53" i="14"/>
  <c r="S21" i="14"/>
  <c r="S5" i="14"/>
  <c r="S42" i="14"/>
  <c r="S22" i="14"/>
  <c r="S8" i="14"/>
  <c r="S28" i="14"/>
  <c r="S37" i="14"/>
  <c r="S17" i="14"/>
  <c r="S9" i="14"/>
  <c r="S62" i="14"/>
  <c r="S67" i="14"/>
  <c r="S46" i="14"/>
  <c r="S14" i="14"/>
  <c r="S29" i="14"/>
  <c r="S23" i="14"/>
  <c r="S36" i="14"/>
  <c r="S71" i="14"/>
  <c r="S10" i="14"/>
  <c r="S65" i="14"/>
  <c r="S64" i="14"/>
  <c r="S7" i="14"/>
  <c r="S63" i="14"/>
  <c r="S70" i="14"/>
  <c r="S69" i="14"/>
  <c r="S66" i="14"/>
  <c r="S51" i="14"/>
  <c r="S32" i="14"/>
  <c r="S38" i="14"/>
  <c r="S56" i="14"/>
  <c r="S19" i="14"/>
  <c r="S60" i="14"/>
  <c r="S77" i="14"/>
  <c r="S20" i="14"/>
  <c r="S30" i="14"/>
  <c r="S61" i="14"/>
  <c r="S13" i="14"/>
  <c r="S12" i="14"/>
  <c r="S11" i="14"/>
  <c r="S15" i="14"/>
  <c r="S35" i="14"/>
  <c r="S68" i="14"/>
  <c r="N21" i="15"/>
  <c r="K23" i="15"/>
  <c r="O21" i="15" s="1"/>
  <c r="U9" i="15"/>
  <c r="Q9" i="15"/>
  <c r="V9" i="15"/>
  <c r="P9" i="15"/>
  <c r="Q19" i="15"/>
  <c r="P18" i="15"/>
  <c r="V17" i="15"/>
  <c r="P17" i="15"/>
  <c r="Q17" i="15"/>
  <c r="U17" i="15"/>
  <c r="Q15" i="15"/>
  <c r="J28" i="15"/>
  <c r="V18" i="15"/>
  <c r="P15" i="15"/>
  <c r="P16" i="15"/>
  <c r="U18" i="15"/>
  <c r="Q22" i="15"/>
  <c r="V22" i="15"/>
  <c r="P22" i="15"/>
  <c r="U22" i="15"/>
  <c r="U15" i="15"/>
  <c r="Q18" i="15"/>
  <c r="Q21" i="15"/>
  <c r="P19" i="15"/>
  <c r="E29" i="15"/>
  <c r="F29" i="15" s="1"/>
  <c r="U21" i="15"/>
  <c r="J29" i="15"/>
  <c r="P21" i="15"/>
  <c r="J27" i="15"/>
  <c r="J26" i="15"/>
  <c r="V21" i="15"/>
  <c r="V16" i="15"/>
  <c r="U23" i="15"/>
  <c r="Q23" i="15"/>
  <c r="P23" i="15"/>
  <c r="V23" i="15"/>
  <c r="Q16" i="15"/>
  <c r="V19" i="15"/>
  <c r="U19" i="15"/>
  <c r="U16" i="15"/>
  <c r="V15" i="15"/>
  <c r="N27" i="15" l="1"/>
  <c r="K29" i="15"/>
  <c r="O27" i="15" s="1"/>
  <c r="N25" i="15"/>
  <c r="K27" i="15"/>
  <c r="O25" i="15" s="1"/>
  <c r="N26" i="15"/>
  <c r="K28" i="15"/>
  <c r="O26" i="15" s="1"/>
  <c r="K26" i="15"/>
  <c r="O24" i="15" s="1"/>
  <c r="N24" i="15"/>
  <c r="Q27" i="15"/>
  <c r="V27" i="15"/>
  <c r="P27" i="15"/>
  <c r="U27" i="15"/>
  <c r="Q25" i="15"/>
  <c r="U24" i="15"/>
  <c r="P25" i="15"/>
  <c r="P24" i="15"/>
  <c r="U25" i="15"/>
  <c r="V24" i="15"/>
  <c r="V25" i="15"/>
  <c r="Q24" i="15"/>
  <c r="P26" i="15"/>
  <c r="Y3" i="15" a="1"/>
  <c r="V26" i="15"/>
  <c r="Z3" i="15" a="1"/>
  <c r="U26" i="15"/>
  <c r="Q26" i="15"/>
  <c r="Z67" i="15" l="1"/>
  <c r="Z9" i="15"/>
  <c r="Z61" i="15"/>
  <c r="Z19" i="15"/>
  <c r="Z16" i="15"/>
  <c r="Z77" i="15"/>
  <c r="Z74" i="15"/>
  <c r="Z71" i="15"/>
  <c r="Z68" i="15"/>
  <c r="Z57" i="15"/>
  <c r="Z23" i="15"/>
  <c r="Z20" i="15"/>
  <c r="Z64" i="15"/>
  <c r="Z53" i="15"/>
  <c r="Z47" i="15"/>
  <c r="Z5" i="15"/>
  <c r="Z66" i="15"/>
  <c r="Z63" i="15"/>
  <c r="Z60" i="15"/>
  <c r="Z88" i="15"/>
  <c r="Z54" i="15"/>
  <c r="Z51" i="15"/>
  <c r="Z73" i="15"/>
  <c r="Z6" i="15"/>
  <c r="Z14" i="15"/>
  <c r="Z27" i="15"/>
  <c r="Z21" i="15"/>
  <c r="Z76" i="15"/>
  <c r="Z70" i="15"/>
  <c r="Z42" i="15"/>
  <c r="Z94" i="15"/>
  <c r="Z52" i="15"/>
  <c r="Z49" i="15"/>
  <c r="Z46" i="15"/>
  <c r="Z43" i="15"/>
  <c r="Z40" i="15"/>
  <c r="Z101" i="15"/>
  <c r="Z98" i="15"/>
  <c r="Z95" i="15"/>
  <c r="Z3" i="15"/>
  <c r="Z28" i="15"/>
  <c r="Z80" i="15"/>
  <c r="Z22" i="15"/>
  <c r="Z83" i="15"/>
  <c r="Z97" i="15"/>
  <c r="Z38" i="15"/>
  <c r="Z35" i="15"/>
  <c r="Z32" i="15"/>
  <c r="Z29" i="15"/>
  <c r="Z26" i="15"/>
  <c r="Z87" i="15"/>
  <c r="Z84" i="15"/>
  <c r="Z12" i="15"/>
  <c r="Z92" i="15"/>
  <c r="Z96" i="15"/>
  <c r="Z86" i="15"/>
  <c r="Z44" i="15"/>
  <c r="Z81" i="15"/>
  <c r="Z102" i="15"/>
  <c r="Z99" i="15"/>
  <c r="Z72" i="15"/>
  <c r="Z93" i="15"/>
  <c r="Z90" i="15"/>
  <c r="Z48" i="15"/>
  <c r="Z45" i="15"/>
  <c r="Z56" i="15"/>
  <c r="Z78" i="15"/>
  <c r="Z91" i="15"/>
  <c r="Z85" i="15"/>
  <c r="Z79" i="15"/>
  <c r="Z34" i="15"/>
  <c r="Z36" i="15"/>
  <c r="Z50" i="15"/>
  <c r="Z11" i="15"/>
  <c r="Z8" i="15"/>
  <c r="Z69" i="15"/>
  <c r="Z24" i="15"/>
  <c r="Z18" i="15"/>
  <c r="Z15" i="15"/>
  <c r="Z89" i="15"/>
  <c r="Z75" i="15"/>
  <c r="Z65" i="15"/>
  <c r="Z30" i="15"/>
  <c r="Z17" i="15"/>
  <c r="Z82" i="15"/>
  <c r="Z37" i="15"/>
  <c r="Z31" i="15"/>
  <c r="Z39" i="15"/>
  <c r="Z100" i="15"/>
  <c r="Z13" i="15"/>
  <c r="Z10" i="15"/>
  <c r="Z7" i="15"/>
  <c r="Z41" i="15"/>
  <c r="Z55" i="15"/>
  <c r="Z4" i="15"/>
  <c r="Z25" i="15"/>
  <c r="Z62" i="15"/>
  <c r="Z59" i="15"/>
  <c r="Z33" i="15"/>
  <c r="Z103" i="15"/>
  <c r="Z58" i="15"/>
  <c r="Y77" i="15"/>
  <c r="Y74" i="15"/>
  <c r="Y71" i="15"/>
  <c r="Y68" i="15"/>
  <c r="Y57" i="15"/>
  <c r="Y62" i="15"/>
  <c r="Y59" i="15"/>
  <c r="Y56" i="15"/>
  <c r="Y53" i="15"/>
  <c r="Y50" i="15"/>
  <c r="Y47" i="15"/>
  <c r="Y5" i="15"/>
  <c r="Y94" i="15"/>
  <c r="Y66" i="15"/>
  <c r="Y63" i="15"/>
  <c r="Y60" i="15"/>
  <c r="Y88" i="15"/>
  <c r="Y54" i="15"/>
  <c r="Y51" i="15"/>
  <c r="Y48" i="15"/>
  <c r="Y45" i="15"/>
  <c r="Y42" i="15"/>
  <c r="Y39" i="15"/>
  <c r="Y36" i="15"/>
  <c r="Y41" i="15"/>
  <c r="Y24" i="15"/>
  <c r="Y18" i="15"/>
  <c r="Y12" i="15"/>
  <c r="Y6" i="15"/>
  <c r="Y103" i="15"/>
  <c r="Y58" i="15"/>
  <c r="Y17" i="15"/>
  <c r="Y70" i="15"/>
  <c r="Y97" i="15"/>
  <c r="Y52" i="15"/>
  <c r="Y49" i="15"/>
  <c r="Y46" i="15"/>
  <c r="Y43" i="15"/>
  <c r="Y40" i="15"/>
  <c r="Y37" i="15"/>
  <c r="Y34" i="15"/>
  <c r="Y31" i="15"/>
  <c r="Y28" i="15"/>
  <c r="Y80" i="15"/>
  <c r="Y22" i="15"/>
  <c r="Y83" i="15"/>
  <c r="Y30" i="15"/>
  <c r="Y38" i="15"/>
  <c r="Y35" i="15"/>
  <c r="Y32" i="15"/>
  <c r="Y29" i="15"/>
  <c r="Y26" i="15"/>
  <c r="Y23" i="15"/>
  <c r="Y20" i="15"/>
  <c r="Y33" i="15"/>
  <c r="Y14" i="15"/>
  <c r="Y11" i="15"/>
  <c r="Y8" i="15"/>
  <c r="Y69" i="15"/>
  <c r="Y102" i="15"/>
  <c r="Y99" i="15"/>
  <c r="Y72" i="15"/>
  <c r="Y93" i="15"/>
  <c r="Y90" i="15"/>
  <c r="Y87" i="15"/>
  <c r="Y84" i="15"/>
  <c r="Y64" i="15"/>
  <c r="Y78" i="15"/>
  <c r="Y75" i="15"/>
  <c r="Y65" i="15"/>
  <c r="Y55" i="15"/>
  <c r="Y91" i="15"/>
  <c r="Y82" i="15"/>
  <c r="Y76" i="15"/>
  <c r="Y67" i="15"/>
  <c r="Y61" i="15"/>
  <c r="Y27" i="15"/>
  <c r="Y21" i="15"/>
  <c r="Y15" i="15"/>
  <c r="Y73" i="15"/>
  <c r="Y3" i="15"/>
  <c r="Y100" i="15"/>
  <c r="Y16" i="15"/>
  <c r="Y85" i="15"/>
  <c r="Y79" i="15"/>
  <c r="Y89" i="15"/>
  <c r="Y9" i="15"/>
  <c r="Y19" i="15"/>
  <c r="Y7" i="15"/>
  <c r="Y86" i="15"/>
  <c r="Y4" i="15"/>
  <c r="Y44" i="15"/>
  <c r="Y25" i="15"/>
  <c r="Y81" i="15"/>
  <c r="Y101" i="15"/>
  <c r="Y98" i="15"/>
  <c r="Y95" i="15"/>
  <c r="Y13" i="15"/>
  <c r="Y92" i="15"/>
  <c r="Y10" i="15"/>
  <c r="Y96" i="15"/>
  <c r="AB5" i="15"/>
  <c r="AB48" i="15"/>
  <c r="AE49" i="15"/>
  <c r="AD26" i="15"/>
  <c r="AD102" i="15"/>
  <c r="AA61" i="15"/>
  <c r="AD85" i="15"/>
  <c r="AC10" i="15"/>
  <c r="AE94" i="15"/>
  <c r="AE45" i="15"/>
  <c r="AC46" i="15"/>
  <c r="AC22" i="15"/>
  <c r="AC99" i="15"/>
  <c r="AB27" i="15"/>
  <c r="AD79" i="15"/>
  <c r="AD96" i="15"/>
  <c r="AB62" i="15"/>
  <c r="AE42" i="15"/>
  <c r="AA43" i="15"/>
  <c r="AE83" i="15"/>
  <c r="AD72" i="15"/>
  <c r="AB65" i="15"/>
  <c r="AE89" i="15"/>
  <c r="AA59" i="15"/>
  <c r="AB63" i="15"/>
  <c r="AA58" i="15"/>
  <c r="AD40" i="15"/>
  <c r="AB33" i="15"/>
  <c r="AE55" i="15"/>
  <c r="AB15" i="15"/>
  <c r="AA101" i="15"/>
  <c r="AB56" i="15"/>
  <c r="AA36" i="15"/>
  <c r="AB37" i="15"/>
  <c r="AB38" i="15"/>
  <c r="AD90" i="15"/>
  <c r="AE91" i="15"/>
  <c r="AD19" i="15"/>
  <c r="AB77" i="15"/>
  <c r="AE53" i="15"/>
  <c r="AE41" i="15"/>
  <c r="AB70" i="15"/>
  <c r="AA35" i="15"/>
  <c r="AD87" i="15"/>
  <c r="AA82" i="15"/>
  <c r="AB7" i="15"/>
  <c r="AE95" i="15"/>
  <c r="AC50" i="15"/>
  <c r="AA24" i="15"/>
  <c r="AD97" i="15"/>
  <c r="AC32" i="15"/>
  <c r="AA8" i="15"/>
  <c r="AA76" i="15"/>
  <c r="AE86" i="15"/>
  <c r="AE13" i="15"/>
  <c r="AA47" i="15"/>
  <c r="AD51" i="15"/>
  <c r="AA52" i="15"/>
  <c r="AB29" i="15"/>
  <c r="AA69" i="15"/>
  <c r="AC67" i="15"/>
  <c r="AD16" i="15"/>
  <c r="AC92" i="15"/>
  <c r="AA49" i="15"/>
  <c r="AC102" i="15"/>
  <c r="AD44" i="15"/>
  <c r="AC94" i="15"/>
  <c r="AD45" i="15"/>
  <c r="AC23" i="15"/>
  <c r="AA99" i="15"/>
  <c r="AC79" i="15"/>
  <c r="AB96" i="15"/>
  <c r="AA42" i="15"/>
  <c r="AC43" i="15"/>
  <c r="AC72" i="15"/>
  <c r="AD21" i="15"/>
  <c r="AD89" i="15"/>
  <c r="AA63" i="15"/>
  <c r="AB58" i="15"/>
  <c r="AC33" i="15"/>
  <c r="AB55" i="15"/>
  <c r="AE101" i="15"/>
  <c r="AD36" i="15"/>
  <c r="AA37" i="15"/>
  <c r="AC90" i="15"/>
  <c r="AE73" i="15"/>
  <c r="AD77" i="15"/>
  <c r="AA41" i="15"/>
  <c r="AE34" i="15"/>
  <c r="AB87" i="15"/>
  <c r="AE82" i="15"/>
  <c r="AD74" i="15"/>
  <c r="AB24" i="15"/>
  <c r="AD32" i="15"/>
  <c r="AE84" i="15"/>
  <c r="AD86" i="15"/>
  <c r="AC47" i="15"/>
  <c r="AC52" i="15"/>
  <c r="AD29" i="15"/>
  <c r="AE67" i="15"/>
  <c r="AB92" i="15"/>
  <c r="AA5" i="15"/>
  <c r="AB49" i="15"/>
  <c r="AA26" i="15"/>
  <c r="AC61" i="15"/>
  <c r="AB10" i="15"/>
  <c r="AE6" i="15"/>
  <c r="AA23" i="15"/>
  <c r="AA27" i="15"/>
  <c r="AA96" i="15"/>
  <c r="AB42" i="15"/>
  <c r="AC20" i="15"/>
  <c r="AA21" i="15"/>
  <c r="AD59" i="15"/>
  <c r="AC58" i="15"/>
  <c r="AD33" i="15"/>
  <c r="AA9" i="15"/>
  <c r="AA60" i="15"/>
  <c r="AD37" i="15"/>
  <c r="AE90" i="15"/>
  <c r="AC19" i="15"/>
  <c r="AA88" i="15"/>
  <c r="AB34" i="15"/>
  <c r="AC87" i="15"/>
  <c r="AB74" i="15"/>
  <c r="AC24" i="15"/>
  <c r="AE32" i="15"/>
  <c r="AD84" i="15"/>
  <c r="AB86" i="15"/>
  <c r="AD47" i="15"/>
  <c r="AB52" i="15"/>
  <c r="AD64" i="15"/>
  <c r="AB4" i="15"/>
  <c r="AA68" i="15"/>
  <c r="AC80" i="15"/>
  <c r="AB26" i="15"/>
  <c r="AD78" i="15"/>
  <c r="AC44" i="15"/>
  <c r="AD94" i="15"/>
  <c r="AD46" i="15"/>
  <c r="AA75" i="15"/>
  <c r="AE25" i="15"/>
  <c r="AA103" i="15"/>
  <c r="AB72" i="15"/>
  <c r="AC59" i="15"/>
  <c r="AE39" i="15"/>
  <c r="AE93" i="15"/>
  <c r="AD101" i="15"/>
  <c r="AC37" i="15"/>
  <c r="AD73" i="15"/>
  <c r="AD88" i="15"/>
  <c r="AA11" i="15"/>
  <c r="AE7" i="15"/>
  <c r="AD24" i="15"/>
  <c r="AA32" i="15"/>
  <c r="AC86" i="15"/>
  <c r="AE47" i="15"/>
  <c r="AC28" i="15"/>
  <c r="AA67" i="15"/>
  <c r="AE68" i="15"/>
  <c r="AC48" i="15"/>
  <c r="AE12" i="15"/>
  <c r="AC78" i="15"/>
  <c r="AE85" i="15"/>
  <c r="AB44" i="15"/>
  <c r="AC6" i="15"/>
  <c r="AB23" i="15"/>
  <c r="AB25" i="15"/>
  <c r="AD66" i="15"/>
  <c r="AB20" i="15"/>
  <c r="AA81" i="15"/>
  <c r="AA40" i="15"/>
  <c r="AD55" i="15"/>
  <c r="AE60" i="15"/>
  <c r="AE37" i="15"/>
  <c r="AB73" i="15"/>
  <c r="AC77" i="15"/>
  <c r="AD34" i="15"/>
  <c r="AA3" i="15"/>
  <c r="AB54" i="15"/>
  <c r="AD8" i="15"/>
  <c r="AA86" i="15"/>
  <c r="AC71" i="15"/>
  <c r="AD28" i="15"/>
  <c r="AE16" i="15"/>
  <c r="AB68" i="15"/>
  <c r="AD12" i="15"/>
  <c r="AB102" i="15"/>
  <c r="AE44" i="15"/>
  <c r="AD6" i="15"/>
  <c r="AD75" i="15"/>
  <c r="AE62" i="15"/>
  <c r="AB83" i="15"/>
  <c r="AE21" i="15"/>
  <c r="AD39" i="15"/>
  <c r="AD93" i="15"/>
  <c r="AC56" i="15"/>
  <c r="AD38" i="15"/>
  <c r="AA73" i="15"/>
  <c r="AC88" i="15"/>
  <c r="AC11" i="15"/>
  <c r="AB95" i="15"/>
  <c r="AB97" i="15"/>
  <c r="AA84" i="15"/>
  <c r="AB71" i="15"/>
  <c r="AC69" i="15"/>
  <c r="AD4" i="15"/>
  <c r="AD68" i="15"/>
  <c r="AE48" i="15"/>
  <c r="AA102" i="15"/>
  <c r="AB78" i="15"/>
  <c r="AB85" i="15"/>
  <c r="AC45" i="15"/>
  <c r="AE22" i="15"/>
  <c r="AA79" i="15"/>
  <c r="AC42" i="15"/>
  <c r="AD20" i="15"/>
  <c r="AB81" i="15"/>
  <c r="AB40" i="15"/>
  <c r="AA15" i="15"/>
  <c r="AD56" i="15"/>
  <c r="AE38" i="15"/>
  <c r="AB19" i="15"/>
  <c r="AC70" i="15"/>
  <c r="AB35" i="15"/>
  <c r="AD3" i="15"/>
  <c r="AC54" i="15"/>
  <c r="AB8" i="15"/>
  <c r="AB13" i="15"/>
  <c r="AE52" i="15"/>
  <c r="AB69" i="15"/>
  <c r="AB80" i="15"/>
  <c r="AE61" i="15"/>
  <c r="AD10" i="15"/>
  <c r="AB46" i="15"/>
  <c r="AB75" i="15"/>
  <c r="AE96" i="15"/>
  <c r="AE103" i="15"/>
  <c r="AA72" i="15"/>
  <c r="AE58" i="15"/>
  <c r="AB93" i="15"/>
  <c r="AA56" i="15"/>
  <c r="AA38" i="15"/>
  <c r="AC91" i="15"/>
  <c r="AD70" i="15"/>
  <c r="AD82" i="15"/>
  <c r="AA95" i="15"/>
  <c r="AE97" i="15"/>
  <c r="AC76" i="15"/>
  <c r="AB47" i="15"/>
  <c r="AE69" i="15"/>
  <c r="AD92" i="15"/>
  <c r="AD5" i="15"/>
  <c r="AC12" i="15"/>
  <c r="AE26" i="15"/>
  <c r="AD61" i="15"/>
  <c r="AA10" i="15"/>
  <c r="AE46" i="15"/>
  <c r="AE27" i="15"/>
  <c r="AB66" i="15"/>
  <c r="AD83" i="15"/>
  <c r="AB59" i="15"/>
  <c r="AB30" i="15"/>
  <c r="AC15" i="15"/>
  <c r="AD60" i="15"/>
  <c r="AC38" i="15"/>
  <c r="AA19" i="15"/>
  <c r="AD53" i="15"/>
  <c r="AE35" i="15"/>
  <c r="AA7" i="15"/>
  <c r="AA50" i="15"/>
  <c r="AC97" i="15"/>
  <c r="AE76" i="15"/>
  <c r="AC13" i="15"/>
  <c r="AE18" i="15"/>
  <c r="AD69" i="15"/>
  <c r="AE4" i="15"/>
  <c r="AC68" i="15"/>
  <c r="AB12" i="15"/>
  <c r="AE78" i="15"/>
  <c r="AA44" i="15"/>
  <c r="AB94" i="15"/>
  <c r="AA46" i="15"/>
  <c r="AE99" i="15"/>
  <c r="AD25" i="15"/>
  <c r="AA66" i="15"/>
  <c r="AB43" i="15"/>
  <c r="AE72" i="15"/>
  <c r="AB89" i="15"/>
  <c r="AC39" i="15"/>
  <c r="AD30" i="15"/>
  <c r="AC55" i="15"/>
  <c r="AB101" i="15"/>
  <c r="AC36" i="15"/>
  <c r="AB14" i="15"/>
  <c r="AC73" i="15"/>
  <c r="AE77" i="15"/>
  <c r="AB41" i="15"/>
  <c r="AC35" i="15"/>
  <c r="AE3" i="15"/>
  <c r="AB50" i="15"/>
  <c r="AB31" i="15"/>
  <c r="AB76" i="15"/>
  <c r="AE71" i="15"/>
  <c r="AA18" i="15"/>
  <c r="AE29" i="15"/>
  <c r="AB67" i="15"/>
  <c r="AE92" i="15"/>
  <c r="AE5" i="15"/>
  <c r="AB61" i="15"/>
  <c r="AC57" i="15"/>
  <c r="AA6" i="15"/>
  <c r="AE23" i="15"/>
  <c r="AD27" i="15"/>
  <c r="AC66" i="15"/>
  <c r="AE20" i="15"/>
  <c r="AC81" i="15"/>
  <c r="AA30" i="15"/>
  <c r="AD9" i="15"/>
  <c r="AA17" i="15"/>
  <c r="AB90" i="15"/>
  <c r="AA77" i="15"/>
  <c r="AA34" i="15"/>
  <c r="AC3" i="15"/>
  <c r="AD54" i="15"/>
  <c r="AC84" i="15"/>
  <c r="AD71" i="15"/>
  <c r="AA29" i="15"/>
  <c r="AC4" i="15"/>
  <c r="AA80" i="15"/>
  <c r="AE57" i="15"/>
  <c r="AD22" i="15"/>
  <c r="AC27" i="15"/>
  <c r="AD103" i="15"/>
  <c r="AC21" i="15"/>
  <c r="AA39" i="15"/>
  <c r="AA93" i="15"/>
  <c r="AE56" i="15"/>
  <c r="AD14" i="15"/>
  <c r="AC98" i="15"/>
  <c r="AA70" i="15"/>
  <c r="AE87" i="15"/>
  <c r="AC74" i="15"/>
  <c r="AD31" i="15"/>
  <c r="AA100" i="15"/>
  <c r="AB18" i="15"/>
  <c r="AB64" i="15"/>
  <c r="AE80" i="15"/>
  <c r="AC85" i="15"/>
  <c r="AA45" i="15"/>
  <c r="AD23" i="15"/>
  <c r="AA25" i="15"/>
  <c r="AC103" i="15"/>
  <c r="AC65" i="15"/>
  <c r="AD63" i="15"/>
  <c r="AC30" i="15"/>
  <c r="AE9" i="15"/>
  <c r="AD17" i="15"/>
  <c r="AB91" i="15"/>
  <c r="AA53" i="15"/>
  <c r="AC34" i="15"/>
  <c r="AB3" i="15"/>
  <c r="AA54" i="15"/>
  <c r="AE8" i="15"/>
  <c r="AD13" i="15"/>
  <c r="AE28" i="15"/>
  <c r="AB16" i="15"/>
  <c r="AC49" i="15"/>
  <c r="AE10" i="15"/>
  <c r="AD99" i="15"/>
  <c r="AC25" i="15"/>
  <c r="AB103" i="15"/>
  <c r="AA65" i="15"/>
  <c r="AE63" i="15"/>
  <c r="AE33" i="15"/>
  <c r="AB9" i="15"/>
  <c r="AC17" i="15"/>
  <c r="AA91" i="15"/>
  <c r="AB88" i="15"/>
  <c r="AB82" i="15"/>
  <c r="AD50" i="15"/>
  <c r="AE31" i="15"/>
  <c r="AD76" i="15"/>
  <c r="AA71" i="15"/>
  <c r="AA28" i="15"/>
  <c r="AA92" i="15"/>
  <c r="AC5" i="15"/>
  <c r="AE102" i="15"/>
  <c r="AA85" i="15"/>
  <c r="AB45" i="15"/>
  <c r="AB99" i="15"/>
  <c r="AE79" i="15"/>
  <c r="AC62" i="15"/>
  <c r="AA83" i="15"/>
  <c r="AC89" i="15"/>
  <c r="AE40" i="15"/>
  <c r="AE15" i="15"/>
  <c r="AB36" i="15"/>
  <c r="AA90" i="15"/>
  <c r="AD98" i="15"/>
  <c r="AD35" i="15"/>
  <c r="AD7" i="15"/>
  <c r="AE54" i="15"/>
  <c r="AB32" i="15"/>
  <c r="AD100" i="15"/>
  <c r="AB28" i="15"/>
  <c r="AC16" i="15"/>
  <c r="AC7" i="15"/>
  <c r="AA12" i="15"/>
  <c r="AC96" i="15"/>
  <c r="AD43" i="15"/>
  <c r="AB21" i="15"/>
  <c r="AD58" i="15"/>
  <c r="AA55" i="15"/>
  <c r="AB60" i="15"/>
  <c r="AE14" i="15"/>
  <c r="AB98" i="15"/>
  <c r="AC41" i="15"/>
  <c r="AA87" i="15"/>
  <c r="AE74" i="15"/>
  <c r="AA31" i="15"/>
  <c r="AB100" i="15"/>
  <c r="AC18" i="15"/>
  <c r="AE64" i="15"/>
  <c r="AC26" i="15"/>
  <c r="AA94" i="15"/>
  <c r="AE75" i="15"/>
  <c r="AD62" i="15"/>
  <c r="AE43" i="15"/>
  <c r="AE65" i="15"/>
  <c r="AE59" i="15"/>
  <c r="AE30" i="15"/>
  <c r="AC9" i="15"/>
  <c r="AB17" i="15"/>
  <c r="AD91" i="15"/>
  <c r="AE88" i="15"/>
  <c r="AE11" i="15"/>
  <c r="AC95" i="15"/>
  <c r="AE24" i="15"/>
  <c r="AB84" i="15"/>
  <c r="AB51" i="15"/>
  <c r="AC29" i="15"/>
  <c r="AA4" i="15"/>
  <c r="AD48" i="15"/>
  <c r="AA78" i="15"/>
  <c r="AB57" i="15"/>
  <c r="AA22" i="15"/>
  <c r="AB79" i="15"/>
  <c r="AE66" i="15"/>
  <c r="AA20" i="15"/>
  <c r="AE81" i="15"/>
  <c r="AC40" i="15"/>
  <c r="AD15" i="15"/>
  <c r="AC60" i="15"/>
  <c r="AC14" i="15"/>
  <c r="AA98" i="15"/>
  <c r="AE70" i="15"/>
  <c r="AC82" i="15"/>
  <c r="AA74" i="15"/>
  <c r="AC31" i="15"/>
  <c r="AE100" i="15"/>
  <c r="AD18" i="15"/>
  <c r="AC64" i="15"/>
  <c r="AD80" i="15"/>
  <c r="AD57" i="15"/>
  <c r="AB6" i="15"/>
  <c r="AC75" i="15"/>
  <c r="AA62" i="15"/>
  <c r="AC83" i="15"/>
  <c r="AA89" i="15"/>
  <c r="AB39" i="15"/>
  <c r="AC93" i="15"/>
  <c r="AE36" i="15"/>
  <c r="AA14" i="15"/>
  <c r="AB53" i="15"/>
  <c r="AD11" i="15"/>
  <c r="AD95" i="15"/>
  <c r="AA97" i="15"/>
  <c r="AC100" i="15"/>
  <c r="AA51" i="15"/>
  <c r="AA16" i="15"/>
  <c r="AD49" i="15"/>
  <c r="AB22" i="15"/>
  <c r="AD42" i="15"/>
  <c r="AD65" i="15"/>
  <c r="AA33" i="15"/>
  <c r="AC101" i="15"/>
  <c r="AE17" i="15"/>
  <c r="AC53" i="15"/>
  <c r="AB11" i="15"/>
  <c r="AE50" i="15"/>
  <c r="AC8" i="15"/>
  <c r="AE51" i="15"/>
  <c r="AD67" i="15"/>
  <c r="AC51" i="15"/>
  <c r="AE98" i="15"/>
  <c r="AA64" i="15"/>
  <c r="AA57" i="15"/>
  <c r="AD81" i="15"/>
  <c r="AD41" i="15"/>
  <c r="AD52" i="15"/>
  <c r="AA48" i="15"/>
  <c r="AC63" i="15"/>
  <c r="AE19" i="15"/>
  <c r="AA13" i="15"/>
  <c r="X92" i="15" l="1"/>
  <c r="X4" i="15"/>
  <c r="X16" i="15"/>
  <c r="X67" i="15"/>
  <c r="X64" i="15"/>
  <c r="X69" i="15"/>
  <c r="X29" i="15"/>
  <c r="X28" i="15"/>
  <c r="X52" i="15"/>
  <c r="X18" i="15"/>
  <c r="X51" i="15"/>
  <c r="X47" i="15"/>
  <c r="X71" i="15"/>
  <c r="X13" i="15"/>
  <c r="X86" i="15"/>
  <c r="X100" i="15"/>
  <c r="X76" i="15"/>
  <c r="X84" i="15"/>
  <c r="X8" i="15"/>
  <c r="X32" i="15"/>
  <c r="X31" i="15"/>
  <c r="X97" i="15"/>
  <c r="X24" i="15"/>
  <c r="X54" i="15"/>
  <c r="X50" i="15"/>
  <c r="X74" i="15"/>
  <c r="X95" i="15"/>
  <c r="X7" i="15"/>
  <c r="X3" i="15"/>
  <c r="X82" i="15"/>
  <c r="X87" i="15"/>
  <c r="X11" i="15"/>
  <c r="X35" i="15"/>
  <c r="X34" i="15"/>
  <c r="X70" i="15"/>
  <c r="X41" i="15"/>
  <c r="X88" i="15"/>
  <c r="X53" i="15"/>
  <c r="X77" i="15"/>
  <c r="X98" i="15"/>
  <c r="X19" i="15"/>
  <c r="X73" i="15"/>
  <c r="X91" i="15"/>
  <c r="X90" i="15"/>
  <c r="X14" i="15"/>
  <c r="X38" i="15"/>
  <c r="X37" i="15"/>
  <c r="X17" i="15"/>
  <c r="X36" i="15"/>
  <c r="X60" i="15"/>
  <c r="X56" i="15"/>
  <c r="X101" i="15"/>
  <c r="X9" i="15"/>
  <c r="X15" i="15"/>
  <c r="X55" i="15"/>
  <c r="X93" i="15"/>
  <c r="X33" i="15"/>
  <c r="X30" i="15"/>
  <c r="X40" i="15"/>
  <c r="X58" i="15"/>
  <c r="X39" i="15"/>
  <c r="X63" i="15"/>
  <c r="X59" i="15"/>
  <c r="X81" i="15"/>
  <c r="X89" i="15"/>
  <c r="X21" i="15"/>
  <c r="X65" i="15"/>
  <c r="X72" i="15"/>
  <c r="X20" i="15"/>
  <c r="X83" i="15"/>
  <c r="X43" i="15"/>
  <c r="X103" i="15"/>
  <c r="X42" i="15"/>
  <c r="X66" i="15"/>
  <c r="X62" i="15"/>
  <c r="X96" i="15"/>
  <c r="X25" i="15"/>
  <c r="X79" i="15"/>
  <c r="X27" i="15"/>
  <c r="X75" i="15"/>
  <c r="X99" i="15"/>
  <c r="X23" i="15"/>
  <c r="X22" i="15"/>
  <c r="X46" i="15"/>
  <c r="X6" i="15"/>
  <c r="X45" i="15"/>
  <c r="X94" i="15"/>
  <c r="X57" i="15"/>
  <c r="X10" i="15"/>
  <c r="X44" i="15"/>
  <c r="X85" i="15"/>
  <c r="X61" i="15"/>
  <c r="X78" i="15"/>
  <c r="X102" i="15"/>
  <c r="X26" i="15"/>
  <c r="X80" i="15"/>
  <c r="X49" i="15"/>
  <c r="X12" i="15"/>
  <c r="X48" i="15"/>
  <c r="X5" i="15"/>
  <c r="X68" i="15"/>
  <c r="I30" i="1"/>
  <c r="D15" i="1"/>
  <c r="C23" i="1"/>
  <c r="D16" i="1"/>
  <c r="C24" i="1"/>
  <c r="D30" i="1"/>
  <c r="D40" i="1"/>
  <c r="C39" i="1"/>
  <c r="D31" i="1"/>
  <c r="Z2" i="14" l="1" a="1"/>
  <c r="H39" i="1"/>
  <c r="I39" i="1"/>
  <c r="I15" i="1"/>
  <c r="H24" i="1"/>
  <c r="I25" i="1"/>
  <c r="AG2" i="15" a="1"/>
  <c r="D25" i="1"/>
  <c r="AF2" i="15" a="1"/>
  <c r="C38" i="1"/>
  <c r="D39" i="1"/>
  <c r="I31" i="1"/>
  <c r="D38" i="1"/>
  <c r="H23" i="1"/>
  <c r="D24" i="1"/>
  <c r="Z3" i="18" a="1"/>
  <c r="I23" i="1"/>
  <c r="H38" i="1"/>
  <c r="I38" i="1" s="1"/>
  <c r="D23" i="1"/>
  <c r="I24" i="1"/>
  <c r="I40" i="1"/>
  <c r="Y3" i="18" a="1"/>
  <c r="AA2" i="14" a="1"/>
  <c r="AA55" i="14" l="1"/>
  <c r="AF55" i="14" s="1"/>
  <c r="AA67" i="14"/>
  <c r="AF67" i="14" s="1"/>
  <c r="AA30" i="14"/>
  <c r="AF30" i="14" s="1"/>
  <c r="AA47" i="14"/>
  <c r="AF47" i="14" s="1"/>
  <c r="AA70" i="14"/>
  <c r="AF70" i="14" s="1"/>
  <c r="AA17" i="14"/>
  <c r="AF17" i="14" s="1"/>
  <c r="AA68" i="14"/>
  <c r="AF68" i="14" s="1"/>
  <c r="AA25" i="14"/>
  <c r="AF25" i="14" s="1"/>
  <c r="AA33" i="14"/>
  <c r="AF33" i="14" s="1"/>
  <c r="AA60" i="14"/>
  <c r="AF60" i="14" s="1"/>
  <c r="AA6" i="14"/>
  <c r="AF6" i="14" s="1"/>
  <c r="AA58" i="14"/>
  <c r="AF58" i="14" s="1"/>
  <c r="AA2" i="14"/>
  <c r="AA66" i="14"/>
  <c r="AF66" i="14" s="1"/>
  <c r="AA29" i="14"/>
  <c r="AF29" i="14" s="1"/>
  <c r="AA43" i="14"/>
  <c r="AF43" i="14" s="1"/>
  <c r="AA10" i="14"/>
  <c r="AF10" i="14" s="1"/>
  <c r="AA51" i="14"/>
  <c r="AF51" i="14" s="1"/>
  <c r="AA42" i="14"/>
  <c r="AF42" i="14" s="1"/>
  <c r="AA69" i="14"/>
  <c r="AF69" i="14" s="1"/>
  <c r="AA44" i="14"/>
  <c r="AF44" i="14" s="1"/>
  <c r="AA14" i="14"/>
  <c r="AF14" i="14" s="1"/>
  <c r="AA7" i="14"/>
  <c r="AF7" i="14" s="1"/>
  <c r="AA13" i="14"/>
  <c r="AF13" i="14" s="1"/>
  <c r="AA5" i="14"/>
  <c r="AF5" i="14" s="1"/>
  <c r="AA28" i="14"/>
  <c r="AF28" i="14" s="1"/>
  <c r="AA64" i="14"/>
  <c r="AF64" i="14" s="1"/>
  <c r="AA77" i="14"/>
  <c r="AF77" i="14" s="1"/>
  <c r="AA39" i="14"/>
  <c r="AF39" i="14" s="1"/>
  <c r="AA4" i="14"/>
  <c r="AF4" i="14" s="1"/>
  <c r="AA75" i="14"/>
  <c r="AF75" i="14" s="1"/>
  <c r="AA38" i="14"/>
  <c r="AF38" i="14" s="1"/>
  <c r="AA8" i="14"/>
  <c r="AF8" i="14" s="1"/>
  <c r="AA50" i="14"/>
  <c r="AF50" i="14" s="1"/>
  <c r="AA16" i="14"/>
  <c r="AF16" i="14" s="1"/>
  <c r="AA71" i="14"/>
  <c r="AF71" i="14" s="1"/>
  <c r="AA45" i="14"/>
  <c r="AF45" i="14" s="1"/>
  <c r="AA37" i="14"/>
  <c r="AF37" i="14" s="1"/>
  <c r="AA36" i="14"/>
  <c r="AF36" i="14" s="1"/>
  <c r="AA46" i="14"/>
  <c r="AF46" i="14" s="1"/>
  <c r="AA49" i="14"/>
  <c r="AF49" i="14" s="1"/>
  <c r="AA3" i="14"/>
  <c r="AF3" i="14" s="1"/>
  <c r="AA27" i="14"/>
  <c r="AF27" i="14" s="1"/>
  <c r="AA11" i="14"/>
  <c r="AF11" i="14" s="1"/>
  <c r="AA41" i="14"/>
  <c r="AF41" i="14" s="1"/>
  <c r="AA32" i="14"/>
  <c r="AF32" i="14" s="1"/>
  <c r="AA34" i="14"/>
  <c r="AF34" i="14" s="1"/>
  <c r="AA24" i="14"/>
  <c r="AF24" i="14" s="1"/>
  <c r="AA57" i="14"/>
  <c r="AF57" i="14" s="1"/>
  <c r="AA20" i="14"/>
  <c r="AF20" i="14" s="1"/>
  <c r="AA53" i="14"/>
  <c r="AF53" i="14" s="1"/>
  <c r="AA74" i="14"/>
  <c r="AF74" i="14" s="1"/>
  <c r="AA61" i="14"/>
  <c r="AF61" i="14" s="1"/>
  <c r="AA12" i="14"/>
  <c r="AF12" i="14" s="1"/>
  <c r="AA22" i="14"/>
  <c r="AF22" i="14" s="1"/>
  <c r="AA62" i="14"/>
  <c r="AF62" i="14" s="1"/>
  <c r="AA21" i="14"/>
  <c r="AF21" i="14" s="1"/>
  <c r="AA52" i="14"/>
  <c r="AF52" i="14" s="1"/>
  <c r="AA23" i="14"/>
  <c r="AF23" i="14" s="1"/>
  <c r="AA73" i="14"/>
  <c r="AF73" i="14" s="1"/>
  <c r="AA72" i="14"/>
  <c r="AF72" i="14" s="1"/>
  <c r="AA15" i="14"/>
  <c r="AF15" i="14" s="1"/>
  <c r="AA63" i="14"/>
  <c r="AF63" i="14" s="1"/>
  <c r="AA54" i="14"/>
  <c r="AF54" i="14" s="1"/>
  <c r="AA65" i="14"/>
  <c r="AF65" i="14" s="1"/>
  <c r="AA9" i="14"/>
  <c r="AF9" i="14" s="1"/>
  <c r="AA31" i="14"/>
  <c r="AF31" i="14" s="1"/>
  <c r="AA26" i="14"/>
  <c r="AF26" i="14" s="1"/>
  <c r="AA48" i="14"/>
  <c r="AF48" i="14" s="1"/>
  <c r="AA56" i="14"/>
  <c r="AF56" i="14" s="1"/>
  <c r="AA59" i="14"/>
  <c r="AF59" i="14" s="1"/>
  <c r="AA40" i="14"/>
  <c r="AF40" i="14" s="1"/>
  <c r="AA35" i="14"/>
  <c r="AF35" i="14" s="1"/>
  <c r="AA76" i="14"/>
  <c r="AF76" i="14" s="1"/>
  <c r="AA18" i="14"/>
  <c r="AF18" i="14" s="1"/>
  <c r="AA19" i="14"/>
  <c r="AF19" i="14" s="1"/>
  <c r="Y48" i="18"/>
  <c r="Y6" i="18"/>
  <c r="Y43" i="18"/>
  <c r="Y18" i="18"/>
  <c r="Y5" i="18"/>
  <c r="Y8" i="18"/>
  <c r="Y19" i="18"/>
  <c r="Y30" i="18"/>
  <c r="Y52" i="18"/>
  <c r="Y39" i="18"/>
  <c r="Y3" i="18"/>
  <c r="Y37" i="18"/>
  <c r="Y41" i="18"/>
  <c r="Y15" i="18"/>
  <c r="Y42" i="18"/>
  <c r="Y29" i="18"/>
  <c r="Y10" i="18"/>
  <c r="Y12" i="18"/>
  <c r="Y45" i="18"/>
  <c r="Y22" i="18"/>
  <c r="Y27" i="18"/>
  <c r="Y28" i="18"/>
  <c r="Y21" i="18"/>
  <c r="Y13" i="18"/>
  <c r="Y53" i="18"/>
  <c r="Y38" i="18"/>
  <c r="Y14" i="18"/>
  <c r="Y17" i="18"/>
  <c r="Y36" i="18"/>
  <c r="Y32" i="18"/>
  <c r="Y25" i="18"/>
  <c r="Y11" i="18"/>
  <c r="Y49" i="18"/>
  <c r="Y31" i="18"/>
  <c r="Y33" i="18"/>
  <c r="Y50" i="18"/>
  <c r="Y44" i="18"/>
  <c r="Y35" i="18"/>
  <c r="Y51" i="18"/>
  <c r="Y9" i="18"/>
  <c r="Y46" i="18"/>
  <c r="Y7" i="18"/>
  <c r="Y23" i="18"/>
  <c r="Y16" i="18"/>
  <c r="Y34" i="18"/>
  <c r="Y24" i="18"/>
  <c r="Y26" i="18"/>
  <c r="Y20" i="18"/>
  <c r="Y4" i="18"/>
  <c r="Y47" i="18"/>
  <c r="Y40" i="18"/>
  <c r="Z17" i="18"/>
  <c r="Z31" i="18"/>
  <c r="Z13" i="18"/>
  <c r="Z37" i="18"/>
  <c r="Z15" i="18"/>
  <c r="Z22" i="18"/>
  <c r="Z9" i="18"/>
  <c r="Z8" i="18"/>
  <c r="Z39" i="18"/>
  <c r="Z35" i="18"/>
  <c r="Z16" i="18"/>
  <c r="Z30" i="18"/>
  <c r="Z38" i="18"/>
  <c r="Z25" i="18"/>
  <c r="Z10" i="18"/>
  <c r="Z28" i="18"/>
  <c r="Z40" i="18"/>
  <c r="Z29" i="18"/>
  <c r="Z36" i="18"/>
  <c r="Z19" i="18"/>
  <c r="Z45" i="18"/>
  <c r="Z24" i="18"/>
  <c r="Z11" i="18"/>
  <c r="Z33" i="18"/>
  <c r="Z47" i="18"/>
  <c r="Z32" i="18"/>
  <c r="Z7" i="18"/>
  <c r="Z49" i="18"/>
  <c r="Z26" i="18"/>
  <c r="Z46" i="18"/>
  <c r="Z18" i="18"/>
  <c r="Z53" i="18"/>
  <c r="Z34" i="18"/>
  <c r="Z6" i="18"/>
  <c r="Z52" i="18"/>
  <c r="Z23" i="18"/>
  <c r="Z44" i="18"/>
  <c r="Z4" i="18"/>
  <c r="Z50" i="18"/>
  <c r="Z14" i="18"/>
  <c r="Z42" i="18"/>
  <c r="Z48" i="18"/>
  <c r="Z12" i="18"/>
  <c r="Z27" i="18"/>
  <c r="Z51" i="18"/>
  <c r="Z43" i="18"/>
  <c r="Z5" i="18"/>
  <c r="Z41" i="18"/>
  <c r="Z21" i="18"/>
  <c r="Z20" i="18"/>
  <c r="Z3" i="18"/>
  <c r="AF69" i="15"/>
  <c r="AJ69" i="15" s="1"/>
  <c r="AF32" i="15"/>
  <c r="AJ32" i="15" s="1"/>
  <c r="AF15" i="15"/>
  <c r="AJ15" i="15" s="1"/>
  <c r="AF70" i="15"/>
  <c r="AJ70" i="15" s="1"/>
  <c r="AF100" i="15"/>
  <c r="AJ100" i="15" s="1"/>
  <c r="AF10" i="15"/>
  <c r="AJ10" i="15" s="1"/>
  <c r="AF51" i="15"/>
  <c r="AJ51" i="15" s="1"/>
  <c r="AF42" i="15"/>
  <c r="AJ42" i="15" s="1"/>
  <c r="AF97" i="15"/>
  <c r="AJ97" i="15" s="1"/>
  <c r="AF52" i="15"/>
  <c r="AJ52" i="15" s="1"/>
  <c r="AF68" i="15"/>
  <c r="AJ68" i="15" s="1"/>
  <c r="AF84" i="15"/>
  <c r="AJ84" i="15" s="1"/>
  <c r="AF25" i="15"/>
  <c r="AJ25" i="15" s="1"/>
  <c r="AF64" i="15"/>
  <c r="AJ64" i="15" s="1"/>
  <c r="AF53" i="15"/>
  <c r="AJ53" i="15" s="1"/>
  <c r="AF72" i="15"/>
  <c r="AJ72" i="15" s="1"/>
  <c r="AF74" i="15"/>
  <c r="AJ74" i="15" s="1"/>
  <c r="AF71" i="15"/>
  <c r="AJ71" i="15" s="1"/>
  <c r="AF60" i="15"/>
  <c r="AJ60" i="15" s="1"/>
  <c r="AF67" i="15"/>
  <c r="AJ67" i="15" s="1"/>
  <c r="AF102" i="15"/>
  <c r="AJ102" i="15" s="1"/>
  <c r="AF54" i="15"/>
  <c r="AJ54" i="15" s="1"/>
  <c r="AF75" i="15"/>
  <c r="AJ75" i="15" s="1"/>
  <c r="AF63" i="15"/>
  <c r="AJ63" i="15" s="1"/>
  <c r="AF81" i="15"/>
  <c r="AJ81" i="15" s="1"/>
  <c r="AF2" i="15"/>
  <c r="AF20" i="15"/>
  <c r="AJ20" i="15" s="1"/>
  <c r="AF13" i="15"/>
  <c r="AJ13" i="15" s="1"/>
  <c r="AF23" i="15"/>
  <c r="AJ23" i="15" s="1"/>
  <c r="AF61" i="15"/>
  <c r="AJ61" i="15" s="1"/>
  <c r="AF30" i="15"/>
  <c r="AJ30" i="15" s="1"/>
  <c r="AF34" i="15"/>
  <c r="AJ34" i="15" s="1"/>
  <c r="AF78" i="15"/>
  <c r="AJ78" i="15" s="1"/>
  <c r="AF85" i="15"/>
  <c r="AJ85" i="15" s="1"/>
  <c r="AF12" i="15"/>
  <c r="AJ12" i="15" s="1"/>
  <c r="AF89" i="15"/>
  <c r="AJ89" i="15" s="1"/>
  <c r="AF58" i="15"/>
  <c r="AJ58" i="15" s="1"/>
  <c r="AF46" i="15"/>
  <c r="AJ46" i="15" s="1"/>
  <c r="AF92" i="15"/>
  <c r="AJ92" i="15" s="1"/>
  <c r="AF94" i="15"/>
  <c r="AJ94" i="15" s="1"/>
  <c r="AF49" i="15"/>
  <c r="AJ49" i="15" s="1"/>
  <c r="AF40" i="15"/>
  <c r="AJ40" i="15" s="1"/>
  <c r="AF31" i="15"/>
  <c r="AJ31" i="15" s="1"/>
  <c r="AF22" i="15"/>
  <c r="AJ22" i="15" s="1"/>
  <c r="AF35" i="15"/>
  <c r="AJ35" i="15" s="1"/>
  <c r="AF76" i="15"/>
  <c r="AJ76" i="15" s="1"/>
  <c r="AF3" i="15"/>
  <c r="AJ3" i="15" s="1"/>
  <c r="AF19" i="15"/>
  <c r="AJ19" i="15" s="1"/>
  <c r="AF77" i="15"/>
  <c r="AJ77" i="15" s="1"/>
  <c r="AF93" i="15"/>
  <c r="AJ93" i="15" s="1"/>
  <c r="AF45" i="15"/>
  <c r="AJ45" i="15" s="1"/>
  <c r="AF50" i="15"/>
  <c r="AJ50" i="15" s="1"/>
  <c r="AF8" i="15"/>
  <c r="AJ8" i="15" s="1"/>
  <c r="AF96" i="15"/>
  <c r="AJ96" i="15" s="1"/>
  <c r="AF17" i="15"/>
  <c r="AJ17" i="15" s="1"/>
  <c r="AF24" i="15"/>
  <c r="AJ24" i="15" s="1"/>
  <c r="AF88" i="15"/>
  <c r="AJ88" i="15" s="1"/>
  <c r="AF43" i="15"/>
  <c r="AJ43" i="15" s="1"/>
  <c r="AF59" i="15"/>
  <c r="AJ59" i="15" s="1"/>
  <c r="AF103" i="15"/>
  <c r="AJ103" i="15" s="1"/>
  <c r="AF91" i="15"/>
  <c r="AJ91" i="15" s="1"/>
  <c r="AF79" i="15"/>
  <c r="AJ79" i="15" s="1"/>
  <c r="AF101" i="15"/>
  <c r="AJ101" i="15" s="1"/>
  <c r="AF36" i="15"/>
  <c r="AJ36" i="15" s="1"/>
  <c r="AF5" i="15"/>
  <c r="AJ5" i="15" s="1"/>
  <c r="AF95" i="15"/>
  <c r="AJ95" i="15" s="1"/>
  <c r="AF73" i="15"/>
  <c r="AJ73" i="15" s="1"/>
  <c r="AF14" i="15"/>
  <c r="AJ14" i="15" s="1"/>
  <c r="AF41" i="15"/>
  <c r="AJ41" i="15" s="1"/>
  <c r="AF99" i="15"/>
  <c r="AJ99" i="15" s="1"/>
  <c r="AF90" i="15"/>
  <c r="AJ90" i="15" s="1"/>
  <c r="AF48" i="15"/>
  <c r="AJ48" i="15" s="1"/>
  <c r="AF56" i="15"/>
  <c r="AJ56" i="15" s="1"/>
  <c r="AF21" i="15"/>
  <c r="AJ21" i="15" s="1"/>
  <c r="AF16" i="15"/>
  <c r="AJ16" i="15" s="1"/>
  <c r="AF28" i="15"/>
  <c r="AJ28" i="15" s="1"/>
  <c r="AF38" i="15"/>
  <c r="AJ38" i="15" s="1"/>
  <c r="AF29" i="15"/>
  <c r="AJ29" i="15" s="1"/>
  <c r="AF80" i="15"/>
  <c r="AJ80" i="15" s="1"/>
  <c r="AF86" i="15"/>
  <c r="AJ86" i="15" s="1"/>
  <c r="AF55" i="15"/>
  <c r="AJ55" i="15" s="1"/>
  <c r="AF18" i="15"/>
  <c r="AJ18" i="15" s="1"/>
  <c r="AF98" i="15"/>
  <c r="AJ98" i="15" s="1"/>
  <c r="AF39" i="15"/>
  <c r="AJ39" i="15" s="1"/>
  <c r="AF27" i="15"/>
  <c r="AJ27" i="15" s="1"/>
  <c r="AF7" i="15"/>
  <c r="AJ7" i="15" s="1"/>
  <c r="AF37" i="15"/>
  <c r="AJ37" i="15" s="1"/>
  <c r="AF11" i="15"/>
  <c r="AJ11" i="15" s="1"/>
  <c r="AF83" i="15"/>
  <c r="AJ83" i="15" s="1"/>
  <c r="AF9" i="15"/>
  <c r="AJ9" i="15" s="1"/>
  <c r="AF65" i="15"/>
  <c r="AJ65" i="15" s="1"/>
  <c r="AF47" i="15"/>
  <c r="AJ47" i="15" s="1"/>
  <c r="AF62" i="15"/>
  <c r="AJ62" i="15" s="1"/>
  <c r="AF44" i="15"/>
  <c r="AJ44" i="15" s="1"/>
  <c r="AF6" i="15"/>
  <c r="AJ6" i="15" s="1"/>
  <c r="AF26" i="15"/>
  <c r="AJ26" i="15" s="1"/>
  <c r="AF33" i="15"/>
  <c r="AJ33" i="15" s="1"/>
  <c r="AF4" i="15"/>
  <c r="AJ4" i="15" s="1"/>
  <c r="AF87" i="15"/>
  <c r="AJ87" i="15" s="1"/>
  <c r="AF82" i="15"/>
  <c r="AJ82" i="15" s="1"/>
  <c r="AF66" i="15"/>
  <c r="AJ66" i="15" s="1"/>
  <c r="AF57" i="15"/>
  <c r="AJ57" i="15" s="1"/>
  <c r="AG22" i="15"/>
  <c r="AL22" i="15" s="1"/>
  <c r="AG95" i="15"/>
  <c r="AL95" i="15" s="1"/>
  <c r="AG63" i="15"/>
  <c r="AL63" i="15" s="1"/>
  <c r="AG89" i="15"/>
  <c r="AL89" i="15" s="1"/>
  <c r="AG52" i="15"/>
  <c r="AL52" i="15" s="1"/>
  <c r="AG13" i="15"/>
  <c r="AL13" i="15" s="1"/>
  <c r="AG31" i="15"/>
  <c r="AL31" i="15" s="1"/>
  <c r="AG80" i="15"/>
  <c r="AL80" i="15" s="1"/>
  <c r="AG97" i="15"/>
  <c r="AL97" i="15" s="1"/>
  <c r="AG43" i="15"/>
  <c r="AL43" i="15" s="1"/>
  <c r="AG46" i="15"/>
  <c r="AL46" i="15" s="1"/>
  <c r="AG39" i="15"/>
  <c r="AL39" i="15" s="1"/>
  <c r="AG19" i="15"/>
  <c r="AL19" i="15" s="1"/>
  <c r="AG59" i="15"/>
  <c r="AL59" i="15" s="1"/>
  <c r="AG69" i="15"/>
  <c r="AL69" i="15" s="1"/>
  <c r="AG90" i="15"/>
  <c r="AL90" i="15" s="1"/>
  <c r="AG35" i="15"/>
  <c r="AL35" i="15" s="1"/>
  <c r="AG17" i="15"/>
  <c r="AL17" i="15" s="1"/>
  <c r="AG83" i="15"/>
  <c r="AL83" i="15" s="1"/>
  <c r="AG32" i="15"/>
  <c r="AL32" i="15" s="1"/>
  <c r="AG70" i="15"/>
  <c r="AL70" i="15" s="1"/>
  <c r="AG6" i="15"/>
  <c r="AL6" i="15" s="1"/>
  <c r="AG33" i="15"/>
  <c r="AL33" i="15" s="1"/>
  <c r="AG21" i="15"/>
  <c r="AL21" i="15" s="1"/>
  <c r="AG24" i="15"/>
  <c r="AL24" i="15" s="1"/>
  <c r="AG68" i="15"/>
  <c r="AL68" i="15" s="1"/>
  <c r="AG25" i="15"/>
  <c r="AL25" i="15" s="1"/>
  <c r="AG72" i="15"/>
  <c r="AL72" i="15" s="1"/>
  <c r="AG92" i="15"/>
  <c r="AL92" i="15" s="1"/>
  <c r="AG55" i="15"/>
  <c r="AL55" i="15" s="1"/>
  <c r="AG12" i="15"/>
  <c r="AL12" i="15" s="1"/>
  <c r="AG85" i="15"/>
  <c r="AL85" i="15" s="1"/>
  <c r="AG34" i="15"/>
  <c r="AL34" i="15" s="1"/>
  <c r="AG101" i="15"/>
  <c r="AL101" i="15" s="1"/>
  <c r="AG86" i="15"/>
  <c r="AL86" i="15" s="1"/>
  <c r="AG93" i="15"/>
  <c r="AL93" i="15" s="1"/>
  <c r="AG26" i="15"/>
  <c r="AL26" i="15" s="1"/>
  <c r="AG50" i="15"/>
  <c r="AL50" i="15" s="1"/>
  <c r="AG49" i="15"/>
  <c r="AL49" i="15" s="1"/>
  <c r="AG77" i="15"/>
  <c r="AL77" i="15" s="1"/>
  <c r="AG48" i="15"/>
  <c r="AL48" i="15" s="1"/>
  <c r="AG73" i="15"/>
  <c r="AL73" i="15" s="1"/>
  <c r="AG58" i="15"/>
  <c r="AL58" i="15" s="1"/>
  <c r="AG4" i="15"/>
  <c r="AL4" i="15" s="1"/>
  <c r="AG7" i="15"/>
  <c r="AL7" i="15" s="1"/>
  <c r="AG42" i="15"/>
  <c r="AL42" i="15" s="1"/>
  <c r="AG45" i="15"/>
  <c r="AL45" i="15" s="1"/>
  <c r="AG5" i="15"/>
  <c r="AL5" i="15" s="1"/>
  <c r="AG84" i="15"/>
  <c r="AL84" i="15" s="1"/>
  <c r="AG23" i="15"/>
  <c r="AL23" i="15" s="1"/>
  <c r="AG56" i="15"/>
  <c r="AL56" i="15" s="1"/>
  <c r="AG18" i="15"/>
  <c r="AL18" i="15" s="1"/>
  <c r="AG99" i="15"/>
  <c r="AL99" i="15" s="1"/>
  <c r="AG11" i="15"/>
  <c r="AL11" i="15" s="1"/>
  <c r="AG41" i="15"/>
  <c r="AL41" i="15" s="1"/>
  <c r="AG9" i="15"/>
  <c r="AL9" i="15" s="1"/>
  <c r="AG37" i="15"/>
  <c r="AL37" i="15" s="1"/>
  <c r="AG103" i="15"/>
  <c r="AL103" i="15" s="1"/>
  <c r="AG30" i="15"/>
  <c r="AL30" i="15" s="1"/>
  <c r="AG27" i="15"/>
  <c r="AL27" i="15" s="1"/>
  <c r="AG44" i="15"/>
  <c r="AL44" i="15" s="1"/>
  <c r="AG29" i="15"/>
  <c r="AL29" i="15" s="1"/>
  <c r="AG65" i="15"/>
  <c r="AL65" i="15" s="1"/>
  <c r="AG47" i="15"/>
  <c r="AL47" i="15" s="1"/>
  <c r="AG57" i="15"/>
  <c r="AL57" i="15" s="1"/>
  <c r="AG74" i="15"/>
  <c r="AL74" i="15" s="1"/>
  <c r="AG53" i="15"/>
  <c r="AL53" i="15" s="1"/>
  <c r="AG87" i="15"/>
  <c r="AL87" i="15" s="1"/>
  <c r="AG88" i="15"/>
  <c r="AL88" i="15" s="1"/>
  <c r="AG40" i="15"/>
  <c r="AL40" i="15" s="1"/>
  <c r="AG76" i="15"/>
  <c r="AL76" i="15" s="1"/>
  <c r="AG61" i="15"/>
  <c r="AL61" i="15" s="1"/>
  <c r="AG64" i="15"/>
  <c r="AL64" i="15" s="1"/>
  <c r="AG66" i="15"/>
  <c r="AL66" i="15" s="1"/>
  <c r="AG62" i="15"/>
  <c r="AL62" i="15" s="1"/>
  <c r="AG54" i="15"/>
  <c r="AL54" i="15" s="1"/>
  <c r="AG75" i="15"/>
  <c r="AL75" i="15" s="1"/>
  <c r="AG38" i="15"/>
  <c r="AL38" i="15" s="1"/>
  <c r="AG98" i="15"/>
  <c r="AL98" i="15" s="1"/>
  <c r="AG67" i="15"/>
  <c r="AL67" i="15" s="1"/>
  <c r="AG91" i="15"/>
  <c r="AL91" i="15" s="1"/>
  <c r="AG16" i="15"/>
  <c r="AL16" i="15" s="1"/>
  <c r="AG82" i="15"/>
  <c r="AL82" i="15" s="1"/>
  <c r="AG78" i="15"/>
  <c r="AL78" i="15" s="1"/>
  <c r="AG2" i="15"/>
  <c r="AG79" i="15"/>
  <c r="AL79" i="15" s="1"/>
  <c r="AG10" i="15"/>
  <c r="AL10" i="15" s="1"/>
  <c r="AG3" i="15"/>
  <c r="AL3" i="15" s="1"/>
  <c r="AG96" i="15"/>
  <c r="AL96" i="15" s="1"/>
  <c r="AG100" i="15"/>
  <c r="AL100" i="15" s="1"/>
  <c r="AG8" i="15"/>
  <c r="AL8" i="15" s="1"/>
  <c r="AG14" i="15"/>
  <c r="AL14" i="15" s="1"/>
  <c r="AG60" i="15"/>
  <c r="AL60" i="15" s="1"/>
  <c r="AG102" i="15"/>
  <c r="AL102" i="15" s="1"/>
  <c r="AG28" i="15"/>
  <c r="AL28" i="15" s="1"/>
  <c r="AG81" i="15"/>
  <c r="AL81" i="15" s="1"/>
  <c r="AG71" i="15"/>
  <c r="AL71" i="15" s="1"/>
  <c r="AG20" i="15"/>
  <c r="AL20" i="15" s="1"/>
  <c r="AG94" i="15"/>
  <c r="AL94" i="15" s="1"/>
  <c r="AG15" i="15"/>
  <c r="AL15" i="15" s="1"/>
  <c r="AG51" i="15"/>
  <c r="AL51" i="15" s="1"/>
  <c r="AG36" i="15"/>
  <c r="AL36" i="15" s="1"/>
  <c r="Z7" i="14"/>
  <c r="AD7" i="14" s="1"/>
  <c r="Z66" i="14"/>
  <c r="AD66" i="14" s="1"/>
  <c r="Z42" i="14"/>
  <c r="AD42" i="14" s="1"/>
  <c r="Z60" i="14"/>
  <c r="AD60" i="14" s="1"/>
  <c r="Z55" i="14"/>
  <c r="AD55" i="14" s="1"/>
  <c r="Z47" i="14"/>
  <c r="AD47" i="14" s="1"/>
  <c r="Z77" i="14"/>
  <c r="AD77" i="14" s="1"/>
  <c r="Z36" i="14"/>
  <c r="AD36" i="14" s="1"/>
  <c r="Z71" i="14"/>
  <c r="AD71" i="14" s="1"/>
  <c r="Z51" i="14"/>
  <c r="AD51" i="14" s="1"/>
  <c r="Z20" i="14"/>
  <c r="AD20" i="14" s="1"/>
  <c r="Z68" i="14"/>
  <c r="AD68" i="14" s="1"/>
  <c r="Z17" i="14"/>
  <c r="AD17" i="14" s="1"/>
  <c r="Z69" i="14"/>
  <c r="AD69" i="14" s="1"/>
  <c r="Z49" i="14"/>
  <c r="AD49" i="14" s="1"/>
  <c r="Z43" i="14"/>
  <c r="AD43" i="14" s="1"/>
  <c r="Z70" i="14"/>
  <c r="AD70" i="14" s="1"/>
  <c r="Z12" i="14"/>
  <c r="AD12" i="14" s="1"/>
  <c r="Z23" i="14"/>
  <c r="AD23" i="14" s="1"/>
  <c r="Z56" i="14"/>
  <c r="AD56" i="14" s="1"/>
  <c r="Z24" i="14"/>
  <c r="AD24" i="14" s="1"/>
  <c r="Z5" i="14"/>
  <c r="AD5" i="14" s="1"/>
  <c r="Z29" i="14"/>
  <c r="AD29" i="14" s="1"/>
  <c r="Z67" i="14"/>
  <c r="AD67" i="14" s="1"/>
  <c r="Z38" i="14"/>
  <c r="AD38" i="14" s="1"/>
  <c r="Z39" i="14"/>
  <c r="AD39" i="14" s="1"/>
  <c r="Z22" i="14"/>
  <c r="AD22" i="14" s="1"/>
  <c r="Z52" i="14"/>
  <c r="AD52" i="14" s="1"/>
  <c r="Z40" i="14"/>
  <c r="AD40" i="14" s="1"/>
  <c r="Z62" i="14"/>
  <c r="AD62" i="14" s="1"/>
  <c r="Z21" i="14"/>
  <c r="AD21" i="14" s="1"/>
  <c r="Z61" i="14"/>
  <c r="AD61" i="14" s="1"/>
  <c r="Z16" i="14"/>
  <c r="AD16" i="14" s="1"/>
  <c r="Z59" i="14"/>
  <c r="AD59" i="14" s="1"/>
  <c r="Z33" i="14"/>
  <c r="AD33" i="14" s="1"/>
  <c r="Z57" i="14"/>
  <c r="AD57" i="14" s="1"/>
  <c r="Z75" i="14"/>
  <c r="AD75" i="14" s="1"/>
  <c r="Z35" i="14"/>
  <c r="AD35" i="14" s="1"/>
  <c r="Z8" i="14"/>
  <c r="AD8" i="14" s="1"/>
  <c r="Z54" i="14"/>
  <c r="AD54" i="14" s="1"/>
  <c r="Z31" i="14"/>
  <c r="AD31" i="14" s="1"/>
  <c r="Z10" i="14"/>
  <c r="AD10" i="14" s="1"/>
  <c r="Z37" i="14"/>
  <c r="AD37" i="14" s="1"/>
  <c r="Z25" i="14"/>
  <c r="AD25" i="14" s="1"/>
  <c r="Z4" i="14"/>
  <c r="AD4" i="14" s="1"/>
  <c r="Z45" i="14"/>
  <c r="AD45" i="14" s="1"/>
  <c r="Z72" i="14"/>
  <c r="AD72" i="14" s="1"/>
  <c r="Z64" i="14"/>
  <c r="AD64" i="14" s="1"/>
  <c r="Z15" i="14"/>
  <c r="AD15" i="14" s="1"/>
  <c r="Z74" i="14"/>
  <c r="AD74" i="14" s="1"/>
  <c r="Z26" i="14"/>
  <c r="AD26" i="14" s="1"/>
  <c r="Z48" i="14"/>
  <c r="AD48" i="14" s="1"/>
  <c r="Z27" i="14"/>
  <c r="AD27" i="14" s="1"/>
  <c r="Z30" i="14"/>
  <c r="AD30" i="14" s="1"/>
  <c r="Z9" i="14"/>
  <c r="AD9" i="14" s="1"/>
  <c r="Z13" i="14"/>
  <c r="AD13" i="14" s="1"/>
  <c r="Z58" i="14"/>
  <c r="AD58" i="14" s="1"/>
  <c r="Z53" i="14"/>
  <c r="AD53" i="14" s="1"/>
  <c r="Z50" i="14"/>
  <c r="AD50" i="14" s="1"/>
  <c r="Z11" i="14"/>
  <c r="AD11" i="14" s="1"/>
  <c r="Z2" i="14"/>
  <c r="Z76" i="14"/>
  <c r="AD76" i="14" s="1"/>
  <c r="Z18" i="14"/>
  <c r="AD18" i="14" s="1"/>
  <c r="Z34" i="14"/>
  <c r="AD34" i="14" s="1"/>
  <c r="Z14" i="14"/>
  <c r="AD14" i="14" s="1"/>
  <c r="Z41" i="14"/>
  <c r="AD41" i="14" s="1"/>
  <c r="Z73" i="14"/>
  <c r="AD73" i="14" s="1"/>
  <c r="Z6" i="14"/>
  <c r="AD6" i="14" s="1"/>
  <c r="Z44" i="14"/>
  <c r="AD44" i="14" s="1"/>
  <c r="Z3" i="14"/>
  <c r="AD3" i="14" s="1"/>
  <c r="Z65" i="14"/>
  <c r="AD65" i="14" s="1"/>
  <c r="Z28" i="14"/>
  <c r="AD28" i="14" s="1"/>
  <c r="Z46" i="14"/>
  <c r="AD46" i="14" s="1"/>
  <c r="Z32" i="14"/>
  <c r="AD32" i="14" s="1"/>
  <c r="Z19" i="14"/>
  <c r="AD19" i="14" s="1"/>
  <c r="Z63" i="14"/>
  <c r="AD63" i="14" s="1"/>
  <c r="AA5" i="18"/>
  <c r="AD5" i="18"/>
  <c r="AE5" i="18"/>
  <c r="AB5" i="18"/>
  <c r="AC5" i="18"/>
  <c r="AB41" i="18"/>
  <c r="AA41" i="18"/>
  <c r="AE41" i="18"/>
  <c r="AC41" i="18"/>
  <c r="AD41" i="18"/>
  <c r="AA27" i="18"/>
  <c r="AD27" i="18"/>
  <c r="AB27" i="18"/>
  <c r="AC27" i="18"/>
  <c r="AE27" i="18"/>
  <c r="AC36" i="18"/>
  <c r="AE36" i="18"/>
  <c r="AB36" i="18"/>
  <c r="AA36" i="18"/>
  <c r="AD36" i="18"/>
  <c r="AE44" i="18"/>
  <c r="AC44" i="18"/>
  <c r="AD44" i="18"/>
  <c r="AB44" i="18"/>
  <c r="AA44" i="18"/>
  <c r="AD34" i="18"/>
  <c r="AC34" i="18"/>
  <c r="AB34" i="18"/>
  <c r="AA34" i="18"/>
  <c r="AE34" i="18"/>
  <c r="AE19" i="18"/>
  <c r="AD19" i="18"/>
  <c r="AB19" i="18"/>
  <c r="AC19" i="18"/>
  <c r="AA19" i="18"/>
  <c r="AE42" i="18"/>
  <c r="AD42" i="18"/>
  <c r="AB42" i="18"/>
  <c r="AA42" i="18"/>
  <c r="AC42" i="18"/>
  <c r="AC25" i="18"/>
  <c r="AD25" i="18"/>
  <c r="AA25" i="18"/>
  <c r="AB25" i="18"/>
  <c r="AE25" i="18"/>
  <c r="AD51" i="18"/>
  <c r="AB51" i="18"/>
  <c r="AE51" i="18"/>
  <c r="AA51" i="18"/>
  <c r="AC51" i="18"/>
  <c r="AD29" i="18"/>
  <c r="AC29" i="18"/>
  <c r="AB29" i="18"/>
  <c r="AA29" i="18"/>
  <c r="AE29" i="18"/>
  <c r="AA9" i="18"/>
  <c r="AB9" i="18"/>
  <c r="AD9" i="18"/>
  <c r="AC9" i="18"/>
  <c r="AE9" i="18"/>
  <c r="AB52" i="18"/>
  <c r="AC52" i="18"/>
  <c r="AD52" i="18"/>
  <c r="AE52" i="18"/>
  <c r="AA52" i="18"/>
  <c r="AE53" i="18"/>
  <c r="AA53" i="18"/>
  <c r="AD53" i="18"/>
  <c r="AC53" i="18"/>
  <c r="AB53" i="18"/>
  <c r="AC49" i="18"/>
  <c r="AD49" i="18"/>
  <c r="AE49" i="18"/>
  <c r="AA49" i="18"/>
  <c r="AB49" i="18"/>
  <c r="AB4" i="18"/>
  <c r="AE4" i="18"/>
  <c r="AC4" i="18"/>
  <c r="AA4" i="18"/>
  <c r="AD4" i="18"/>
  <c r="AC6" i="18"/>
  <c r="AB6" i="18"/>
  <c r="AE6" i="18"/>
  <c r="AA6" i="18"/>
  <c r="AD6" i="18"/>
  <c r="AB31" i="18"/>
  <c r="AD31" i="18"/>
  <c r="AC31" i="18"/>
  <c r="AA31" i="18"/>
  <c r="AE31" i="18"/>
  <c r="AB33" i="18"/>
  <c r="AE33" i="18"/>
  <c r="AD33" i="18"/>
  <c r="AA33" i="18"/>
  <c r="AC33" i="18"/>
  <c r="AA22" i="18"/>
  <c r="AB22" i="18"/>
  <c r="AC22" i="18"/>
  <c r="AE22" i="18"/>
  <c r="AD22" i="18"/>
  <c r="AE8" i="18"/>
  <c r="AB8" i="18"/>
  <c r="AC8" i="18"/>
  <c r="AA8" i="18"/>
  <c r="AD8" i="18"/>
  <c r="AD15" i="18"/>
  <c r="AC15" i="18"/>
  <c r="AA15" i="18"/>
  <c r="AB15" i="18"/>
  <c r="AE15" i="18"/>
  <c r="AB28" i="18"/>
  <c r="AE28" i="18"/>
  <c r="AC28" i="18"/>
  <c r="AA28" i="18"/>
  <c r="AD28" i="18"/>
  <c r="AA32" i="18"/>
  <c r="AB32" i="18"/>
  <c r="AE32" i="18"/>
  <c r="AC32" i="18"/>
  <c r="AD32" i="18"/>
  <c r="AA35" i="18"/>
  <c r="AE35" i="18"/>
  <c r="AD35" i="18"/>
  <c r="AB35" i="18"/>
  <c r="AC35" i="18"/>
  <c r="AC24" i="18"/>
  <c r="AA24" i="18"/>
  <c r="AB24" i="18"/>
  <c r="AE24" i="18"/>
  <c r="AD24" i="18"/>
  <c r="AC21" i="18"/>
  <c r="AD21" i="18"/>
  <c r="AB21" i="18"/>
  <c r="AA21" i="18"/>
  <c r="AE21" i="18"/>
  <c r="AB26" i="18"/>
  <c r="AD26" i="18"/>
  <c r="AC26" i="18"/>
  <c r="AA26" i="18"/>
  <c r="AE26" i="18"/>
  <c r="AD30" i="18"/>
  <c r="AC30" i="18"/>
  <c r="AB30" i="18"/>
  <c r="AA30" i="18"/>
  <c r="AE30" i="18"/>
  <c r="AC13" i="18"/>
  <c r="AA13" i="18"/>
  <c r="AE13" i="18"/>
  <c r="AD13" i="18"/>
  <c r="AB13" i="18"/>
  <c r="AC11" i="18"/>
  <c r="AB11" i="18"/>
  <c r="AD11" i="18"/>
  <c r="AA11" i="18"/>
  <c r="AE11" i="18"/>
  <c r="AB20" i="18"/>
  <c r="AE20" i="18"/>
  <c r="AC20" i="18"/>
  <c r="AD20" i="18"/>
  <c r="AA20" i="18"/>
  <c r="AB10" i="18"/>
  <c r="AE10" i="18"/>
  <c r="AD10" i="18"/>
  <c r="AA10" i="18"/>
  <c r="AC10" i="18"/>
  <c r="AB46" i="18"/>
  <c r="AD46" i="18"/>
  <c r="AA46" i="18"/>
  <c r="AE46" i="18"/>
  <c r="AC46" i="18"/>
  <c r="AE39" i="18"/>
  <c r="AB39" i="18"/>
  <c r="AD39" i="18"/>
  <c r="AC39" i="18"/>
  <c r="AA39" i="18"/>
  <c r="AA38" i="18"/>
  <c r="AC38" i="18"/>
  <c r="AE38" i="18"/>
  <c r="AD38" i="18"/>
  <c r="AB38" i="18"/>
  <c r="AD7" i="18"/>
  <c r="AB7" i="18"/>
  <c r="AC7" i="18"/>
  <c r="AE7" i="18"/>
  <c r="AA7" i="18"/>
  <c r="D75" i="1"/>
  <c r="AA3" i="18"/>
  <c r="AB3" i="18"/>
  <c r="AE3" i="18"/>
  <c r="AC3" i="18"/>
  <c r="AD3" i="18"/>
  <c r="AE40" i="18"/>
  <c r="AD40" i="18"/>
  <c r="AC40" i="18"/>
  <c r="AB40" i="18"/>
  <c r="AA40" i="18"/>
  <c r="AB37" i="18"/>
  <c r="AD37" i="18"/>
  <c r="AE37" i="18"/>
  <c r="AA37" i="18"/>
  <c r="AC37" i="18"/>
  <c r="AC50" i="18"/>
  <c r="AA50" i="18"/>
  <c r="AE50" i="18"/>
  <c r="AD50" i="18"/>
  <c r="AB50" i="18"/>
  <c r="AC48" i="18"/>
  <c r="AB48" i="18"/>
  <c r="AA48" i="18"/>
  <c r="AE48" i="18"/>
  <c r="AD48" i="18"/>
  <c r="AD12" i="18"/>
  <c r="AB12" i="18"/>
  <c r="AA12" i="18"/>
  <c r="AC12" i="18"/>
  <c r="AE12" i="18"/>
  <c r="AE47" i="18"/>
  <c r="AC47" i="18"/>
  <c r="AD47" i="18"/>
  <c r="AB47" i="18"/>
  <c r="AA47" i="18"/>
  <c r="AD43" i="18"/>
  <c r="AE43" i="18"/>
  <c r="AC43" i="18"/>
  <c r="AA43" i="18"/>
  <c r="AB43" i="18"/>
  <c r="AD45" i="18"/>
  <c r="AE45" i="18"/>
  <c r="AA45" i="18"/>
  <c r="AC45" i="18"/>
  <c r="AB45" i="18"/>
  <c r="AA14" i="18"/>
  <c r="AB14" i="18"/>
  <c r="AC14" i="18"/>
  <c r="AD14" i="18"/>
  <c r="AE14" i="18"/>
  <c r="AA23" i="18"/>
  <c r="AE23" i="18"/>
  <c r="AB23" i="18"/>
  <c r="AD23" i="18"/>
  <c r="AC23" i="18"/>
  <c r="AC18" i="18"/>
  <c r="AE18" i="18"/>
  <c r="AB18" i="18"/>
  <c r="AD18" i="18"/>
  <c r="AA18" i="18"/>
  <c r="AD17" i="18"/>
  <c r="AB17" i="18"/>
  <c r="AC17" i="18"/>
  <c r="AA17" i="18"/>
  <c r="AE17" i="18"/>
  <c r="AC16" i="18"/>
  <c r="AA16" i="18"/>
  <c r="AD16" i="18"/>
  <c r="AE16" i="18"/>
  <c r="AB16" i="18"/>
  <c r="D76" i="1"/>
  <c r="C84" i="1"/>
  <c r="D84" i="1" s="1"/>
  <c r="AF2" i="18" a="1"/>
  <c r="D85" i="1"/>
  <c r="C83" i="1"/>
  <c r="D83" i="1" s="1"/>
  <c r="D91" i="1"/>
  <c r="AF2" i="18" l="1"/>
  <c r="AF47" i="18"/>
  <c r="AJ47" i="18" s="1"/>
  <c r="AF36" i="18"/>
  <c r="AJ36" i="18" s="1"/>
  <c r="AF28" i="18"/>
  <c r="AJ28" i="18" s="1"/>
  <c r="AF41" i="18"/>
  <c r="AJ41" i="18" s="1"/>
  <c r="AF5" i="18"/>
  <c r="AJ5" i="18" s="1"/>
  <c r="AF30" i="18"/>
  <c r="AJ30" i="18" s="1"/>
  <c r="AF42" i="18"/>
  <c r="AJ42" i="18" s="1"/>
  <c r="AF15" i="18"/>
  <c r="AJ15" i="18" s="1"/>
  <c r="AF11" i="18"/>
  <c r="AJ11" i="18" s="1"/>
  <c r="AF18" i="18"/>
  <c r="AJ18" i="18" s="1"/>
  <c r="AF52" i="18"/>
  <c r="AJ52" i="18" s="1"/>
  <c r="AF40" i="18"/>
  <c r="AJ40" i="18" s="1"/>
  <c r="AF8" i="18"/>
  <c r="AJ8" i="18" s="1"/>
  <c r="AF29" i="18"/>
  <c r="AJ29" i="18" s="1"/>
  <c r="AF34" i="18"/>
  <c r="AJ34" i="18" s="1"/>
  <c r="AF26" i="18"/>
  <c r="AJ26" i="18" s="1"/>
  <c r="AF6" i="18"/>
  <c r="AJ6" i="18" s="1"/>
  <c r="AF53" i="18"/>
  <c r="AJ53" i="18" s="1"/>
  <c r="AF13" i="18"/>
  <c r="AJ13" i="18" s="1"/>
  <c r="AF23" i="18"/>
  <c r="AJ23" i="18" s="1"/>
  <c r="AF48" i="18"/>
  <c r="AJ48" i="18" s="1"/>
  <c r="AF39" i="18"/>
  <c r="AJ39" i="18" s="1"/>
  <c r="AF25" i="18"/>
  <c r="AJ25" i="18" s="1"/>
  <c r="AF33" i="18"/>
  <c r="AJ33" i="18" s="1"/>
  <c r="AF38" i="18"/>
  <c r="AJ38" i="18" s="1"/>
  <c r="AF21" i="18"/>
  <c r="AJ21" i="18" s="1"/>
  <c r="AF3" i="18"/>
  <c r="AJ3" i="18" s="1"/>
  <c r="AF14" i="18"/>
  <c r="AJ14" i="18" s="1"/>
  <c r="AF17" i="18"/>
  <c r="AJ17" i="18" s="1"/>
  <c r="AF10" i="18"/>
  <c r="AJ10" i="18" s="1"/>
  <c r="AF46" i="18"/>
  <c r="AJ46" i="18" s="1"/>
  <c r="AF37" i="18"/>
  <c r="AJ37" i="18" s="1"/>
  <c r="AF22" i="18"/>
  <c r="AJ22" i="18" s="1"/>
  <c r="AF9" i="18"/>
  <c r="AJ9" i="18" s="1"/>
  <c r="AF44" i="18"/>
  <c r="AJ44" i="18" s="1"/>
  <c r="AF24" i="18"/>
  <c r="AJ24" i="18" s="1"/>
  <c r="AF49" i="18"/>
  <c r="AJ49" i="18" s="1"/>
  <c r="AF51" i="18"/>
  <c r="AJ51" i="18" s="1"/>
  <c r="AF20" i="18"/>
  <c r="AJ20" i="18" s="1"/>
  <c r="AF27" i="18"/>
  <c r="AJ27" i="18" s="1"/>
  <c r="AF35" i="18"/>
  <c r="AJ35" i="18" s="1"/>
  <c r="AF7" i="18"/>
  <c r="AJ7" i="18" s="1"/>
  <c r="AF12" i="18"/>
  <c r="AJ12" i="18" s="1"/>
  <c r="AF4" i="18"/>
  <c r="AJ4" i="18" s="1"/>
  <c r="AF31" i="18"/>
  <c r="AJ31" i="18" s="1"/>
  <c r="AF19" i="18"/>
  <c r="AJ19" i="18" s="1"/>
  <c r="AF45" i="18"/>
  <c r="AJ45" i="18" s="1"/>
  <c r="AF50" i="18"/>
  <c r="AJ50" i="18" s="1"/>
  <c r="AF32" i="18"/>
  <c r="AJ32" i="18" s="1"/>
  <c r="AF16" i="18"/>
  <c r="AJ16" i="18" s="1"/>
  <c r="AF43" i="18"/>
  <c r="AJ43" i="18" s="1"/>
  <c r="X16" i="18"/>
  <c r="X17" i="18"/>
  <c r="X18" i="18"/>
  <c r="X23" i="18"/>
  <c r="X14" i="18"/>
  <c r="X45" i="18"/>
  <c r="X43" i="18"/>
  <c r="X47" i="18"/>
  <c r="X12" i="18"/>
  <c r="X48" i="18"/>
  <c r="X50" i="18"/>
  <c r="X37" i="18"/>
  <c r="X40" i="18"/>
  <c r="X3" i="18"/>
  <c r="X7" i="18"/>
  <c r="X38" i="18"/>
  <c r="X39" i="18"/>
  <c r="X46" i="18"/>
  <c r="X10" i="18"/>
  <c r="X20" i="18"/>
  <c r="X11" i="18"/>
  <c r="X13" i="18"/>
  <c r="X30" i="18"/>
  <c r="X26" i="18"/>
  <c r="X21" i="18"/>
  <c r="X24" i="18"/>
  <c r="X35" i="18"/>
  <c r="X32" i="18"/>
  <c r="X28" i="18"/>
  <c r="X15" i="18"/>
  <c r="X8" i="18"/>
  <c r="X22" i="18"/>
  <c r="X33" i="18"/>
  <c r="X31" i="18"/>
  <c r="X6" i="18"/>
  <c r="X4" i="18"/>
  <c r="X49" i="18"/>
  <c r="X53" i="18"/>
  <c r="X52" i="18"/>
  <c r="X9" i="18"/>
  <c r="X29" i="18"/>
  <c r="X51" i="18"/>
  <c r="X25" i="18"/>
  <c r="X42" i="18"/>
  <c r="X19" i="18"/>
  <c r="X34" i="18"/>
  <c r="X44" i="18"/>
  <c r="X36" i="18"/>
  <c r="X27" i="18"/>
  <c r="X41" i="18"/>
  <c r="X5" i="18"/>
  <c r="I75" i="1" l="1"/>
  <c r="H84" i="1"/>
  <c r="I84" i="1"/>
  <c r="I76" i="1"/>
  <c r="I85" i="1"/>
  <c r="H83" i="1"/>
  <c r="I83" i="1"/>
  <c r="AG2" i="18" a="1"/>
  <c r="AG45" i="18"/>
  <c r="AL45" i="18"/>
  <c r="AG52" i="18"/>
  <c r="AL52" i="18"/>
  <c r="AG30" i="18"/>
  <c r="AL30" i="18"/>
  <c r="AG4" i="18"/>
  <c r="AL4" i="18"/>
  <c r="AG20" i="18"/>
  <c r="AL20" i="18"/>
  <c r="AG49" i="18"/>
  <c r="AL49" i="18"/>
  <c r="AG26" i="18"/>
  <c r="AL26" i="18"/>
  <c r="AG41" i="18"/>
  <c r="AL41" i="18"/>
  <c r="AG37" i="18"/>
  <c r="AL37" i="18"/>
  <c r="AG35" i="18"/>
  <c r="AL35" i="18"/>
  <c r="AG44" i="18"/>
  <c r="AL44" i="18"/>
  <c r="AG50" i="18"/>
  <c r="AL50" i="18"/>
  <c r="AG28" i="18"/>
  <c r="AL28" i="18"/>
  <c r="AG25" i="18"/>
  <c r="AL25" i="18"/>
  <c r="AG46" i="18"/>
  <c r="AL46" i="18"/>
  <c r="AG40" i="18"/>
  <c r="AL40" i="18"/>
  <c r="AG24" i="18"/>
  <c r="AL24" i="18"/>
  <c r="AG42" i="18"/>
  <c r="AL42" i="18"/>
  <c r="AG3" i="18"/>
  <c r="AL3" i="18"/>
  <c r="AG32" i="18"/>
  <c r="AL32" i="18"/>
  <c r="AG43" i="18"/>
  <c r="AL43" i="18"/>
  <c r="AG21" i="18"/>
  <c r="AL21" i="18"/>
  <c r="AG34" i="18"/>
  <c r="AL34" i="18"/>
  <c r="AG16" i="18"/>
  <c r="AL16" i="18"/>
  <c r="AG6" i="18"/>
  <c r="AL6" i="18"/>
  <c r="AG48" i="18"/>
  <c r="AL48" i="18"/>
  <c r="AG9" i="18"/>
  <c r="AL9" i="18"/>
  <c r="AG31" i="18"/>
  <c r="AL31" i="18"/>
  <c r="AG53" i="18"/>
  <c r="AL53" i="18"/>
  <c r="AG29" i="18"/>
  <c r="AL29" i="18"/>
  <c r="AG13" i="18"/>
  <c r="AL13" i="18"/>
  <c r="AG33" i="18"/>
  <c r="AL33" i="18"/>
  <c r="AG27" i="18"/>
  <c r="AL27" i="18"/>
  <c r="AG2" i="18"/>
  <c r="AG8" i="18"/>
  <c r="AL8" i="18"/>
  <c r="AG7" i="18"/>
  <c r="AL7" i="18"/>
  <c r="AG36" i="18"/>
  <c r="AL36" i="18" s="1"/>
  <c r="AG11" i="18"/>
  <c r="AL11" i="18"/>
  <c r="AG47" i="18"/>
  <c r="AL47" i="18"/>
  <c r="AG39" i="18"/>
  <c r="AL39" i="18"/>
  <c r="AG22" i="18"/>
  <c r="AL22" i="18" s="1"/>
  <c r="AG10" i="18"/>
  <c r="AL10" i="18"/>
  <c r="AG15" i="18"/>
  <c r="AL15" i="18"/>
  <c r="AG14" i="18"/>
  <c r="AL14" i="18"/>
  <c r="AG12" i="18"/>
  <c r="AL12" i="18" s="1"/>
  <c r="AG17" i="18"/>
  <c r="AL17" i="18"/>
  <c r="AG23" i="18"/>
  <c r="AL23" i="18"/>
  <c r="AG18" i="18"/>
  <c r="AL18" i="18"/>
  <c r="AG5" i="18"/>
  <c r="AL5" i="18" s="1"/>
  <c r="AG38" i="18"/>
  <c r="AL38" i="18"/>
  <c r="AG51" i="18"/>
  <c r="AL51" i="18"/>
  <c r="AG19" i="18"/>
  <c r="AL19" i="18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6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6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6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6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7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7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8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8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I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<sst xmlns="http://schemas.openxmlformats.org/spreadsheetml/2006/main" count="2402" uniqueCount="165">
  <si>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</si>
  <si>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</si>
  <si>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</si>
  <si>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</si>
  <si>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</si>
  <si>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</si>
  <si>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</si>
  <si>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</si>
  <si>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</si>
  <si>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</si>
  <si>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</si>
  <si>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</si>
  <si>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</si>
  <si>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</si>
  <si>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</si>
  <si>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</si>
  <si>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</si>
  <si>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</si>
  <si>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</si>
  <si>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</si>
  <si>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</si>
  <si>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</si>
  <si>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</si>
  <si>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</si>
  <si>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</si>
  <si>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</si>
  <si>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</si>
  <si>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</si>
  <si>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</si>
  <si>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</si>
  <si>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</si>
  <si>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</si>
  <si>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</si>
  <si>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</si>
  <si>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</si>
  <si>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</si>
  <si>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</si>
  <si>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</si>
  <si>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</si>
  <si>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</si>
  <si>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</si>
  <si>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</si>
  <si>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</si>
  <si>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</si>
  <si>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</si>
  <si>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</si>
  <si>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</si>
  <si>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</si>
  <si>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</si>
  <si>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</si>
  <si>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</si>
  <si>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</si>
  <si>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</si>
  <si>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</si>
  <si>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</si>
  <si>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</si>
  <si>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</si>
  <si>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</si>
  <si>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</si>
  <si>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</si>
  <si>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</si>
  <si>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</si>
  <si>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</si>
  <si>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</si>
  <si>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</si>
  <si>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</si>
  <si>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</si>
  <si>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</si>
  <si>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</si>
  <si>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</si>
  <si>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</si>
  <si>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</si>
  <si>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</si>
  <si>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</si>
  <si>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1D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</si>
  <si>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</si>
  <si>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</si>
  <si>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</si>
  <si>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</si>
  <si>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</si>
  <si>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</si>
  <si>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</si>
  <si>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</si>
  <si>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</si>
  <si>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</si>
  <si>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</si>
  <si>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</si>
  <si>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</si>
  <si>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</si>
  <si>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</si>
  <si>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</si>
  <si>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</si>
  <si>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</si>
  <si>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</si>
  <si>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</si>
  <si>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</si>
  <si>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</si>
  <si>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</si>
  <si>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</si>
  <si>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</si>
  <si>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</si>
  <si>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</si>
  <si>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</si>
  <si>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</si>
  <si>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</si>
  <si>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</si>
  <si>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</si>
  <si>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</si>
  <si>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</si>
  <si>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</si>
  <si>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</si>
  <si>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</si>
  <si>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</si>
  <si>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</si>
  <si>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</si>
  <si>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</si>
  <si>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</si>
  <si>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X1S</t>
  </si>
  <si>
    <t>BasSw</t>
  </si>
  <si>
    <t>Extrapolation</t>
  </si>
  <si>
    <t>EUR</t>
  </si>
  <si>
    <t>ibor</t>
  </si>
  <si>
    <t>TARGET</t>
  </si>
  <si>
    <t>Eonia</t>
  </si>
  <si>
    <t>EON</t>
  </si>
  <si>
    <t>30/360 (Bond Basis)</t>
  </si>
  <si>
    <t>AB</t>
  </si>
  <si>
    <t>3E</t>
  </si>
  <si>
    <t>qlRateHelperSelection(ohFilter(RateHelpers,IncludeFlag),ohFilter(Priority,IncludeFlag),$AG$3,$AG$4,$AG$5,$AG$6,ohFilter(MinDistance,IncludeFlag),Trigger)</t>
  </si>
  <si>
    <t>6E</t>
  </si>
  <si>
    <t>1E</t>
  </si>
  <si>
    <t>12E</t>
  </si>
  <si>
    <t>qlRateHelperSelection(ohFilter(RateHelpers,IncludeFlag),ohFilter(Priority,IncludeFlag),$AF$3,$AF$4,$AF$5,$AF$6,ohFilter(MinDistance,IncludeFlag),Trigger)</t>
  </si>
  <si>
    <t>LCHQuoteSuffix</t>
  </si>
  <si>
    <t>LCHlinear</t>
  </si>
  <si>
    <t>LCHcubic</t>
  </si>
  <si>
    <t>Discounting1</t>
  </si>
  <si>
    <t>Discounting2</t>
  </si>
  <si>
    <t>_LCHQuote</t>
  </si>
  <si>
    <t>_linearLCH</t>
  </si>
  <si>
    <t>_cubicLCH</t>
  </si>
  <si>
    <t>DiscountingSTD</t>
  </si>
  <si>
    <t>ZeroYield</t>
  </si>
  <si>
    <t>Linear</t>
  </si>
  <si>
    <t>LogCubicNaturalSpline</t>
  </si>
  <si>
    <t>LCHQuoteOverwrite</t>
  </si>
  <si>
    <t>spread</t>
  </si>
  <si>
    <t>Start Date</t>
  </si>
  <si>
    <t>Custom Date</t>
  </si>
  <si>
    <t>qlSwapRateHelper2(,H34,2,B34,Calendar,D34,E34,F34,G34,I34,C34,Discounting1,PillarDate,,Permanent,Trigger,ObjectOverwrite)</t>
  </si>
  <si>
    <t>Rate Helpers 1</t>
  </si>
  <si>
    <t>Rate Helpers 2</t>
  </si>
  <si>
    <t>Rate Helper 2</t>
  </si>
  <si>
    <t>qlSwapRateHelper2(,$H19,2,$B19,Calendar,$D19,$E19,$F19,$G19,$I19,$C19,Discounting1,PillarDate,,Permanent,Trigger,ObjectOverwrite)</t>
  </si>
  <si>
    <t>Cubic</t>
  </si>
  <si>
    <t>linear</t>
  </si>
  <si>
    <t>cubic</t>
  </si>
  <si>
    <t>2D</t>
  </si>
  <si>
    <t>SW</t>
  </si>
  <si>
    <t>EOD</t>
  </si>
  <si>
    <t>Business Day Convention</t>
  </si>
  <si>
    <t>MainCycl</t>
  </si>
  <si>
    <t>Conv</t>
  </si>
  <si>
    <t>SettlementDays</t>
  </si>
  <si>
    <t>RollingDays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</si>
</sst>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(* #,##0.00_);_(* \(#,##0.00\);_(* &quot;-&quot;??_);_(@_)"/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15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0" fontId="3" fillId="7" borderId="6" xfId="1" applyFont="1" applyFill="1" applyBorder="1"/>
    <xf numFmtId="0" fontId="3" fillId="2" borderId="10" xfId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6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4" fontId="5" fillId="8" borderId="0" xfId="0" applyNumberFormat="1" applyFont="1" applyFill="1"/>
    <xf numFmtId="11" fontId="5" fillId="8" borderId="0" xfId="0" applyNumberFormat="1" applyFont="1" applyFill="1"/>
    <xf numFmtId="167" fontId="3" fillId="2" borderId="6" xfId="1" applyNumberFormat="1" applyFont="1" applyFill="1" applyBorder="1" applyAlignment="1">
      <alignment horizontal="center"/>
    </xf>
    <xf numFmtId="167" fontId="3" fillId="2" borderId="8" xfId="1" applyNumberFormat="1" applyFont="1" applyFill="1" applyBorder="1" applyAlignment="1">
      <alignment horizontal="center"/>
    </xf>
    <xf numFmtId="172" fontId="3" fillId="2" borderId="1" xfId="1" applyNumberFormat="1" applyFont="1" applyFill="1" applyBorder="1" applyAlignment="1">
      <alignment horizontal="center"/>
    </xf>
    <xf numFmtId="172" fontId="3" fillId="9" borderId="10" xfId="1" applyNumberFormat="1" applyFont="1" applyFill="1" applyBorder="1" applyAlignment="1">
      <alignment horizontal="center"/>
    </xf>
    <xf numFmtId="0" fontId="3" fillId="3" borderId="13" xfId="1" applyFont="1" applyFill="1" applyBorder="1"/>
    <xf numFmtId="172" fontId="3" fillId="3" borderId="13" xfId="1" applyNumberFormat="1" applyFont="1" applyFill="1" applyBorder="1" applyAlignment="1">
      <alignment horizontal="center"/>
    </xf>
    <xf numFmtId="166" fontId="3" fillId="3" borderId="2" xfId="1" applyNumberFormat="1" applyFont="1" applyFill="1" applyBorder="1" applyAlignment="1">
      <alignment horizontal="right"/>
    </xf>
    <xf numFmtId="178" fontId="5" fillId="8" borderId="0" xfId="0" applyNumberFormat="1" applyFont="1" applyFill="1"/>
    <xf numFmtId="165" fontId="5" fillId="8" borderId="0" xfId="0" applyNumberFormat="1" applyFont="1" applyFill="1"/>
    <xf numFmtId="165" fontId="5" fillId="0" borderId="8" xfId="0" applyNumberFormat="1" applyFont="1" applyBorder="1"/>
    <xf numFmtId="11" fontId="5" fillId="8" borderId="10" xfId="0" applyNumberFormat="1" applyFont="1" applyFill="1" applyBorder="1"/>
    <xf numFmtId="11" fontId="5" fillId="8" borderId="0" xfId="0" applyNumberFormat="1" applyFont="1" applyFill="1" applyBorder="1"/>
    <xf numFmtId="171" fontId="5" fillId="8" borderId="0" xfId="0" applyNumberFormat="1" applyFont="1" applyFill="1" applyBorder="1"/>
    <xf numFmtId="165" fontId="3" fillId="2" borderId="8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left"/>
    </xf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164" fontId="3" fillId="3" borderId="16" xfId="1" applyNumberFormat="1" applyFont="1" applyFill="1" applyBorder="1" applyAlignment="1">
      <alignment horizontal="center" vertical="center"/>
    </xf>
    <xf numFmtId="164" fontId="3" fillId="3" borderId="17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43" fontId="5" fillId="0" borderId="8" xfId="0" applyNumberFormat="1" applyFont="1" applyBorder="1" applyAlignment="1">
      <alignment horizontal="center"/>
    </xf>
    <xf numFmtId="43" fontId="5" fillId="0" borderId="6" xfId="0" applyNumberFormat="1" applyFont="1" applyBorder="1" applyAlignment="1">
      <alignment horizontal="center"/>
    </xf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_L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1M"/>
      <sheetName val="3M"/>
      <sheetName val="6M"/>
      <sheetName val="1Y"/>
      <sheetName val="ON"/>
      <sheetName val="STD"/>
      <sheetName val="REP00078"/>
      <sheetName val="REP00099"/>
      <sheetName val="REP00079"/>
      <sheetName val="REP00100"/>
      <sheetName val="REP001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AUD_AONIA_EOD</v>
          </cell>
          <cell r="C2">
            <v>42255</v>
          </cell>
          <cell r="E2">
            <v>1.99994520748366E-2</v>
          </cell>
        </row>
        <row r="3">
          <cell r="A3" t="str">
            <v>AUD_AONIA_EOD</v>
          </cell>
          <cell r="C3">
            <v>42261</v>
          </cell>
          <cell r="E3">
            <v>1.9996987041769401E-2</v>
          </cell>
        </row>
        <row r="4">
          <cell r="A4" t="str">
            <v>AUD_AONIA_EOD</v>
          </cell>
          <cell r="C4">
            <v>42268</v>
          </cell>
          <cell r="E4">
            <v>1.9983237742382299E-2</v>
          </cell>
        </row>
        <row r="5">
          <cell r="A5" t="str">
            <v>AUD_AONIA_EOD</v>
          </cell>
          <cell r="C5">
            <v>42275</v>
          </cell>
          <cell r="E5">
            <v>1.9967676205082701E-2</v>
          </cell>
        </row>
        <row r="6">
          <cell r="A6" t="str">
            <v>AUD_AONIA_EOD</v>
          </cell>
          <cell r="C6">
            <v>42284</v>
          </cell>
          <cell r="E6">
            <v>1.99476685142689E-2</v>
          </cell>
        </row>
        <row r="7">
          <cell r="A7" t="str">
            <v>AUD_AONIA_EOD</v>
          </cell>
          <cell r="C7">
            <v>42314</v>
          </cell>
          <cell r="E7">
            <v>1.9695320021978401E-2</v>
          </cell>
        </row>
        <row r="8">
          <cell r="A8" t="str">
            <v>AUD_AONIA_EOD</v>
          </cell>
          <cell r="C8">
            <v>42345</v>
          </cell>
          <cell r="E8">
            <v>1.9340189770133499E-2</v>
          </cell>
        </row>
        <row r="9">
          <cell r="A9" t="str">
            <v>AUD_AONIA_EOD</v>
          </cell>
          <cell r="C9">
            <v>42375</v>
          </cell>
          <cell r="E9">
            <v>1.9049111897868301E-2</v>
          </cell>
        </row>
        <row r="10">
          <cell r="A10" t="str">
            <v>AUD_AONIA_EOD</v>
          </cell>
          <cell r="C10">
            <v>42406</v>
          </cell>
          <cell r="E10">
            <v>1.88627441736662E-2</v>
          </cell>
        </row>
        <row r="11">
          <cell r="A11" t="str">
            <v>AUD_AONIA_EOD</v>
          </cell>
          <cell r="C11">
            <v>42436</v>
          </cell>
          <cell r="E11">
            <v>1.8633627391151601E-2</v>
          </cell>
        </row>
        <row r="12">
          <cell r="A12" t="str">
            <v>AUD_AONIA_EOD</v>
          </cell>
          <cell r="C12">
            <v>42466</v>
          </cell>
          <cell r="E12">
            <v>1.8439493451606E-2</v>
          </cell>
        </row>
        <row r="13">
          <cell r="A13" t="str">
            <v>AUD_AONIA_EOD</v>
          </cell>
          <cell r="C13">
            <v>42497</v>
          </cell>
          <cell r="E13">
            <v>1.8240278061374099E-2</v>
          </cell>
        </row>
        <row r="14">
          <cell r="A14" t="str">
            <v>AUD_AONIA_EOD</v>
          </cell>
          <cell r="C14">
            <v>42527</v>
          </cell>
          <cell r="E14">
            <v>1.8047488974052998E-2</v>
          </cell>
        </row>
        <row r="15">
          <cell r="A15" t="str">
            <v>AUD_AONIA_EOD</v>
          </cell>
          <cell r="C15">
            <v>42558</v>
          </cell>
          <cell r="E15">
            <v>1.7929684629194899E-2</v>
          </cell>
        </row>
        <row r="16">
          <cell r="A16" t="str">
            <v>AUD_AONIA_EOD</v>
          </cell>
          <cell r="C16">
            <v>42588</v>
          </cell>
          <cell r="E16">
            <v>1.78211138646743E-2</v>
          </cell>
        </row>
        <row r="17">
          <cell r="A17" t="str">
            <v>AUD_AONIA_EOD</v>
          </cell>
          <cell r="C17">
            <v>42619</v>
          </cell>
          <cell r="E17">
            <v>1.7708924074669601E-2</v>
          </cell>
        </row>
        <row r="18">
          <cell r="A18" t="str">
            <v>AUD_AONIA_EOD</v>
          </cell>
          <cell r="C18">
            <v>42710</v>
          </cell>
          <cell r="E18">
            <v>1.7599295183670299E-2</v>
          </cell>
        </row>
        <row r="19">
          <cell r="A19" t="str">
            <v>AUD_AONIA_EOD</v>
          </cell>
          <cell r="C19">
            <v>42801</v>
          </cell>
          <cell r="E19">
            <v>1.7494603425885401E-2</v>
          </cell>
        </row>
        <row r="20">
          <cell r="A20" t="str">
            <v>AUD_AONIA_EOD</v>
          </cell>
          <cell r="C20">
            <v>42892</v>
          </cell>
          <cell r="E20">
            <v>1.75689635989182E-2</v>
          </cell>
        </row>
        <row r="21">
          <cell r="A21" t="str">
            <v>AUD_AONIA_EOD</v>
          </cell>
          <cell r="C21">
            <v>42984</v>
          </cell>
          <cell r="E21">
            <v>1.7646152244870299E-2</v>
          </cell>
        </row>
        <row r="22">
          <cell r="A22" t="str">
            <v>AUD_AONIA_EOD</v>
          </cell>
          <cell r="C22">
            <v>43349</v>
          </cell>
          <cell r="E22">
            <v>1.85974064806179E-2</v>
          </cell>
        </row>
        <row r="23">
          <cell r="A23" t="str">
            <v>AUD_AONIA_EOD</v>
          </cell>
          <cell r="C23">
            <v>43714</v>
          </cell>
          <cell r="E23">
            <v>1.9919163144106099E-2</v>
          </cell>
        </row>
        <row r="24">
          <cell r="A24" t="str">
            <v>AUD_AONIA_EOD</v>
          </cell>
          <cell r="C24">
            <v>44079</v>
          </cell>
          <cell r="E24">
            <v>2.1397383247444599E-2</v>
          </cell>
        </row>
        <row r="25">
          <cell r="A25" t="str">
            <v>AUD_BBSW_EOD</v>
          </cell>
          <cell r="C25">
            <v>42255</v>
          </cell>
          <cell r="E25">
            <v>1.99994520748366E-2</v>
          </cell>
        </row>
        <row r="26">
          <cell r="A26" t="str">
            <v>AUD_BBSW_EOD</v>
          </cell>
          <cell r="C26">
            <v>42261</v>
          </cell>
          <cell r="E26">
            <v>2.0109914710073399E-2</v>
          </cell>
        </row>
        <row r="27">
          <cell r="A27" t="str">
            <v>AUD_BBSW_EOD</v>
          </cell>
          <cell r="C27">
            <v>42284</v>
          </cell>
          <cell r="E27">
            <v>2.05326646201087E-2</v>
          </cell>
        </row>
        <row r="28">
          <cell r="A28" t="str">
            <v>AUD_BBSW_EOD</v>
          </cell>
          <cell r="C28">
            <v>42314</v>
          </cell>
          <cell r="E28">
            <v>2.0968289530062901E-2</v>
          </cell>
        </row>
        <row r="29">
          <cell r="A29" t="str">
            <v>AUD_BBSW_EOD</v>
          </cell>
          <cell r="C29">
            <v>42345</v>
          </cell>
          <cell r="E29">
            <v>2.1492315253959501E-2</v>
          </cell>
        </row>
        <row r="30">
          <cell r="A30" t="str">
            <v>AUD_BBSW_EOD</v>
          </cell>
          <cell r="C30">
            <v>42436</v>
          </cell>
          <cell r="E30">
            <v>2.0692231297567702E-2</v>
          </cell>
        </row>
        <row r="31">
          <cell r="A31" t="str">
            <v>AUD_BBSW_EOD</v>
          </cell>
          <cell r="C31">
            <v>42527</v>
          </cell>
          <cell r="E31">
            <v>2.0079627048666102E-2</v>
          </cell>
        </row>
        <row r="32">
          <cell r="A32" t="str">
            <v>AUD_BBSW_EOD</v>
          </cell>
          <cell r="C32">
            <v>42619</v>
          </cell>
          <cell r="E32">
            <v>1.9682321179641402E-2</v>
          </cell>
        </row>
        <row r="33">
          <cell r="A33" t="str">
            <v>AUD_BBSW_EOD</v>
          </cell>
          <cell r="C33">
            <v>42801</v>
          </cell>
          <cell r="E33">
            <v>1.9386630273071599E-2</v>
          </cell>
        </row>
        <row r="34">
          <cell r="A34" t="str">
            <v>AUD_BBSW_EOD</v>
          </cell>
          <cell r="C34">
            <v>42984</v>
          </cell>
          <cell r="E34">
            <v>1.9648249551009599E-2</v>
          </cell>
        </row>
        <row r="35">
          <cell r="A35" t="str">
            <v>AUD_BBSW_EOD</v>
          </cell>
          <cell r="C35">
            <v>43349</v>
          </cell>
          <cell r="E35">
            <v>2.06475477257318E-2</v>
          </cell>
        </row>
        <row r="36">
          <cell r="A36" t="str">
            <v>AUD_BBSW_EOD</v>
          </cell>
          <cell r="C36">
            <v>43714</v>
          </cell>
          <cell r="E36">
            <v>2.3011573053024301E-2</v>
          </cell>
        </row>
        <row r="37">
          <cell r="A37" t="str">
            <v>AUD_BBSW_EOD</v>
          </cell>
          <cell r="C37">
            <v>44079</v>
          </cell>
          <cell r="E37">
            <v>2.4495645876075701E-2</v>
          </cell>
        </row>
        <row r="38">
          <cell r="A38" t="str">
            <v>AUD_BBSW_EOD</v>
          </cell>
          <cell r="C38">
            <v>44444</v>
          </cell>
          <cell r="E38">
            <v>2.5922498962780399E-2</v>
          </cell>
        </row>
        <row r="39">
          <cell r="A39" t="str">
            <v>AUD_BBSW_EOD</v>
          </cell>
          <cell r="C39">
            <v>44809</v>
          </cell>
          <cell r="E39">
            <v>2.73490771390488E-2</v>
          </cell>
        </row>
        <row r="40">
          <cell r="A40" t="str">
            <v>AUD_BBSW_EOD</v>
          </cell>
          <cell r="C40">
            <v>45174</v>
          </cell>
          <cell r="E40">
            <v>2.8384268608871398E-2</v>
          </cell>
        </row>
        <row r="41">
          <cell r="A41" t="str">
            <v>AUD_BBSW_EOD</v>
          </cell>
          <cell r="C41">
            <v>45539</v>
          </cell>
          <cell r="E41">
            <v>2.94173036781076E-2</v>
          </cell>
        </row>
        <row r="42">
          <cell r="A42" t="str">
            <v>AUD_BBSW_EOD</v>
          </cell>
          <cell r="C42">
            <v>45904</v>
          </cell>
          <cell r="E42">
            <v>3.0450338747343798E-2</v>
          </cell>
        </row>
        <row r="43">
          <cell r="A43" t="str">
            <v>AUD_BBSW_EOD</v>
          </cell>
          <cell r="C43">
            <v>46634</v>
          </cell>
          <cell r="E43">
            <v>3.1934445265358803E-2</v>
          </cell>
        </row>
        <row r="44">
          <cell r="A44" t="str">
            <v>AUD_BBSW_EOD</v>
          </cell>
          <cell r="C44">
            <v>47729</v>
          </cell>
          <cell r="E44">
            <v>3.3499049023074899E-2</v>
          </cell>
        </row>
        <row r="45">
          <cell r="A45" t="str">
            <v>AUD_BBSW_EOD</v>
          </cell>
          <cell r="C45">
            <v>49554</v>
          </cell>
          <cell r="E45">
            <v>3.5064342938825703E-2</v>
          </cell>
        </row>
        <row r="46">
          <cell r="A46" t="str">
            <v>AUD_BBSW_EOD</v>
          </cell>
          <cell r="C46">
            <v>51379</v>
          </cell>
          <cell r="E46">
            <v>3.5241492163213303E-2</v>
          </cell>
        </row>
        <row r="47">
          <cell r="A47" t="str">
            <v>AUD_BBSW_EOD</v>
          </cell>
          <cell r="C47">
            <v>53204</v>
          </cell>
          <cell r="E47">
            <v>3.4798138230050797E-2</v>
          </cell>
        </row>
        <row r="48">
          <cell r="A48" t="str">
            <v>CAD_CDOR_EOD</v>
          </cell>
          <cell r="C48">
            <v>42255</v>
          </cell>
          <cell r="E48">
            <v>5.1249640200343996E-3</v>
          </cell>
        </row>
        <row r="49">
          <cell r="A49" t="str">
            <v>CAD_CDOR_EOD</v>
          </cell>
          <cell r="C49">
            <v>42261</v>
          </cell>
          <cell r="E49">
            <v>5.4932986482957797E-3</v>
          </cell>
        </row>
        <row r="50">
          <cell r="A50" t="str">
            <v>CAD_CDOR_EOD</v>
          </cell>
          <cell r="C50">
            <v>42284</v>
          </cell>
          <cell r="E50">
            <v>7.3399992574425203E-3</v>
          </cell>
        </row>
        <row r="51">
          <cell r="A51" t="str">
            <v>CAD_CDOR_EOD</v>
          </cell>
          <cell r="C51">
            <v>42314</v>
          </cell>
          <cell r="E51">
            <v>7.4363712728592003E-3</v>
          </cell>
        </row>
        <row r="52">
          <cell r="A52" t="str">
            <v>CAD_CDOR_EOD</v>
          </cell>
          <cell r="C52">
            <v>42345</v>
          </cell>
          <cell r="E52">
            <v>7.4567141077701397E-3</v>
          </cell>
        </row>
        <row r="53">
          <cell r="A53" t="str">
            <v>CAD_CDOR_EOD</v>
          </cell>
          <cell r="C53">
            <v>42436</v>
          </cell>
          <cell r="E53">
            <v>7.0117041025923596E-3</v>
          </cell>
        </row>
        <row r="54">
          <cell r="A54" t="str">
            <v>CAD_CDOR_EOD</v>
          </cell>
          <cell r="C54">
            <v>42527</v>
          </cell>
          <cell r="E54">
            <v>6.7853085123710201E-3</v>
          </cell>
        </row>
        <row r="55">
          <cell r="A55" t="str">
            <v>CAD_CDOR_EOD</v>
          </cell>
          <cell r="C55">
            <v>42619</v>
          </cell>
          <cell r="E55">
            <v>6.7046525180572396E-3</v>
          </cell>
        </row>
        <row r="56">
          <cell r="A56" t="str">
            <v>CAD_CDOR_EOD</v>
          </cell>
          <cell r="C56">
            <v>42801</v>
          </cell>
          <cell r="E56">
            <v>6.8921497879117499E-3</v>
          </cell>
        </row>
        <row r="57">
          <cell r="A57" t="str">
            <v>CAD_CDOR_EOD</v>
          </cell>
          <cell r="C57">
            <v>42984</v>
          </cell>
          <cell r="E57">
            <v>7.2645240751656103E-3</v>
          </cell>
        </row>
        <row r="58">
          <cell r="A58" t="str">
            <v>CAD_CDOR_EOD</v>
          </cell>
          <cell r="C58">
            <v>43349</v>
          </cell>
          <cell r="E58">
            <v>8.4085253408545599E-3</v>
          </cell>
        </row>
        <row r="59">
          <cell r="A59" t="str">
            <v>CAD_CDOR_EOD</v>
          </cell>
          <cell r="C59">
            <v>43714</v>
          </cell>
          <cell r="E59">
            <v>9.7348205773168297E-3</v>
          </cell>
        </row>
        <row r="60">
          <cell r="A60" t="str">
            <v>CAD_CDOR_EOD</v>
          </cell>
          <cell r="C60">
            <v>44079</v>
          </cell>
          <cell r="E60">
            <v>1.12348121694942E-2</v>
          </cell>
        </row>
        <row r="61">
          <cell r="A61" t="str">
            <v>CAD_CDOR_EOD</v>
          </cell>
          <cell r="C61">
            <v>44444</v>
          </cell>
          <cell r="E61">
            <v>1.2951174300702599E-2</v>
          </cell>
        </row>
        <row r="62">
          <cell r="A62" t="str">
            <v>CAD_CDOR_EOD</v>
          </cell>
          <cell r="C62">
            <v>44809</v>
          </cell>
          <cell r="E62">
            <v>1.4750200792950099E-2</v>
          </cell>
        </row>
        <row r="63">
          <cell r="A63" t="str">
            <v>CAD_CDOR_EOD</v>
          </cell>
          <cell r="C63">
            <v>45174</v>
          </cell>
          <cell r="E63">
            <v>1.6416739294735701E-2</v>
          </cell>
        </row>
        <row r="64">
          <cell r="A64" t="str">
            <v>CAD_CDOR_EOD</v>
          </cell>
          <cell r="C64">
            <v>45539</v>
          </cell>
          <cell r="E64">
            <v>1.7922092558436801E-2</v>
          </cell>
        </row>
        <row r="65">
          <cell r="A65" t="str">
            <v>CAD_CDOR_EOD</v>
          </cell>
          <cell r="C65">
            <v>45904</v>
          </cell>
          <cell r="E65">
            <v>1.9261774106294E-2</v>
          </cell>
        </row>
        <row r="66">
          <cell r="A66" t="str">
            <v>CAD_CDOR_EOD</v>
          </cell>
          <cell r="C66">
            <v>46634</v>
          </cell>
          <cell r="E66">
            <v>2.1677929003118299E-2</v>
          </cell>
        </row>
        <row r="67">
          <cell r="A67" t="str">
            <v>CAD_CDOR_EOD</v>
          </cell>
          <cell r="C67">
            <v>47729</v>
          </cell>
          <cell r="E67">
            <v>2.42221920633795E-2</v>
          </cell>
        </row>
        <row r="68">
          <cell r="A68" t="str">
            <v>CAD_CDOR_EOD</v>
          </cell>
          <cell r="C68">
            <v>49554</v>
          </cell>
          <cell r="E68">
            <v>2.5864610756782001E-2</v>
          </cell>
        </row>
        <row r="69">
          <cell r="A69" t="str">
            <v>CAD_CDOR_EOD</v>
          </cell>
          <cell r="C69">
            <v>51379</v>
          </cell>
          <cell r="E69">
            <v>2.6147278932070001E-2</v>
          </cell>
        </row>
        <row r="70">
          <cell r="A70" t="str">
            <v>CAD_CDOR_EOD</v>
          </cell>
          <cell r="C70">
            <v>53204</v>
          </cell>
          <cell r="E70">
            <v>2.6258483662487599E-2</v>
          </cell>
        </row>
        <row r="71">
          <cell r="A71" t="str">
            <v>CAD_CORRA_EOD</v>
          </cell>
          <cell r="C71">
            <v>42255</v>
          </cell>
          <cell r="E71">
            <v>5.1249640200343996E-3</v>
          </cell>
        </row>
        <row r="72">
          <cell r="A72" t="str">
            <v>CAD_CORRA_EOD</v>
          </cell>
          <cell r="C72">
            <v>42261</v>
          </cell>
          <cell r="E72">
            <v>4.8435787503068404E-3</v>
          </cell>
        </row>
        <row r="73">
          <cell r="A73" t="str">
            <v>CAD_CORRA_EOD</v>
          </cell>
          <cell r="C73">
            <v>42268</v>
          </cell>
          <cell r="E73">
            <v>4.7697598921783201E-3</v>
          </cell>
        </row>
        <row r="74">
          <cell r="A74" t="str">
            <v>CAD_CORRA_EOD</v>
          </cell>
          <cell r="C74">
            <v>42275</v>
          </cell>
          <cell r="E74">
            <v>4.7383516934754004E-3</v>
          </cell>
        </row>
        <row r="75">
          <cell r="A75" t="str">
            <v>CAD_CORRA_EOD</v>
          </cell>
          <cell r="C75">
            <v>42284</v>
          </cell>
          <cell r="E75">
            <v>4.69796972371451E-3</v>
          </cell>
        </row>
        <row r="76">
          <cell r="A76" t="str">
            <v>CAD_CORRA_EOD</v>
          </cell>
          <cell r="C76">
            <v>42314</v>
          </cell>
          <cell r="E76">
            <v>4.5850078943831503E-3</v>
          </cell>
        </row>
        <row r="77">
          <cell r="A77" t="str">
            <v>CAD_CORRA_EOD</v>
          </cell>
          <cell r="C77">
            <v>42345</v>
          </cell>
          <cell r="E77">
            <v>4.46535607362941E-3</v>
          </cell>
        </row>
        <row r="78">
          <cell r="A78" t="str">
            <v>CAD_CORRA_EOD</v>
          </cell>
          <cell r="C78">
            <v>42375</v>
          </cell>
          <cell r="E78">
            <v>4.32309355718705E-3</v>
          </cell>
        </row>
        <row r="79">
          <cell r="A79" t="str">
            <v>CAD_CORRA_EOD</v>
          </cell>
          <cell r="C79">
            <v>42406</v>
          </cell>
          <cell r="E79">
            <v>4.2141512643419201E-3</v>
          </cell>
        </row>
        <row r="80">
          <cell r="A80" t="str">
            <v>CAD_CORRA_EOD</v>
          </cell>
          <cell r="C80">
            <v>42436</v>
          </cell>
          <cell r="E80">
            <v>4.1242542968955697E-3</v>
          </cell>
        </row>
        <row r="81">
          <cell r="A81" t="str">
            <v>CAD_CORRA_EOD</v>
          </cell>
          <cell r="C81">
            <v>42466</v>
          </cell>
          <cell r="E81">
            <v>4.0548491434395399E-3</v>
          </cell>
        </row>
        <row r="82">
          <cell r="A82" t="str">
            <v>CAD_CORRA_EOD</v>
          </cell>
          <cell r="C82">
            <v>42497</v>
          </cell>
          <cell r="E82">
            <v>3.9932730189088002E-3</v>
          </cell>
        </row>
        <row r="83">
          <cell r="A83" t="str">
            <v>CAD_CORRA_EOD</v>
          </cell>
          <cell r="C83">
            <v>42527</v>
          </cell>
          <cell r="E83">
            <v>3.9511753382890603E-3</v>
          </cell>
        </row>
        <row r="84">
          <cell r="A84" t="str">
            <v>CAD_CORRA_EOD</v>
          </cell>
          <cell r="C84">
            <v>42558</v>
          </cell>
          <cell r="E84">
            <v>3.9282187093610203E-3</v>
          </cell>
        </row>
        <row r="85">
          <cell r="A85" t="str">
            <v>CAD_CORRA_EOD</v>
          </cell>
          <cell r="C85">
            <v>42588</v>
          </cell>
          <cell r="E85">
            <v>3.9126318872958702E-3</v>
          </cell>
        </row>
        <row r="86">
          <cell r="A86" t="str">
            <v>CAD_CORRA_EOD</v>
          </cell>
          <cell r="C86">
            <v>42619</v>
          </cell>
          <cell r="E86">
            <v>3.9014217264245802E-3</v>
          </cell>
        </row>
        <row r="87">
          <cell r="A87" t="str">
            <v>CAD_CORRA_EOD</v>
          </cell>
          <cell r="C87">
            <v>42710</v>
          </cell>
          <cell r="E87">
            <v>4.0017883350285796E-3</v>
          </cell>
        </row>
        <row r="88">
          <cell r="A88" t="str">
            <v>CAD_CORRA_EOD</v>
          </cell>
          <cell r="C88">
            <v>42801</v>
          </cell>
          <cell r="E88">
            <v>4.1051284528051003E-3</v>
          </cell>
        </row>
        <row r="89">
          <cell r="A89" t="str">
            <v>CAD_CORRA_EOD</v>
          </cell>
          <cell r="C89">
            <v>42892</v>
          </cell>
          <cell r="E89">
            <v>4.3317956649471098E-3</v>
          </cell>
        </row>
        <row r="90">
          <cell r="A90" t="str">
            <v>CAD_CORRA_EOD</v>
          </cell>
          <cell r="C90">
            <v>42984</v>
          </cell>
          <cell r="E90">
            <v>4.5623390848759902E-3</v>
          </cell>
        </row>
        <row r="91">
          <cell r="A91" t="str">
            <v>CAD_CORRA_EOD</v>
          </cell>
          <cell r="C91">
            <v>43349</v>
          </cell>
          <cell r="E91">
            <v>5.7004710824891799E-3</v>
          </cell>
        </row>
        <row r="92">
          <cell r="A92" t="str">
            <v>CAD_CORRA_EOD</v>
          </cell>
          <cell r="C92">
            <v>43714</v>
          </cell>
          <cell r="E92">
            <v>6.9564994636492298E-3</v>
          </cell>
        </row>
        <row r="93">
          <cell r="A93" t="str">
            <v>CAD_CORRA_EOD</v>
          </cell>
          <cell r="C93">
            <v>44079</v>
          </cell>
          <cell r="E93">
            <v>8.4171506083230603E-3</v>
          </cell>
        </row>
        <row r="94">
          <cell r="A94" t="str">
            <v>CHF_LIBOR_EOD</v>
          </cell>
          <cell r="C94">
            <v>42255</v>
          </cell>
          <cell r="E94">
            <v>-7.9084190081932602E-3</v>
          </cell>
        </row>
        <row r="95">
          <cell r="A95" t="str">
            <v>CHF_LIBOR_EOD</v>
          </cell>
          <cell r="C95">
            <v>42261</v>
          </cell>
          <cell r="E95">
            <v>-8.0551778225259399E-3</v>
          </cell>
        </row>
        <row r="96">
          <cell r="A96" t="str">
            <v>CHF_LIBOR_EOD</v>
          </cell>
          <cell r="C96">
            <v>42284</v>
          </cell>
          <cell r="E96">
            <v>-8.0239408433164395E-3</v>
          </cell>
        </row>
        <row r="97">
          <cell r="A97" t="str">
            <v>CHF_LIBOR_EOD</v>
          </cell>
          <cell r="C97">
            <v>42314</v>
          </cell>
          <cell r="E97">
            <v>-7.7723331246416401E-3</v>
          </cell>
        </row>
        <row r="98">
          <cell r="A98" t="str">
            <v>CHF_LIBOR_EOD</v>
          </cell>
          <cell r="C98">
            <v>42345</v>
          </cell>
          <cell r="E98">
            <v>-7.4315270470047198E-3</v>
          </cell>
        </row>
        <row r="99">
          <cell r="A99" t="str">
            <v>CHF_LIBOR_EOD</v>
          </cell>
          <cell r="C99">
            <v>42436</v>
          </cell>
          <cell r="E99">
            <v>-7.5465688063436603E-3</v>
          </cell>
        </row>
        <row r="100">
          <cell r="A100" t="str">
            <v>CHF_LIBOR_EOD</v>
          </cell>
          <cell r="C100">
            <v>42527</v>
          </cell>
          <cell r="E100">
            <v>-7.6651024881540103E-3</v>
          </cell>
        </row>
        <row r="101">
          <cell r="A101" t="str">
            <v>CHF_LIBOR_EOD</v>
          </cell>
          <cell r="C101">
            <v>42619</v>
          </cell>
          <cell r="E101">
            <v>-7.7307034772326798E-3</v>
          </cell>
        </row>
        <row r="102">
          <cell r="A102" t="str">
            <v>CHF_LIBOR_EOD</v>
          </cell>
          <cell r="C102">
            <v>42801</v>
          </cell>
          <cell r="E102">
            <v>-7.4217463971320702E-3</v>
          </cell>
        </row>
        <row r="103">
          <cell r="A103" t="str">
            <v>CHF_LIBOR_EOD</v>
          </cell>
          <cell r="C103">
            <v>42984</v>
          </cell>
          <cell r="E103">
            <v>-6.6198023829451402E-3</v>
          </cell>
        </row>
        <row r="104">
          <cell r="A104" t="str">
            <v>CHF_LIBOR_EOD</v>
          </cell>
          <cell r="C104">
            <v>43349</v>
          </cell>
          <cell r="E104">
            <v>-5.8702763497423599E-3</v>
          </cell>
        </row>
        <row r="105">
          <cell r="A105" t="str">
            <v>CHF_LIBOR_EOD</v>
          </cell>
          <cell r="C105">
            <v>43714</v>
          </cell>
          <cell r="E105">
            <v>-4.8598598966803396E-3</v>
          </cell>
        </row>
        <row r="106">
          <cell r="A106" t="str">
            <v>CHF_LIBOR_EOD</v>
          </cell>
          <cell r="C106">
            <v>44079</v>
          </cell>
          <cell r="E106">
            <v>-3.62527715924177E-3</v>
          </cell>
        </row>
        <row r="107">
          <cell r="A107" t="str">
            <v>CHF_LIBOR_EOD</v>
          </cell>
          <cell r="C107">
            <v>44444</v>
          </cell>
          <cell r="E107">
            <v>-2.2068644527221798E-3</v>
          </cell>
        </row>
        <row r="108">
          <cell r="A108" t="str">
            <v>CHF_LIBOR_EOD</v>
          </cell>
          <cell r="C108">
            <v>44809</v>
          </cell>
          <cell r="E108">
            <v>-8.4358393380778995E-4</v>
          </cell>
        </row>
        <row r="109">
          <cell r="A109" t="str">
            <v>CHF_LIBOR_EOD</v>
          </cell>
          <cell r="C109">
            <v>45174</v>
          </cell>
          <cell r="E109">
            <v>3.4187812390111999E-4</v>
          </cell>
        </row>
        <row r="110">
          <cell r="A110" t="str">
            <v>CHF_LIBOR_EOD</v>
          </cell>
          <cell r="C110">
            <v>45539</v>
          </cell>
          <cell r="E110">
            <v>1.3397915751851E-3</v>
          </cell>
        </row>
        <row r="111">
          <cell r="A111" t="str">
            <v>CHF_LIBOR_EOD</v>
          </cell>
          <cell r="C111">
            <v>45904</v>
          </cell>
          <cell r="E111">
            <v>2.2132602891890701E-3</v>
          </cell>
        </row>
        <row r="112">
          <cell r="A112" t="str">
            <v>CHF_LIBOR_EOD</v>
          </cell>
          <cell r="C112">
            <v>46634</v>
          </cell>
          <cell r="E112">
            <v>3.6486199177108601E-3</v>
          </cell>
        </row>
        <row r="113">
          <cell r="A113" t="str">
            <v>CHF_LIBOR_EOD</v>
          </cell>
          <cell r="C113">
            <v>47729</v>
          </cell>
          <cell r="E113">
            <v>5.1662394890636797E-3</v>
          </cell>
        </row>
        <row r="114">
          <cell r="A114" t="str">
            <v>CHF_LIBOR_EOD</v>
          </cell>
          <cell r="C114">
            <v>49554</v>
          </cell>
          <cell r="E114">
            <v>6.6137642435623104E-3</v>
          </cell>
        </row>
        <row r="115">
          <cell r="A115" t="str">
            <v>CHF_LIBOR_EOD</v>
          </cell>
          <cell r="C115">
            <v>51379</v>
          </cell>
          <cell r="E115">
            <v>7.2912000254528198E-3</v>
          </cell>
        </row>
        <row r="116">
          <cell r="A116" t="str">
            <v>CHF_LIBOR_EOD</v>
          </cell>
          <cell r="C116">
            <v>53204</v>
          </cell>
          <cell r="E116">
            <v>7.4571311150018003E-3</v>
          </cell>
        </row>
        <row r="117">
          <cell r="A117" t="str">
            <v>CHF_TOIS_EOD</v>
          </cell>
          <cell r="C117">
            <v>42255</v>
          </cell>
          <cell r="E117">
            <v>-5.3736506672424902E-3</v>
          </cell>
        </row>
        <row r="118">
          <cell r="A118" t="str">
            <v>CHF_TOIS_EOD</v>
          </cell>
          <cell r="C118">
            <v>42261</v>
          </cell>
          <cell r="E118">
            <v>-5.38393373197285E-3</v>
          </cell>
        </row>
        <row r="119">
          <cell r="A119" t="str">
            <v>CHF_TOIS_EOD</v>
          </cell>
          <cell r="C119">
            <v>42268</v>
          </cell>
          <cell r="E119">
            <v>-5.3983300225961704E-3</v>
          </cell>
        </row>
        <row r="120">
          <cell r="A120" t="str">
            <v>CHF_TOIS_EOD</v>
          </cell>
          <cell r="C120">
            <v>42275</v>
          </cell>
          <cell r="E120">
            <v>-5.4127263132194899E-3</v>
          </cell>
        </row>
        <row r="121">
          <cell r="A121" t="str">
            <v>CHF_TOIS_EOD</v>
          </cell>
          <cell r="C121">
            <v>42284</v>
          </cell>
          <cell r="E121">
            <v>-5.4312358297351898E-3</v>
          </cell>
        </row>
        <row r="122">
          <cell r="A122" t="str">
            <v>CHF_TOIS_EOD</v>
          </cell>
          <cell r="C122">
            <v>42314</v>
          </cell>
          <cell r="E122">
            <v>-5.5163035773552601E-3</v>
          </cell>
        </row>
        <row r="123">
          <cell r="A123" t="str">
            <v>CHF_TOIS_EOD</v>
          </cell>
          <cell r="C123">
            <v>42345</v>
          </cell>
          <cell r="E123">
            <v>-5.5446186273365797E-3</v>
          </cell>
        </row>
        <row r="124">
          <cell r="A124" t="str">
            <v>CHF_TOIS_EOD</v>
          </cell>
          <cell r="C124">
            <v>42375</v>
          </cell>
          <cell r="E124">
            <v>-5.5734735042018303E-3</v>
          </cell>
        </row>
        <row r="125">
          <cell r="A125" t="str">
            <v>CHF_TOIS_EOD</v>
          </cell>
          <cell r="C125">
            <v>42406</v>
          </cell>
          <cell r="E125">
            <v>-5.6182497239938099E-3</v>
          </cell>
        </row>
        <row r="126">
          <cell r="A126" t="str">
            <v>CHF_TOIS_EOD</v>
          </cell>
          <cell r="C126">
            <v>42436</v>
          </cell>
          <cell r="E126">
            <v>-5.7146116795752603E-3</v>
          </cell>
        </row>
        <row r="127">
          <cell r="A127" t="str">
            <v>CHF_TOIS_EOD</v>
          </cell>
          <cell r="C127">
            <v>42466</v>
          </cell>
          <cell r="E127">
            <v>-5.7698307332705902E-3</v>
          </cell>
        </row>
        <row r="128">
          <cell r="A128" t="str">
            <v>CHF_TOIS_EOD</v>
          </cell>
          <cell r="C128">
            <v>42497</v>
          </cell>
          <cell r="E128">
            <v>-5.8081817710385203E-3</v>
          </cell>
        </row>
        <row r="129">
          <cell r="A129" t="str">
            <v>CHF_TOIS_EOD</v>
          </cell>
          <cell r="C129">
            <v>42527</v>
          </cell>
          <cell r="E129">
            <v>-5.8672891692115401E-3</v>
          </cell>
        </row>
        <row r="130">
          <cell r="A130" t="str">
            <v>CHF_TOIS_EOD</v>
          </cell>
          <cell r="C130">
            <v>42558</v>
          </cell>
          <cell r="E130">
            <v>-5.8451339667648901E-3</v>
          </cell>
        </row>
        <row r="131">
          <cell r="A131" t="str">
            <v>CHF_TOIS_EOD</v>
          </cell>
          <cell r="C131">
            <v>42588</v>
          </cell>
          <cell r="E131">
            <v>-5.8380041634726997E-3</v>
          </cell>
        </row>
        <row r="132">
          <cell r="A132" t="str">
            <v>CHF_TOIS_EOD</v>
          </cell>
          <cell r="C132">
            <v>42619</v>
          </cell>
          <cell r="E132">
            <v>-5.9582685214293702E-3</v>
          </cell>
        </row>
        <row r="133">
          <cell r="A133" t="str">
            <v>CHF_TOIS_EOD</v>
          </cell>
          <cell r="C133">
            <v>42710</v>
          </cell>
          <cell r="E133">
            <v>-5.9789345544732997E-3</v>
          </cell>
        </row>
        <row r="134">
          <cell r="A134" t="str">
            <v>CHF_TOIS_EOD</v>
          </cell>
          <cell r="C134">
            <v>42801</v>
          </cell>
          <cell r="E134">
            <v>-5.9742016832448896E-3</v>
          </cell>
        </row>
        <row r="135">
          <cell r="A135" t="str">
            <v>CHF_TOIS_EOD</v>
          </cell>
          <cell r="C135">
            <v>42892</v>
          </cell>
          <cell r="E135">
            <v>-5.9362333425637898E-3</v>
          </cell>
        </row>
        <row r="136">
          <cell r="A136" t="str">
            <v>CHF_TOIS_EOD</v>
          </cell>
          <cell r="C136">
            <v>42984</v>
          </cell>
          <cell r="E136">
            <v>-5.9468258450525299E-3</v>
          </cell>
        </row>
        <row r="137">
          <cell r="A137" t="str">
            <v>CHF_TOIS_EOD</v>
          </cell>
          <cell r="C137">
            <v>43349</v>
          </cell>
          <cell r="E137">
            <v>-5.4423491810390101E-3</v>
          </cell>
        </row>
        <row r="138">
          <cell r="A138" t="str">
            <v>CHF_TOIS_EOD</v>
          </cell>
          <cell r="C138">
            <v>43714</v>
          </cell>
          <cell r="E138">
            <v>-4.7392901322914202E-3</v>
          </cell>
        </row>
        <row r="139">
          <cell r="A139" t="str">
            <v>CHF_TOIS_EOD</v>
          </cell>
          <cell r="C139">
            <v>44079</v>
          </cell>
          <cell r="E139">
            <v>-4.0675206671123001E-3</v>
          </cell>
        </row>
        <row r="140">
          <cell r="A140" t="str">
            <v>CHF_TOIS_EOD</v>
          </cell>
          <cell r="C140">
            <v>44444</v>
          </cell>
          <cell r="E140">
            <v>-2.8729318636104501E-3</v>
          </cell>
        </row>
        <row r="141">
          <cell r="A141" t="str">
            <v>CHF_TOIS_EOD</v>
          </cell>
          <cell r="C141">
            <v>44809</v>
          </cell>
          <cell r="E141">
            <v>-1.7536061953528301E-3</v>
          </cell>
        </row>
        <row r="142">
          <cell r="A142" t="str">
            <v>CHF_TOIS_EOD</v>
          </cell>
          <cell r="C142">
            <v>45174</v>
          </cell>
          <cell r="E142">
            <v>-7.3723388100889996E-4</v>
          </cell>
        </row>
        <row r="143">
          <cell r="A143" t="str">
            <v>CHF_TOIS_EOD</v>
          </cell>
          <cell r="C143">
            <v>45539</v>
          </cell>
          <cell r="E143">
            <v>2.6532169368248E-4</v>
          </cell>
        </row>
        <row r="144">
          <cell r="A144" t="str">
            <v>CHF_TOIS_EOD</v>
          </cell>
          <cell r="C144">
            <v>45904</v>
          </cell>
          <cell r="E144">
            <v>9.8978319403253997E-4</v>
          </cell>
        </row>
        <row r="145">
          <cell r="A145" t="str">
            <v>CHF_TOIS_EOD</v>
          </cell>
          <cell r="C145">
            <v>46634</v>
          </cell>
          <cell r="E145">
            <v>2.5179462831924401E-3</v>
          </cell>
        </row>
        <row r="146">
          <cell r="A146" t="str">
            <v>CHF_TOIS_EOD</v>
          </cell>
          <cell r="C146">
            <v>47729</v>
          </cell>
          <cell r="E146">
            <v>4.1163084246037896E-3</v>
          </cell>
        </row>
        <row r="147">
          <cell r="A147" t="str">
            <v>CHF_TOIS_EOD</v>
          </cell>
          <cell r="C147">
            <v>49554</v>
          </cell>
          <cell r="E147">
            <v>5.7330412943445196E-3</v>
          </cell>
        </row>
        <row r="148">
          <cell r="A148" t="str">
            <v>CHF_TOIS_EOD</v>
          </cell>
          <cell r="C148">
            <v>51379</v>
          </cell>
          <cell r="E148">
            <v>6.3636413125826201E-3</v>
          </cell>
        </row>
        <row r="149">
          <cell r="A149" t="str">
            <v>CHF_TOIS_EOD</v>
          </cell>
          <cell r="C149">
            <v>53204</v>
          </cell>
          <cell r="E149">
            <v>6.5575802922201599E-3</v>
          </cell>
        </row>
        <row r="150">
          <cell r="A150" t="str">
            <v>CZK_PRIBOR_EOD</v>
          </cell>
          <cell r="C150">
            <v>42255</v>
          </cell>
          <cell r="E150">
            <v>1.4194416844029499E-3</v>
          </cell>
        </row>
        <row r="151">
          <cell r="A151" t="str">
            <v>CZK_PRIBOR_EOD</v>
          </cell>
          <cell r="C151">
            <v>42261</v>
          </cell>
          <cell r="E151">
            <v>1.47575805693709E-3</v>
          </cell>
        </row>
        <row r="152">
          <cell r="A152" t="str">
            <v>CZK_PRIBOR_EOD</v>
          </cell>
          <cell r="C152">
            <v>42284</v>
          </cell>
          <cell r="E152">
            <v>2.0336472947088502E-3</v>
          </cell>
        </row>
        <row r="153">
          <cell r="A153" t="str">
            <v>CZK_PRIBOR_EOD</v>
          </cell>
          <cell r="C153">
            <v>42314</v>
          </cell>
          <cell r="E153">
            <v>2.3700835040231299E-3</v>
          </cell>
        </row>
        <row r="154">
          <cell r="A154" t="str">
            <v>CZK_PRIBOR_EOD</v>
          </cell>
          <cell r="C154">
            <v>42345</v>
          </cell>
          <cell r="E154">
            <v>3.0578431108939401E-3</v>
          </cell>
        </row>
        <row r="155">
          <cell r="A155" t="str">
            <v>CZK_PRIBOR_EOD</v>
          </cell>
          <cell r="C155">
            <v>42436</v>
          </cell>
          <cell r="E155">
            <v>2.8286604889910102E-3</v>
          </cell>
        </row>
        <row r="156">
          <cell r="A156" t="str">
            <v>CZK_PRIBOR_EOD</v>
          </cell>
          <cell r="C156">
            <v>42527</v>
          </cell>
          <cell r="E156">
            <v>2.5496947788281798E-3</v>
          </cell>
        </row>
        <row r="157">
          <cell r="A157" t="str">
            <v>CZK_PRIBOR_EOD</v>
          </cell>
          <cell r="C157">
            <v>42619</v>
          </cell>
          <cell r="E157">
            <v>2.3612294781339901E-3</v>
          </cell>
        </row>
        <row r="158">
          <cell r="A158" t="str">
            <v>CZK_PRIBOR_EOD</v>
          </cell>
          <cell r="C158">
            <v>42801</v>
          </cell>
          <cell r="E158">
            <v>2.5075422113427499E-3</v>
          </cell>
        </row>
        <row r="159">
          <cell r="A159" t="str">
            <v>CZK_PRIBOR_EOD</v>
          </cell>
          <cell r="C159">
            <v>42984</v>
          </cell>
          <cell r="E159">
            <v>2.6633023852721599E-3</v>
          </cell>
        </row>
        <row r="160">
          <cell r="A160" t="str">
            <v>CZK_PRIBOR_EOD</v>
          </cell>
          <cell r="C160">
            <v>43349</v>
          </cell>
          <cell r="E160">
            <v>3.3319622674304701E-3</v>
          </cell>
        </row>
        <row r="161">
          <cell r="A161" t="str">
            <v>CZK_PRIBOR_EOD</v>
          </cell>
          <cell r="C161">
            <v>43714</v>
          </cell>
          <cell r="E161">
            <v>4.4100926396967903E-3</v>
          </cell>
        </row>
        <row r="162">
          <cell r="A162" t="str">
            <v>CZK_PRIBOR_EOD</v>
          </cell>
          <cell r="C162">
            <v>44079</v>
          </cell>
          <cell r="E162">
            <v>5.4463426411296102E-3</v>
          </cell>
        </row>
        <row r="163">
          <cell r="A163" t="str">
            <v>CZK_PRIBOR_EOD</v>
          </cell>
          <cell r="C163">
            <v>44444</v>
          </cell>
          <cell r="E163">
            <v>6.5913851666558696E-3</v>
          </cell>
        </row>
        <row r="164">
          <cell r="A164" t="str">
            <v>CZK_PRIBOR_EOD</v>
          </cell>
          <cell r="C164">
            <v>44809</v>
          </cell>
          <cell r="E164">
            <v>7.6480772374925201E-3</v>
          </cell>
        </row>
        <row r="165">
          <cell r="A165" t="str">
            <v>CZK_PRIBOR_EOD</v>
          </cell>
          <cell r="C165">
            <v>45174</v>
          </cell>
          <cell r="E165">
            <v>8.6920747000366894E-3</v>
          </cell>
        </row>
        <row r="166">
          <cell r="A166" t="str">
            <v>CZK_PRIBOR_EOD</v>
          </cell>
          <cell r="C166">
            <v>45539</v>
          </cell>
          <cell r="E166">
            <v>9.7135152571851905E-3</v>
          </cell>
        </row>
        <row r="167">
          <cell r="A167" t="str">
            <v>CZK_PRIBOR_EOD</v>
          </cell>
          <cell r="C167">
            <v>45904</v>
          </cell>
          <cell r="E167">
            <v>1.0674585192758899E-2</v>
          </cell>
        </row>
        <row r="168">
          <cell r="A168" t="str">
            <v>CZK_PRIBOR_EOD</v>
          </cell>
          <cell r="C168">
            <v>46634</v>
          </cell>
          <cell r="E168">
            <v>1.22103423180938E-2</v>
          </cell>
        </row>
        <row r="169">
          <cell r="A169" t="str">
            <v>CZK_PRIBOR_EOD</v>
          </cell>
          <cell r="C169">
            <v>47729</v>
          </cell>
          <cell r="E169">
            <v>1.39644708109156E-2</v>
          </cell>
        </row>
        <row r="170">
          <cell r="A170" t="str">
            <v>CZK_PRIBOR_EOD</v>
          </cell>
          <cell r="C170">
            <v>49554</v>
          </cell>
          <cell r="E170">
            <v>1.56549504238318E-2</v>
          </cell>
        </row>
        <row r="171">
          <cell r="A171" t="str">
            <v>CZK_PRIBOR_EOD</v>
          </cell>
          <cell r="C171">
            <v>51379</v>
          </cell>
          <cell r="E171">
            <v>1.5451148614161501E-2</v>
          </cell>
        </row>
        <row r="172">
          <cell r="A172" t="str">
            <v>CZK_PRIBOR_EOD</v>
          </cell>
          <cell r="C172">
            <v>53204</v>
          </cell>
          <cell r="E172">
            <v>1.53825967098138E-2</v>
          </cell>
        </row>
        <row r="173">
          <cell r="A173" t="str">
            <v>DKK_CIBOR_EOD</v>
          </cell>
          <cell r="C173">
            <v>42255</v>
          </cell>
          <cell r="E173">
            <v>-6.4179730915176897E-3</v>
          </cell>
        </row>
        <row r="174">
          <cell r="A174" t="str">
            <v>DKK_CIBOR_EOD</v>
          </cell>
          <cell r="C174">
            <v>42261</v>
          </cell>
          <cell r="E174">
            <v>-3.3619138136423699E-3</v>
          </cell>
        </row>
        <row r="175">
          <cell r="A175" t="str">
            <v>DKK_CIBOR_EOD</v>
          </cell>
          <cell r="C175">
            <v>42284</v>
          </cell>
          <cell r="E175">
            <v>-2.16863884693864E-3</v>
          </cell>
        </row>
        <row r="176">
          <cell r="A176" t="str">
            <v>DKK_CIBOR_EOD</v>
          </cell>
          <cell r="C176">
            <v>42314</v>
          </cell>
          <cell r="E176">
            <v>-1.2368986288816401E-3</v>
          </cell>
        </row>
        <row r="177">
          <cell r="A177" t="str">
            <v>DKK_CIBOR_EOD</v>
          </cell>
          <cell r="C177">
            <v>42345</v>
          </cell>
          <cell r="E177">
            <v>-3.6845627866583002E-4</v>
          </cell>
        </row>
        <row r="178">
          <cell r="A178" t="str">
            <v>DKK_CIBOR_EOD</v>
          </cell>
          <cell r="C178">
            <v>42436</v>
          </cell>
          <cell r="E178">
            <v>1.7538950312631001E-4</v>
          </cell>
        </row>
        <row r="179">
          <cell r="A179" t="str">
            <v>DKK_CIBOR_EOD</v>
          </cell>
          <cell r="C179">
            <v>42527</v>
          </cell>
          <cell r="E179">
            <v>4.9101032628241E-4</v>
          </cell>
        </row>
        <row r="180">
          <cell r="A180" t="str">
            <v>DKK_CIBOR_EOD</v>
          </cell>
          <cell r="C180">
            <v>42619</v>
          </cell>
          <cell r="E180">
            <v>7.4591378584177995E-4</v>
          </cell>
        </row>
        <row r="181">
          <cell r="A181" t="str">
            <v>DKK_CIBOR_EOD</v>
          </cell>
          <cell r="C181">
            <v>42801</v>
          </cell>
          <cell r="E181">
            <v>1.2099035384721399E-3</v>
          </cell>
        </row>
        <row r="182">
          <cell r="A182" t="str">
            <v>DKK_CIBOR_EOD</v>
          </cell>
          <cell r="C182">
            <v>42984</v>
          </cell>
          <cell r="E182">
            <v>3.1352572427776502E-3</v>
          </cell>
        </row>
        <row r="183">
          <cell r="A183" t="str">
            <v>DKK_CIBOR_EOD</v>
          </cell>
          <cell r="C183">
            <v>43349</v>
          </cell>
          <cell r="E183">
            <v>4.2798759330715096E-3</v>
          </cell>
        </row>
        <row r="184">
          <cell r="A184" t="str">
            <v>DKK_CIBOR_EOD</v>
          </cell>
          <cell r="C184">
            <v>43714</v>
          </cell>
          <cell r="E184">
            <v>5.5537341615243497E-3</v>
          </cell>
        </row>
        <row r="185">
          <cell r="A185" t="str">
            <v>DKK_CIBOR_EOD</v>
          </cell>
          <cell r="C185">
            <v>44079</v>
          </cell>
          <cell r="E185">
            <v>7.0000172903887303E-3</v>
          </cell>
        </row>
        <row r="186">
          <cell r="A186" t="str">
            <v>DKK_CIBOR_EOD</v>
          </cell>
          <cell r="C186">
            <v>44444</v>
          </cell>
          <cell r="E186">
            <v>8.3741589368436804E-3</v>
          </cell>
        </row>
        <row r="187">
          <cell r="A187" t="str">
            <v>DKK_CIBOR_EOD</v>
          </cell>
          <cell r="C187">
            <v>44809</v>
          </cell>
          <cell r="E187">
            <v>9.7993167673405997E-3</v>
          </cell>
        </row>
        <row r="188">
          <cell r="A188" t="str">
            <v>DKK_CIBOR_EOD</v>
          </cell>
          <cell r="C188">
            <v>45174</v>
          </cell>
          <cell r="E188">
            <v>1.1167647314703001E-2</v>
          </cell>
        </row>
        <row r="189">
          <cell r="A189" t="str">
            <v>DKK_CIBOR_EOD</v>
          </cell>
          <cell r="C189">
            <v>45539</v>
          </cell>
          <cell r="E189">
            <v>1.2434697850389601E-2</v>
          </cell>
        </row>
        <row r="190">
          <cell r="A190" t="str">
            <v>DKK_CIBOR_EOD</v>
          </cell>
          <cell r="C190">
            <v>45904</v>
          </cell>
          <cell r="E190">
            <v>1.35458963408676E-2</v>
          </cell>
        </row>
        <row r="191">
          <cell r="A191" t="str">
            <v>DKK_CIBOR_EOD</v>
          </cell>
          <cell r="C191">
            <v>46634</v>
          </cell>
          <cell r="E191">
            <v>1.54149314321524E-2</v>
          </cell>
        </row>
        <row r="192">
          <cell r="A192" t="str">
            <v>DKK_CIBOR_EOD</v>
          </cell>
          <cell r="C192">
            <v>47729</v>
          </cell>
          <cell r="E192">
            <v>1.73599042020042E-2</v>
          </cell>
        </row>
        <row r="193">
          <cell r="A193" t="str">
            <v>DKK_CIBOR_EOD</v>
          </cell>
          <cell r="C193">
            <v>49554</v>
          </cell>
          <cell r="E193">
            <v>1.8912820191864601E-2</v>
          </cell>
        </row>
        <row r="194">
          <cell r="A194" t="str">
            <v>DKK_CIBOR_EOD</v>
          </cell>
          <cell r="C194">
            <v>51379</v>
          </cell>
          <cell r="E194">
            <v>1.9079244117811402E-2</v>
          </cell>
        </row>
        <row r="195">
          <cell r="A195" t="str">
            <v>DKK_CIBOR_EOD</v>
          </cell>
          <cell r="C195">
            <v>53204</v>
          </cell>
          <cell r="E195">
            <v>1.89864278933469E-2</v>
          </cell>
        </row>
        <row r="196">
          <cell r="A196" t="str">
            <v>EUR_EONIA_EOD</v>
          </cell>
          <cell r="C196">
            <v>42255</v>
          </cell>
          <cell r="E196">
            <v>-1.3788914934804899E-3</v>
          </cell>
        </row>
        <row r="197">
          <cell r="A197" t="str">
            <v>EUR_EONIA_EOD</v>
          </cell>
          <cell r="C197">
            <v>42261</v>
          </cell>
          <cell r="E197">
            <v>-1.3451030052074901E-3</v>
          </cell>
        </row>
        <row r="198">
          <cell r="A198" t="str">
            <v>EUR_EONIA_EOD</v>
          </cell>
          <cell r="C198">
            <v>42268</v>
          </cell>
          <cell r="E198">
            <v>-1.32737446111875E-3</v>
          </cell>
        </row>
        <row r="199">
          <cell r="A199" t="str">
            <v>EUR_EONIA_EOD</v>
          </cell>
          <cell r="C199">
            <v>42275</v>
          </cell>
          <cell r="E199">
            <v>-1.3218435508186399E-3</v>
          </cell>
        </row>
        <row r="200">
          <cell r="A200" t="str">
            <v>EUR_EONIA_EOD</v>
          </cell>
          <cell r="C200">
            <v>42284</v>
          </cell>
          <cell r="E200">
            <v>-1.3006159527963401E-3</v>
          </cell>
        </row>
        <row r="201">
          <cell r="A201" t="str">
            <v>EUR_EONIA_EOD</v>
          </cell>
          <cell r="C201">
            <v>42314</v>
          </cell>
          <cell r="E201">
            <v>-1.30882589132111E-3</v>
          </cell>
        </row>
        <row r="202">
          <cell r="A202" t="str">
            <v>EUR_EONIA_EOD</v>
          </cell>
          <cell r="C202">
            <v>42345</v>
          </cell>
          <cell r="E202">
            <v>-1.3251329816236701E-3</v>
          </cell>
        </row>
        <row r="203">
          <cell r="A203" t="str">
            <v>EUR_EONIA_EOD</v>
          </cell>
          <cell r="C203">
            <v>42375</v>
          </cell>
          <cell r="E203">
            <v>-1.34682284927059E-3</v>
          </cell>
        </row>
        <row r="204">
          <cell r="A204" t="str">
            <v>EUR_EONIA_EOD</v>
          </cell>
          <cell r="C204">
            <v>42406</v>
          </cell>
          <cell r="E204">
            <v>-1.3643351117072901E-3</v>
          </cell>
        </row>
        <row r="205">
          <cell r="A205" t="str">
            <v>EUR_EONIA_EOD</v>
          </cell>
          <cell r="C205">
            <v>42436</v>
          </cell>
          <cell r="E205">
            <v>-1.39244725222918E-3</v>
          </cell>
        </row>
        <row r="206">
          <cell r="A206" t="str">
            <v>EUR_EONIA_EOD</v>
          </cell>
          <cell r="C206">
            <v>42466</v>
          </cell>
          <cell r="E206">
            <v>-1.4190325257125299E-3</v>
          </cell>
        </row>
        <row r="207">
          <cell r="A207" t="str">
            <v>EUR_EONIA_EOD</v>
          </cell>
          <cell r="C207">
            <v>42497</v>
          </cell>
          <cell r="E207">
            <v>-1.43289147237488E-3</v>
          </cell>
        </row>
        <row r="208">
          <cell r="A208" t="str">
            <v>EUR_EONIA_EOD</v>
          </cell>
          <cell r="C208">
            <v>42527</v>
          </cell>
          <cell r="E208">
            <v>-1.4417069042110199E-3</v>
          </cell>
        </row>
        <row r="209">
          <cell r="A209" t="str">
            <v>EUR_EONIA_EOD</v>
          </cell>
          <cell r="C209">
            <v>42558</v>
          </cell>
          <cell r="E209">
            <v>-1.44821045775099E-3</v>
          </cell>
        </row>
        <row r="210">
          <cell r="A210" t="str">
            <v>EUR_EONIA_EOD</v>
          </cell>
          <cell r="C210">
            <v>42588</v>
          </cell>
          <cell r="E210">
            <v>-1.4758932539469E-3</v>
          </cell>
        </row>
        <row r="211">
          <cell r="A211" t="str">
            <v>EUR_EONIA_EOD</v>
          </cell>
          <cell r="C211">
            <v>42619</v>
          </cell>
          <cell r="E211">
            <v>-1.49584637245349E-3</v>
          </cell>
        </row>
        <row r="212">
          <cell r="A212" t="str">
            <v>EUR_EONIA_EOD</v>
          </cell>
          <cell r="C212">
            <v>42710</v>
          </cell>
          <cell r="E212">
            <v>-1.50737553823475E-3</v>
          </cell>
        </row>
        <row r="213">
          <cell r="A213" t="str">
            <v>EUR_EONIA_EOD</v>
          </cell>
          <cell r="C213">
            <v>42801</v>
          </cell>
          <cell r="E213">
            <v>-1.4517345815240801E-3</v>
          </cell>
        </row>
        <row r="214">
          <cell r="A214" t="str">
            <v>EUR_EONIA_EOD</v>
          </cell>
          <cell r="C214">
            <v>42892</v>
          </cell>
          <cell r="E214">
            <v>-1.4358905172748701E-3</v>
          </cell>
        </row>
        <row r="215">
          <cell r="A215" t="str">
            <v>EUR_EONIA_EOD</v>
          </cell>
          <cell r="C215">
            <v>42984</v>
          </cell>
          <cell r="E215">
            <v>-1.3313779838525499E-3</v>
          </cell>
        </row>
        <row r="216">
          <cell r="A216" t="str">
            <v>EUR_EONIA_EOD</v>
          </cell>
          <cell r="C216">
            <v>43349</v>
          </cell>
          <cell r="E216">
            <v>-8.2528207211898005E-4</v>
          </cell>
        </row>
        <row r="217">
          <cell r="A217" t="str">
            <v>EUR_EONIA_EOD</v>
          </cell>
          <cell r="C217">
            <v>43714</v>
          </cell>
          <cell r="E217">
            <v>9.3308690401139994E-5</v>
          </cell>
        </row>
        <row r="218">
          <cell r="A218" t="str">
            <v>EUR_EONIA_EOD</v>
          </cell>
          <cell r="C218">
            <v>44079</v>
          </cell>
          <cell r="E218">
            <v>1.22922945662846E-3</v>
          </cell>
        </row>
        <row r="219">
          <cell r="A219" t="str">
            <v>EUR_EONIA_EOD</v>
          </cell>
          <cell r="C219">
            <v>44444</v>
          </cell>
          <cell r="E219">
            <v>2.5578430884831099E-3</v>
          </cell>
        </row>
        <row r="220">
          <cell r="A220" t="str">
            <v>EUR_EONIA_EOD</v>
          </cell>
          <cell r="C220">
            <v>44809</v>
          </cell>
          <cell r="E220">
            <v>3.9679497101851599E-3</v>
          </cell>
        </row>
        <row r="221">
          <cell r="A221" t="str">
            <v>EUR_EONIA_EOD</v>
          </cell>
          <cell r="C221">
            <v>45174</v>
          </cell>
          <cell r="E221">
            <v>5.3508518964740601E-3</v>
          </cell>
        </row>
        <row r="222">
          <cell r="A222" t="str">
            <v>EUR_EONIA_EOD</v>
          </cell>
          <cell r="C222">
            <v>45539</v>
          </cell>
          <cell r="E222">
            <v>6.6464199222213303E-3</v>
          </cell>
        </row>
        <row r="223">
          <cell r="A223" t="str">
            <v>EUR_EONIA_EOD</v>
          </cell>
          <cell r="C223">
            <v>45904</v>
          </cell>
          <cell r="E223">
            <v>7.8171101973795905E-3</v>
          </cell>
        </row>
        <row r="224">
          <cell r="A224" t="str">
            <v>EUR_EONIA_EOD</v>
          </cell>
          <cell r="C224">
            <v>46634</v>
          </cell>
          <cell r="E224">
            <v>9.8538099810126494E-3</v>
          </cell>
        </row>
        <row r="225">
          <cell r="A225" t="str">
            <v>EUR_EONIA_EOD</v>
          </cell>
          <cell r="C225">
            <v>47729</v>
          </cell>
          <cell r="E225">
            <v>1.20153939839909E-2</v>
          </cell>
        </row>
        <row r="226">
          <cell r="A226" t="str">
            <v>EUR_EONIA_EOD</v>
          </cell>
          <cell r="C226">
            <v>49554</v>
          </cell>
          <cell r="E226">
            <v>1.3915583135814801E-2</v>
          </cell>
        </row>
        <row r="227">
          <cell r="A227" t="str">
            <v>EUR_EONIA_EOD</v>
          </cell>
          <cell r="C227">
            <v>51379</v>
          </cell>
          <cell r="E227">
            <v>1.4455296381368801E-2</v>
          </cell>
        </row>
        <row r="228">
          <cell r="A228" t="str">
            <v>EUR_EONIA_EOD</v>
          </cell>
          <cell r="C228">
            <v>53204</v>
          </cell>
          <cell r="E228">
            <v>1.46826928183258E-2</v>
          </cell>
        </row>
        <row r="229">
          <cell r="A229" t="str">
            <v>EUR_EONIA_EOD</v>
          </cell>
          <cell r="C229">
            <v>55029</v>
          </cell>
          <cell r="E229">
            <v>1.4877341716865699E-2</v>
          </cell>
        </row>
        <row r="230">
          <cell r="A230" t="str">
            <v>EUR_EONIA_EOD</v>
          </cell>
          <cell r="C230">
            <v>56854</v>
          </cell>
          <cell r="E230">
            <v>1.5071785035802801E-2</v>
          </cell>
        </row>
        <row r="231">
          <cell r="A231" t="str">
            <v>EUR_EONIA_EOD</v>
          </cell>
          <cell r="C231">
            <v>58679</v>
          </cell>
          <cell r="E231">
            <v>1.48831204772746E-2</v>
          </cell>
        </row>
        <row r="232">
          <cell r="A232" t="str">
            <v>EUR_EONIA_EOD</v>
          </cell>
          <cell r="C232">
            <v>60504</v>
          </cell>
          <cell r="E232">
            <v>1.4691920179899299E-2</v>
          </cell>
        </row>
        <row r="233">
          <cell r="A233" t="str">
            <v>EUR_EURIBOR_EOD</v>
          </cell>
          <cell r="C233">
            <v>42255</v>
          </cell>
          <cell r="E233">
            <v>-1.3484747131691001E-3</v>
          </cell>
        </row>
        <row r="234">
          <cell r="A234" t="str">
            <v>EUR_EURIBOR_EOD</v>
          </cell>
          <cell r="C234">
            <v>42261</v>
          </cell>
          <cell r="E234">
            <v>-1.42171031135862E-3</v>
          </cell>
        </row>
        <row r="235">
          <cell r="A235" t="str">
            <v>EUR_EURIBOR_EOD</v>
          </cell>
          <cell r="C235">
            <v>42284</v>
          </cell>
          <cell r="E235">
            <v>-1.1057459472688801E-3</v>
          </cell>
        </row>
        <row r="236">
          <cell r="A236" t="str">
            <v>EUR_EURIBOR_EOD</v>
          </cell>
          <cell r="C236">
            <v>42314</v>
          </cell>
          <cell r="E236">
            <v>-7.0114139712288001E-4</v>
          </cell>
        </row>
        <row r="237">
          <cell r="A237" t="str">
            <v>EUR_EURIBOR_EOD</v>
          </cell>
          <cell r="C237">
            <v>42345</v>
          </cell>
          <cell r="E237">
            <v>-3.8598887060678001E-4</v>
          </cell>
        </row>
        <row r="238">
          <cell r="A238" t="str">
            <v>EUR_EURIBOR_EOD</v>
          </cell>
          <cell r="C238">
            <v>42436</v>
          </cell>
          <cell r="E238">
            <v>-3.8579007529977E-4</v>
          </cell>
        </row>
        <row r="239">
          <cell r="A239" t="str">
            <v>EUR_EURIBOR_EOD</v>
          </cell>
          <cell r="C239">
            <v>42527</v>
          </cell>
          <cell r="E239">
            <v>-3.9559332670717002E-4</v>
          </cell>
        </row>
        <row r="240">
          <cell r="A240" t="str">
            <v>EUR_EURIBOR_EOD</v>
          </cell>
          <cell r="C240">
            <v>42619</v>
          </cell>
          <cell r="E240">
            <v>-3.9113717456277001E-4</v>
          </cell>
        </row>
        <row r="241">
          <cell r="A241" t="str">
            <v>EUR_EURIBOR_EOD</v>
          </cell>
          <cell r="C241">
            <v>42801</v>
          </cell>
          <cell r="E241">
            <v>-3.0809022754495002E-4</v>
          </cell>
        </row>
        <row r="242">
          <cell r="A242" t="str">
            <v>EUR_EURIBOR_EOD</v>
          </cell>
          <cell r="C242">
            <v>42984</v>
          </cell>
          <cell r="E242">
            <v>-1.2335677142941999E-4</v>
          </cell>
        </row>
        <row r="243">
          <cell r="A243" t="str">
            <v>EUR_EURIBOR_EOD</v>
          </cell>
          <cell r="C243">
            <v>43349</v>
          </cell>
          <cell r="E243">
            <v>5.1038557353856996E-4</v>
          </cell>
        </row>
        <row r="244">
          <cell r="A244" t="str">
            <v>EUR_EURIBOR_EOD</v>
          </cell>
          <cell r="C244">
            <v>43714</v>
          </cell>
          <cell r="E244">
            <v>2.5294011968390101E-3</v>
          </cell>
        </row>
        <row r="245">
          <cell r="A245" t="str">
            <v>EUR_EURIBOR_EOD</v>
          </cell>
          <cell r="C245">
            <v>44079</v>
          </cell>
          <cell r="E245">
            <v>3.7390249133745202E-3</v>
          </cell>
        </row>
        <row r="246">
          <cell r="A246" t="str">
            <v>EUR_EURIBOR_EOD</v>
          </cell>
          <cell r="C246">
            <v>44444</v>
          </cell>
          <cell r="E246">
            <v>5.0621557905913602E-3</v>
          </cell>
        </row>
        <row r="247">
          <cell r="A247" t="str">
            <v>EUR_EURIBOR_EOD</v>
          </cell>
          <cell r="C247">
            <v>44809</v>
          </cell>
          <cell r="E247">
            <v>6.4377324287347298E-3</v>
          </cell>
        </row>
        <row r="248">
          <cell r="A248" t="str">
            <v>EUR_EURIBOR_EOD</v>
          </cell>
          <cell r="C248">
            <v>45174</v>
          </cell>
          <cell r="E248">
            <v>7.7765728904259802E-3</v>
          </cell>
        </row>
        <row r="249">
          <cell r="A249" t="str">
            <v>EUR_EURIBOR_EOD</v>
          </cell>
          <cell r="C249">
            <v>45539</v>
          </cell>
          <cell r="E249">
            <v>9.0089820739377002E-3</v>
          </cell>
        </row>
        <row r="250">
          <cell r="A250" t="str">
            <v>EUR_EURIBOR_EOD</v>
          </cell>
          <cell r="C250">
            <v>45904</v>
          </cell>
          <cell r="E250">
            <v>1.0101128179206E-2</v>
          </cell>
        </row>
        <row r="251">
          <cell r="A251" t="str">
            <v>EUR_EURIBOR_EOD</v>
          </cell>
          <cell r="C251">
            <v>46634</v>
          </cell>
          <cell r="E251">
            <v>1.19899327339102E-2</v>
          </cell>
        </row>
        <row r="252">
          <cell r="A252" t="str">
            <v>EUR_EURIBOR_EOD</v>
          </cell>
          <cell r="C252">
            <v>47729</v>
          </cell>
          <cell r="E252">
            <v>1.39326301833497E-2</v>
          </cell>
        </row>
        <row r="253">
          <cell r="A253" t="str">
            <v>EUR_EURIBOR_EOD</v>
          </cell>
          <cell r="C253">
            <v>49554</v>
          </cell>
          <cell r="E253">
            <v>1.55148822104678E-2</v>
          </cell>
        </row>
        <row r="254">
          <cell r="A254" t="str">
            <v>EUR_EURIBOR_EOD</v>
          </cell>
          <cell r="C254">
            <v>51379</v>
          </cell>
          <cell r="E254">
            <v>1.5787868225812799E-2</v>
          </cell>
        </row>
        <row r="255">
          <cell r="A255" t="str">
            <v>EUR_EURIBOR_EOD</v>
          </cell>
          <cell r="C255">
            <v>53204</v>
          </cell>
          <cell r="E255">
            <v>1.5823282271137998E-2</v>
          </cell>
        </row>
        <row r="256">
          <cell r="A256" t="str">
            <v>EUR_EURIBOR_EOD</v>
          </cell>
          <cell r="C256">
            <v>55029</v>
          </cell>
          <cell r="E256">
            <v>1.5882728454697698E-2</v>
          </cell>
        </row>
        <row r="257">
          <cell r="A257" t="str">
            <v>EUR_EURIBOR_EOD</v>
          </cell>
          <cell r="C257">
            <v>56854</v>
          </cell>
          <cell r="E257">
            <v>1.59423421580338E-2</v>
          </cell>
        </row>
        <row r="258">
          <cell r="A258" t="str">
            <v>EUR_EURIBOR_EOD</v>
          </cell>
          <cell r="C258">
            <v>58679</v>
          </cell>
          <cell r="E258">
            <v>1.56500358429318E-2</v>
          </cell>
        </row>
        <row r="259">
          <cell r="A259" t="str">
            <v>EUR_EURIBOR_EOD</v>
          </cell>
          <cell r="C259">
            <v>60504</v>
          </cell>
          <cell r="E259">
            <v>1.53554002171727E-2</v>
          </cell>
        </row>
        <row r="260">
          <cell r="A260" t="str">
            <v>EUR_EURIBOR_EOD</v>
          </cell>
          <cell r="C260">
            <v>62329</v>
          </cell>
          <cell r="E260">
            <v>1.51289883101538E-2</v>
          </cell>
        </row>
        <row r="261">
          <cell r="A261" t="str">
            <v>EUR_EURIBOR_EOD</v>
          </cell>
          <cell r="C261">
            <v>64154</v>
          </cell>
          <cell r="E261">
            <v>1.4903141793069299E-2</v>
          </cell>
        </row>
        <row r="262">
          <cell r="A262" t="str">
            <v>GBP_LIBOR_EOD</v>
          </cell>
          <cell r="C262">
            <v>42255</v>
          </cell>
          <cell r="E262">
            <v>4.8124682740251102E-3</v>
          </cell>
        </row>
        <row r="263">
          <cell r="A263" t="str">
            <v>GBP_LIBOR_EOD</v>
          </cell>
          <cell r="C263">
            <v>42261</v>
          </cell>
          <cell r="E263">
            <v>4.8547739905004401E-3</v>
          </cell>
        </row>
        <row r="264">
          <cell r="A264" t="str">
            <v>GBP_LIBOR_EOD</v>
          </cell>
          <cell r="C264">
            <v>42284</v>
          </cell>
          <cell r="E264">
            <v>5.0892595316845597E-3</v>
          </cell>
        </row>
        <row r="265">
          <cell r="A265" t="str">
            <v>GBP_LIBOR_EOD</v>
          </cell>
          <cell r="C265">
            <v>42314</v>
          </cell>
          <cell r="E265">
            <v>5.3951102375768903E-3</v>
          </cell>
        </row>
        <row r="266">
          <cell r="A266" t="str">
            <v>GBP_LIBOR_EOD</v>
          </cell>
          <cell r="C266">
            <v>42345</v>
          </cell>
          <cell r="E266">
            <v>5.7111559669989599E-3</v>
          </cell>
        </row>
        <row r="267">
          <cell r="A267" t="str">
            <v>GBP_LIBOR_EOD</v>
          </cell>
          <cell r="C267">
            <v>42436</v>
          </cell>
          <cell r="E267">
            <v>6.1393592492383102E-3</v>
          </cell>
        </row>
        <row r="268">
          <cell r="A268" t="str">
            <v>GBP_LIBOR_EOD</v>
          </cell>
          <cell r="C268">
            <v>42527</v>
          </cell>
          <cell r="E268">
            <v>6.52401878021046E-3</v>
          </cell>
        </row>
        <row r="269">
          <cell r="A269" t="str">
            <v>GBP_LIBOR_EOD</v>
          </cell>
          <cell r="C269">
            <v>42619</v>
          </cell>
          <cell r="E269">
            <v>6.9531620767429901E-3</v>
          </cell>
        </row>
        <row r="270">
          <cell r="A270" t="str">
            <v>GBP_LIBOR_EOD</v>
          </cell>
          <cell r="C270">
            <v>42801</v>
          </cell>
          <cell r="E270">
            <v>7.8842721764363095E-3</v>
          </cell>
        </row>
        <row r="271">
          <cell r="A271" t="str">
            <v>GBP_LIBOR_EOD</v>
          </cell>
          <cell r="C271">
            <v>42984</v>
          </cell>
          <cell r="E271">
            <v>8.9159913215992904E-3</v>
          </cell>
        </row>
        <row r="272">
          <cell r="A272" t="str">
            <v>GBP_LIBOR_EOD</v>
          </cell>
          <cell r="C272">
            <v>43349</v>
          </cell>
          <cell r="E272">
            <v>1.1993990037201301E-2</v>
          </cell>
        </row>
        <row r="273">
          <cell r="A273" t="str">
            <v>GBP_LIBOR_EOD</v>
          </cell>
          <cell r="C273">
            <v>43714</v>
          </cell>
          <cell r="E273">
            <v>1.36741202412485E-2</v>
          </cell>
        </row>
        <row r="274">
          <cell r="A274" t="str">
            <v>GBP_LIBOR_EOD</v>
          </cell>
          <cell r="C274">
            <v>44079</v>
          </cell>
          <cell r="E274">
            <v>1.50718693562969E-2</v>
          </cell>
        </row>
        <row r="275">
          <cell r="A275" t="str">
            <v>GBP_LIBOR_EOD</v>
          </cell>
          <cell r="C275">
            <v>44444</v>
          </cell>
          <cell r="E275">
            <v>1.6225418431601898E-2</v>
          </cell>
        </row>
        <row r="276">
          <cell r="A276" t="str">
            <v>GBP_LIBOR_EOD</v>
          </cell>
          <cell r="C276">
            <v>44809</v>
          </cell>
          <cell r="E276">
            <v>1.7131438209307102E-2</v>
          </cell>
        </row>
        <row r="277">
          <cell r="A277" t="str">
            <v>GBP_LIBOR_EOD</v>
          </cell>
          <cell r="C277">
            <v>45174</v>
          </cell>
          <cell r="E277">
            <v>1.7863930480158299E-2</v>
          </cell>
        </row>
        <row r="278">
          <cell r="A278" t="str">
            <v>GBP_LIBOR_EOD</v>
          </cell>
          <cell r="C278">
            <v>45539</v>
          </cell>
          <cell r="E278">
            <v>1.8467866527110001E-2</v>
          </cell>
        </row>
        <row r="279">
          <cell r="A279" t="str">
            <v>GBP_LIBOR_EOD</v>
          </cell>
          <cell r="C279">
            <v>45904</v>
          </cell>
          <cell r="E279">
            <v>1.8980380677694499E-2</v>
          </cell>
        </row>
        <row r="280">
          <cell r="A280" t="str">
            <v>GBP_LIBOR_EOD</v>
          </cell>
          <cell r="C280">
            <v>46634</v>
          </cell>
          <cell r="E280">
            <v>1.9843229978943899E-2</v>
          </cell>
        </row>
        <row r="281">
          <cell r="A281" t="str">
            <v>GBP_LIBOR_EOD</v>
          </cell>
          <cell r="C281">
            <v>47729</v>
          </cell>
          <cell r="E281">
            <v>2.0708437605762801E-2</v>
          </cell>
        </row>
        <row r="282">
          <cell r="A282" t="str">
            <v>GBP_LIBOR_EOD</v>
          </cell>
          <cell r="C282">
            <v>49554</v>
          </cell>
          <cell r="E282">
            <v>2.1284462879170799E-2</v>
          </cell>
        </row>
        <row r="283">
          <cell r="A283" t="str">
            <v>GBP_LIBOR_EOD</v>
          </cell>
          <cell r="C283">
            <v>51379</v>
          </cell>
          <cell r="E283">
            <v>2.1114959943195601E-2</v>
          </cell>
        </row>
        <row r="284">
          <cell r="A284" t="str">
            <v>GBP_LIBOR_EOD</v>
          </cell>
          <cell r="C284">
            <v>53204</v>
          </cell>
          <cell r="E284">
            <v>2.0884897348815001E-2</v>
          </cell>
        </row>
        <row r="285">
          <cell r="A285" t="str">
            <v>GBP_LIBOR_EOD</v>
          </cell>
          <cell r="C285">
            <v>55029</v>
          </cell>
          <cell r="E285">
            <v>2.0489532887823899E-2</v>
          </cell>
        </row>
        <row r="286">
          <cell r="A286" t="str">
            <v>GBP_LIBOR_EOD</v>
          </cell>
          <cell r="C286">
            <v>56854</v>
          </cell>
          <cell r="E286">
            <v>2.00934416176104E-2</v>
          </cell>
        </row>
        <row r="287">
          <cell r="A287" t="str">
            <v>GBP_LIBOR_EOD</v>
          </cell>
          <cell r="C287">
            <v>58679</v>
          </cell>
          <cell r="E287">
            <v>1.97894119720976E-2</v>
          </cell>
        </row>
        <row r="288">
          <cell r="A288" t="str">
            <v>GBP_LIBOR_EOD</v>
          </cell>
          <cell r="C288">
            <v>60504</v>
          </cell>
          <cell r="E288">
            <v>1.9485889553167199E-2</v>
          </cell>
        </row>
        <row r="289">
          <cell r="A289" t="str">
            <v>GBP_LIBOR_EOD</v>
          </cell>
          <cell r="C289">
            <v>62329</v>
          </cell>
          <cell r="E289">
            <v>1.9475368832688598E-2</v>
          </cell>
        </row>
        <row r="290">
          <cell r="A290" t="str">
            <v>GBP_LIBOR_EOD</v>
          </cell>
          <cell r="C290">
            <v>64154</v>
          </cell>
          <cell r="E290">
            <v>1.94669502215256E-2</v>
          </cell>
        </row>
        <row r="291">
          <cell r="A291" t="str">
            <v>GBP_SONIA_EOD</v>
          </cell>
          <cell r="C291">
            <v>42255</v>
          </cell>
          <cell r="E291">
            <v>4.5909711272593299E-3</v>
          </cell>
        </row>
        <row r="292">
          <cell r="A292" t="str">
            <v>GBP_SONIA_EOD</v>
          </cell>
          <cell r="C292">
            <v>42261</v>
          </cell>
          <cell r="E292">
            <v>4.6017969313674398E-3</v>
          </cell>
        </row>
        <row r="293">
          <cell r="A293" t="str">
            <v>GBP_SONIA_EOD</v>
          </cell>
          <cell r="C293">
            <v>42268</v>
          </cell>
          <cell r="E293">
            <v>4.6145915890849999E-3</v>
          </cell>
        </row>
        <row r="294">
          <cell r="A294" t="str">
            <v>GBP_SONIA_EOD</v>
          </cell>
          <cell r="C294">
            <v>42275</v>
          </cell>
          <cell r="E294">
            <v>4.6033811805814701E-3</v>
          </cell>
        </row>
        <row r="295">
          <cell r="A295" t="str">
            <v>GBP_SONIA_EOD</v>
          </cell>
          <cell r="C295">
            <v>42284</v>
          </cell>
          <cell r="E295">
            <v>4.5889677982197804E-3</v>
          </cell>
        </row>
        <row r="296">
          <cell r="A296" t="str">
            <v>GBP_SONIA_EOD</v>
          </cell>
          <cell r="C296">
            <v>42314</v>
          </cell>
          <cell r="E296">
            <v>4.6336724884471804E-3</v>
          </cell>
        </row>
        <row r="297">
          <cell r="A297" t="str">
            <v>GBP_SONIA_EOD</v>
          </cell>
          <cell r="C297">
            <v>42345</v>
          </cell>
          <cell r="E297">
            <v>4.7078610146844696E-3</v>
          </cell>
        </row>
        <row r="298">
          <cell r="A298" t="str">
            <v>GBP_SONIA_EOD</v>
          </cell>
          <cell r="C298">
            <v>42375</v>
          </cell>
          <cell r="E298">
            <v>4.75936775965003E-3</v>
          </cell>
        </row>
        <row r="299">
          <cell r="A299" t="str">
            <v>GBP_SONIA_EOD</v>
          </cell>
          <cell r="C299">
            <v>42406</v>
          </cell>
          <cell r="E299">
            <v>4.8140682386683701E-3</v>
          </cell>
        </row>
        <row r="300">
          <cell r="A300" t="str">
            <v>GBP_SONIA_EOD</v>
          </cell>
          <cell r="C300">
            <v>42436</v>
          </cell>
          <cell r="E300">
            <v>4.9213317699068901E-3</v>
          </cell>
        </row>
        <row r="301">
          <cell r="A301" t="str">
            <v>GBP_SONIA_EOD</v>
          </cell>
          <cell r="C301">
            <v>42466</v>
          </cell>
          <cell r="E301">
            <v>5.0170726827320202E-3</v>
          </cell>
        </row>
        <row r="302">
          <cell r="A302" t="str">
            <v>GBP_SONIA_EOD</v>
          </cell>
          <cell r="C302">
            <v>42497</v>
          </cell>
          <cell r="E302">
            <v>5.1111429657806498E-3</v>
          </cell>
        </row>
        <row r="303">
          <cell r="A303" t="str">
            <v>GBP_SONIA_EOD</v>
          </cell>
          <cell r="C303">
            <v>42527</v>
          </cell>
          <cell r="E303">
            <v>5.23786258588348E-3</v>
          </cell>
        </row>
        <row r="304">
          <cell r="A304" t="str">
            <v>GBP_SONIA_EOD</v>
          </cell>
          <cell r="C304">
            <v>42558</v>
          </cell>
          <cell r="E304">
            <v>5.3251733831015903E-3</v>
          </cell>
        </row>
        <row r="305">
          <cell r="A305" t="str">
            <v>GBP_SONIA_EOD</v>
          </cell>
          <cell r="C305">
            <v>42588</v>
          </cell>
          <cell r="E305">
            <v>5.4563201648152801E-3</v>
          </cell>
        </row>
        <row r="306">
          <cell r="A306" t="str">
            <v>GBP_SONIA_EOD</v>
          </cell>
          <cell r="C306">
            <v>42619</v>
          </cell>
          <cell r="E306">
            <v>5.5792384243567496E-3</v>
          </cell>
        </row>
        <row r="307">
          <cell r="A307" t="str">
            <v>GBP_SONIA_EOD</v>
          </cell>
          <cell r="C307">
            <v>42710</v>
          </cell>
          <cell r="E307">
            <v>5.9550836672544001E-3</v>
          </cell>
        </row>
        <row r="308">
          <cell r="A308" t="str">
            <v>GBP_SONIA_EOD</v>
          </cell>
          <cell r="C308">
            <v>42801</v>
          </cell>
          <cell r="E308">
            <v>6.3646413500277801E-3</v>
          </cell>
        </row>
        <row r="309">
          <cell r="A309" t="str">
            <v>GBP_SONIA_EOD</v>
          </cell>
          <cell r="C309">
            <v>42892</v>
          </cell>
          <cell r="E309">
            <v>6.8169578463440003E-3</v>
          </cell>
        </row>
        <row r="310">
          <cell r="A310" t="str">
            <v>GBP_SONIA_EOD</v>
          </cell>
          <cell r="C310">
            <v>42984</v>
          </cell>
          <cell r="E310">
            <v>7.2794401612740296E-3</v>
          </cell>
        </row>
        <row r="311">
          <cell r="A311" t="str">
            <v>GBP_SONIA_EOD</v>
          </cell>
          <cell r="C311">
            <v>43349</v>
          </cell>
          <cell r="E311">
            <v>9.0252090631820301E-3</v>
          </cell>
        </row>
        <row r="312">
          <cell r="A312" t="str">
            <v>GBP_SONIA_EOD</v>
          </cell>
          <cell r="C312">
            <v>43714</v>
          </cell>
          <cell r="E312">
            <v>1.05283093604679E-2</v>
          </cell>
        </row>
        <row r="313">
          <cell r="A313" t="str">
            <v>GBP_SONIA_EOD</v>
          </cell>
          <cell r="C313">
            <v>44079</v>
          </cell>
          <cell r="E313">
            <v>1.18295872500121E-2</v>
          </cell>
        </row>
        <row r="314">
          <cell r="A314" t="str">
            <v>GBP_SONIA_EOD</v>
          </cell>
          <cell r="C314">
            <v>44444</v>
          </cell>
          <cell r="E314">
            <v>1.2928559874027801E-2</v>
          </cell>
        </row>
        <row r="315">
          <cell r="A315" t="str">
            <v>GBP_SONIA_EOD</v>
          </cell>
          <cell r="C315">
            <v>44809</v>
          </cell>
          <cell r="E315">
            <v>1.3805956969931E-2</v>
          </cell>
        </row>
        <row r="316">
          <cell r="A316" t="str">
            <v>GBP_SONIA_EOD</v>
          </cell>
          <cell r="C316">
            <v>45174</v>
          </cell>
          <cell r="E316">
            <v>1.45492543700681E-2</v>
          </cell>
        </row>
        <row r="317">
          <cell r="A317" t="str">
            <v>GBP_SONIA_EOD</v>
          </cell>
          <cell r="C317">
            <v>45539</v>
          </cell>
          <cell r="E317">
            <v>1.5164315176788999E-2</v>
          </cell>
        </row>
        <row r="318">
          <cell r="A318" t="str">
            <v>GBP_SONIA_EOD</v>
          </cell>
          <cell r="C318">
            <v>45904</v>
          </cell>
          <cell r="E318">
            <v>1.5728254456143401E-2</v>
          </cell>
        </row>
        <row r="319">
          <cell r="A319" t="str">
            <v>GBP_SONIA_EOD</v>
          </cell>
          <cell r="C319">
            <v>46634</v>
          </cell>
          <cell r="E319">
            <v>1.6736709751076301E-2</v>
          </cell>
        </row>
        <row r="320">
          <cell r="A320" t="str">
            <v>GBP_SONIA_EOD</v>
          </cell>
          <cell r="C320">
            <v>47729</v>
          </cell>
          <cell r="E320">
            <v>1.79180710822123E-2</v>
          </cell>
        </row>
        <row r="321">
          <cell r="A321" t="str">
            <v>GBP_SONIA_EOD</v>
          </cell>
          <cell r="C321">
            <v>49554</v>
          </cell>
          <cell r="E321">
            <v>1.88970814124877E-2</v>
          </cell>
        </row>
        <row r="322">
          <cell r="A322" t="str">
            <v>GBP_SONIA_EOD</v>
          </cell>
          <cell r="C322">
            <v>51379</v>
          </cell>
          <cell r="E322">
            <v>1.9015120827088498E-2</v>
          </cell>
        </row>
        <row r="323">
          <cell r="A323" t="str">
            <v>GBP_SONIA_EOD</v>
          </cell>
          <cell r="C323">
            <v>53204</v>
          </cell>
          <cell r="E323">
            <v>1.8984718213496801E-2</v>
          </cell>
        </row>
        <row r="324">
          <cell r="A324" t="str">
            <v>GBP_SONIA_EOD</v>
          </cell>
          <cell r="C324">
            <v>55029</v>
          </cell>
          <cell r="E324">
            <v>1.8734843938228399E-2</v>
          </cell>
        </row>
        <row r="325">
          <cell r="A325" t="str">
            <v>GBP_SONIA_EOD</v>
          </cell>
          <cell r="C325">
            <v>56854</v>
          </cell>
          <cell r="E325">
            <v>1.84840058361001E-2</v>
          </cell>
        </row>
        <row r="326">
          <cell r="A326" t="str">
            <v>GBP_SONIA_EOD</v>
          </cell>
          <cell r="C326">
            <v>58679</v>
          </cell>
          <cell r="E326">
            <v>1.8270240272970799E-2</v>
          </cell>
        </row>
        <row r="327">
          <cell r="A327" t="str">
            <v>GBP_SONIA_EOD</v>
          </cell>
          <cell r="C327">
            <v>60504</v>
          </cell>
          <cell r="E327">
            <v>1.8056678966254801E-2</v>
          </cell>
        </row>
        <row r="328">
          <cell r="A328" t="str">
            <v>GBP_SONIA_EOD</v>
          </cell>
          <cell r="C328">
            <v>62329</v>
          </cell>
          <cell r="E328">
            <v>1.8098720022586501E-2</v>
          </cell>
        </row>
        <row r="329">
          <cell r="A329" t="str">
            <v>GBP_SONIA_EOD</v>
          </cell>
          <cell r="C329">
            <v>64154</v>
          </cell>
          <cell r="E329">
            <v>1.8142594870706099E-2</v>
          </cell>
        </row>
        <row r="330">
          <cell r="A330" t="str">
            <v>HKD_HIBOR_EOD</v>
          </cell>
          <cell r="C330">
            <v>42255</v>
          </cell>
          <cell r="E330">
            <v>4.9579966328373002E-4</v>
          </cell>
        </row>
        <row r="331">
          <cell r="A331" t="str">
            <v>HKD_HIBOR_EOD</v>
          </cell>
          <cell r="C331">
            <v>42261</v>
          </cell>
          <cell r="E331">
            <v>9.6569105759829004E-4</v>
          </cell>
        </row>
        <row r="332">
          <cell r="A332" t="str">
            <v>HKD_HIBOR_EOD</v>
          </cell>
          <cell r="C332">
            <v>42284</v>
          </cell>
          <cell r="E332">
            <v>2.4430547020914098E-3</v>
          </cell>
        </row>
        <row r="333">
          <cell r="A333" t="str">
            <v>HKD_HIBOR_EOD</v>
          </cell>
          <cell r="C333">
            <v>42314</v>
          </cell>
          <cell r="E333">
            <v>3.1387427123051302E-3</v>
          </cell>
        </row>
        <row r="334">
          <cell r="A334" t="str">
            <v>HKD_HIBOR_EOD</v>
          </cell>
          <cell r="C334">
            <v>42345</v>
          </cell>
          <cell r="E334">
            <v>3.9889158602230603E-3</v>
          </cell>
        </row>
        <row r="335">
          <cell r="A335" t="str">
            <v>HKD_HIBOR_EOD</v>
          </cell>
          <cell r="C335">
            <v>42436</v>
          </cell>
          <cell r="E335">
            <v>5.6004728747528097E-3</v>
          </cell>
        </row>
        <row r="336">
          <cell r="A336" t="str">
            <v>HKD_HIBOR_EOD</v>
          </cell>
          <cell r="C336">
            <v>42527</v>
          </cell>
          <cell r="E336">
            <v>6.0933444659515903E-3</v>
          </cell>
        </row>
        <row r="337">
          <cell r="A337" t="str">
            <v>HKD_HIBOR_EOD</v>
          </cell>
          <cell r="C337">
            <v>42619</v>
          </cell>
          <cell r="E337">
            <v>6.5916322284822098E-3</v>
          </cell>
        </row>
        <row r="338">
          <cell r="A338" t="str">
            <v>HKD_HIBOR_EOD</v>
          </cell>
          <cell r="C338">
            <v>42801</v>
          </cell>
          <cell r="E338">
            <v>8.1062910682625396E-3</v>
          </cell>
        </row>
        <row r="339">
          <cell r="A339" t="str">
            <v>HKD_HIBOR_EOD</v>
          </cell>
          <cell r="C339">
            <v>42984</v>
          </cell>
          <cell r="E339">
            <v>9.6322104512794899E-3</v>
          </cell>
        </row>
        <row r="340">
          <cell r="A340" t="str">
            <v>HKD_HIBOR_EOD</v>
          </cell>
          <cell r="C340">
            <v>43349</v>
          </cell>
          <cell r="E340">
            <v>1.2147714551201399E-2</v>
          </cell>
        </row>
        <row r="341">
          <cell r="A341" t="str">
            <v>HKD_HIBOR_EOD</v>
          </cell>
          <cell r="C341">
            <v>43714</v>
          </cell>
          <cell r="E341">
            <v>1.4309508473046E-2</v>
          </cell>
        </row>
        <row r="342">
          <cell r="A342" t="str">
            <v>HKD_HIBOR_EOD</v>
          </cell>
          <cell r="C342">
            <v>44079</v>
          </cell>
          <cell r="E342">
            <v>1.6097712464813799E-2</v>
          </cell>
        </row>
        <row r="343">
          <cell r="A343" t="str">
            <v>HKD_HIBOR_EOD</v>
          </cell>
          <cell r="C343">
            <v>44444</v>
          </cell>
          <cell r="E343">
            <v>1.7448706710781699E-2</v>
          </cell>
        </row>
        <row r="344">
          <cell r="A344" t="str">
            <v>HKD_HIBOR_EOD</v>
          </cell>
          <cell r="C344">
            <v>44809</v>
          </cell>
          <cell r="E344">
            <v>1.87973091015614E-2</v>
          </cell>
        </row>
        <row r="345">
          <cell r="A345" t="str">
            <v>HKD_HIBOR_EOD</v>
          </cell>
          <cell r="C345">
            <v>45174</v>
          </cell>
          <cell r="E345">
            <v>1.9607464191413401E-2</v>
          </cell>
        </row>
        <row r="346">
          <cell r="A346" t="str">
            <v>HKD_HIBOR_EOD</v>
          </cell>
          <cell r="C346">
            <v>45539</v>
          </cell>
          <cell r="E346">
            <v>2.04146526294696E-2</v>
          </cell>
        </row>
        <row r="347">
          <cell r="A347" t="str">
            <v>HKD_HIBOR_EOD</v>
          </cell>
          <cell r="C347">
            <v>45904</v>
          </cell>
          <cell r="E347">
            <v>2.12218410675259E-2</v>
          </cell>
        </row>
        <row r="348">
          <cell r="A348" t="str">
            <v>HUF_BUBOR_EOD</v>
          </cell>
          <cell r="C348">
            <v>42255</v>
          </cell>
          <cell r="E348">
            <v>9.4290448753654599E-3</v>
          </cell>
        </row>
        <row r="349">
          <cell r="A349" t="str">
            <v>HUF_BUBOR_EOD</v>
          </cell>
          <cell r="C349">
            <v>42261</v>
          </cell>
          <cell r="E349">
            <v>1.1681230429780001E-2</v>
          </cell>
        </row>
        <row r="350">
          <cell r="A350" t="str">
            <v>HUF_BUBOR_EOD</v>
          </cell>
          <cell r="C350">
            <v>42284</v>
          </cell>
          <cell r="E350">
            <v>1.33417835726439E-2</v>
          </cell>
        </row>
        <row r="351">
          <cell r="A351" t="str">
            <v>HUF_BUBOR_EOD</v>
          </cell>
          <cell r="C351">
            <v>42314</v>
          </cell>
          <cell r="E351">
            <v>1.3525268644314701E-2</v>
          </cell>
        </row>
        <row r="352">
          <cell r="A352" t="str">
            <v>HUF_BUBOR_EOD</v>
          </cell>
          <cell r="C352">
            <v>42345</v>
          </cell>
          <cell r="E352">
            <v>1.3663002359575901E-2</v>
          </cell>
        </row>
        <row r="353">
          <cell r="A353" t="str">
            <v>HUF_BUBOR_EOD</v>
          </cell>
          <cell r="C353">
            <v>42436</v>
          </cell>
          <cell r="E353">
            <v>1.38637098331177E-2</v>
          </cell>
        </row>
        <row r="354">
          <cell r="A354" t="str">
            <v>HUF_BUBOR_EOD</v>
          </cell>
          <cell r="C354">
            <v>42527</v>
          </cell>
          <cell r="E354">
            <v>1.40139757836169E-2</v>
          </cell>
        </row>
        <row r="355">
          <cell r="A355" t="str">
            <v>HUF_BUBOR_EOD</v>
          </cell>
          <cell r="C355">
            <v>42619</v>
          </cell>
          <cell r="E355">
            <v>1.4177383876266001E-2</v>
          </cell>
        </row>
        <row r="356">
          <cell r="A356" t="str">
            <v>HUF_BUBOR_EOD</v>
          </cell>
          <cell r="C356">
            <v>42801</v>
          </cell>
          <cell r="E356">
            <v>1.4811808837030999E-2</v>
          </cell>
        </row>
        <row r="357">
          <cell r="A357" t="str">
            <v>HUF_BUBOR_EOD</v>
          </cell>
          <cell r="C357">
            <v>42984</v>
          </cell>
          <cell r="E357">
            <v>1.54549492129909E-2</v>
          </cell>
        </row>
        <row r="358">
          <cell r="A358" t="str">
            <v>HUF_BUBOR_EOD</v>
          </cell>
          <cell r="C358">
            <v>43349</v>
          </cell>
          <cell r="E358">
            <v>1.73536105951556E-2</v>
          </cell>
        </row>
        <row r="359">
          <cell r="A359" t="str">
            <v>HUF_BUBOR_EOD</v>
          </cell>
          <cell r="C359">
            <v>43714</v>
          </cell>
          <cell r="E359">
            <v>1.9626023376226299E-2</v>
          </cell>
        </row>
        <row r="360">
          <cell r="A360" t="str">
            <v>HUF_BUBOR_EOD</v>
          </cell>
          <cell r="C360">
            <v>44079</v>
          </cell>
          <cell r="E360">
            <v>2.2219121999537302E-2</v>
          </cell>
        </row>
        <row r="361">
          <cell r="A361" t="str">
            <v>HUF_BUBOR_EOD</v>
          </cell>
          <cell r="C361">
            <v>44444</v>
          </cell>
          <cell r="E361">
            <v>2.4910827025614701E-2</v>
          </cell>
        </row>
        <row r="362">
          <cell r="A362" t="str">
            <v>HUF_BUBOR_EOD</v>
          </cell>
          <cell r="C362">
            <v>44809</v>
          </cell>
          <cell r="E362">
            <v>2.7383846552762599E-2</v>
          </cell>
        </row>
        <row r="363">
          <cell r="A363" t="str">
            <v>HUF_BUBOR_EOD</v>
          </cell>
          <cell r="C363">
            <v>45174</v>
          </cell>
          <cell r="E363">
            <v>2.9562833651354301E-2</v>
          </cell>
        </row>
        <row r="364">
          <cell r="A364" t="str">
            <v>HUF_BUBOR_EOD</v>
          </cell>
          <cell r="C364">
            <v>45539</v>
          </cell>
          <cell r="E364">
            <v>3.1357214449006597E-2</v>
          </cell>
        </row>
        <row r="365">
          <cell r="A365" t="str">
            <v>HUF_BUBOR_EOD</v>
          </cell>
          <cell r="C365">
            <v>45904</v>
          </cell>
          <cell r="E365">
            <v>3.2663749478495999E-2</v>
          </cell>
        </row>
        <row r="366">
          <cell r="A366" t="str">
            <v>JPY_LIBOR_EOD</v>
          </cell>
          <cell r="C366">
            <v>42255</v>
          </cell>
          <cell r="E366">
            <v>3.2586374340064E-4</v>
          </cell>
        </row>
        <row r="367">
          <cell r="A367" t="str">
            <v>JPY_LIBOR_EOD</v>
          </cell>
          <cell r="C367">
            <v>42261</v>
          </cell>
          <cell r="E367">
            <v>3.5002744930246003E-4</v>
          </cell>
        </row>
        <row r="368">
          <cell r="A368" t="str">
            <v>JPY_LIBOR_EOD</v>
          </cell>
          <cell r="C368">
            <v>42284</v>
          </cell>
          <cell r="E368">
            <v>5.0983240357573999E-4</v>
          </cell>
        </row>
        <row r="369">
          <cell r="A369" t="str">
            <v>JPY_LIBOR_EOD</v>
          </cell>
          <cell r="C369">
            <v>42314</v>
          </cell>
          <cell r="E369">
            <v>7.4402070153141995E-4</v>
          </cell>
        </row>
        <row r="370">
          <cell r="A370" t="str">
            <v>JPY_LIBOR_EOD</v>
          </cell>
          <cell r="C370">
            <v>42345</v>
          </cell>
          <cell r="E370">
            <v>8.6449300402858002E-4</v>
          </cell>
        </row>
        <row r="371">
          <cell r="A371" t="str">
            <v>JPY_LIBOR_EOD</v>
          </cell>
          <cell r="C371">
            <v>42436</v>
          </cell>
          <cell r="E371">
            <v>1.30570235559466E-3</v>
          </cell>
        </row>
        <row r="372">
          <cell r="A372" t="str">
            <v>JPY_LIBOR_EOD</v>
          </cell>
          <cell r="C372">
            <v>42527</v>
          </cell>
          <cell r="E372">
            <v>1.2631350115145201E-3</v>
          </cell>
        </row>
        <row r="373">
          <cell r="A373" t="str">
            <v>JPY_LIBOR_EOD</v>
          </cell>
          <cell r="C373">
            <v>42619</v>
          </cell>
          <cell r="E373">
            <v>1.2090445906345101E-3</v>
          </cell>
        </row>
        <row r="374">
          <cell r="A374" t="str">
            <v>JPY_LIBOR_EOD</v>
          </cell>
          <cell r="C374">
            <v>42801</v>
          </cell>
          <cell r="E374">
            <v>1.17806002930763E-3</v>
          </cell>
        </row>
        <row r="375">
          <cell r="A375" t="str">
            <v>JPY_LIBOR_EOD</v>
          </cell>
          <cell r="C375">
            <v>42984</v>
          </cell>
          <cell r="E375">
            <v>1.14818630855002E-3</v>
          </cell>
        </row>
        <row r="376">
          <cell r="A376" t="str">
            <v>JPY_LIBOR_EOD</v>
          </cell>
          <cell r="C376">
            <v>43349</v>
          </cell>
          <cell r="E376">
            <v>1.2849816163223401E-3</v>
          </cell>
        </row>
        <row r="377">
          <cell r="A377" t="str">
            <v>JPY_LIBOR_EOD</v>
          </cell>
          <cell r="C377">
            <v>43714</v>
          </cell>
          <cell r="E377">
            <v>1.62076249350582E-3</v>
          </cell>
        </row>
        <row r="378">
          <cell r="A378" t="str">
            <v>JPY_LIBOR_EOD</v>
          </cell>
          <cell r="C378">
            <v>44079</v>
          </cell>
          <cell r="E378">
            <v>2.1071928657987798E-3</v>
          </cell>
        </row>
        <row r="379">
          <cell r="A379" t="str">
            <v>JPY_LIBOR_EOD</v>
          </cell>
          <cell r="C379">
            <v>44444</v>
          </cell>
          <cell r="E379">
            <v>2.6782125383150099E-3</v>
          </cell>
        </row>
        <row r="380">
          <cell r="A380" t="str">
            <v>JPY_LIBOR_EOD</v>
          </cell>
          <cell r="C380">
            <v>44809</v>
          </cell>
          <cell r="E380">
            <v>3.29772713488148E-3</v>
          </cell>
        </row>
        <row r="381">
          <cell r="A381" t="str">
            <v>JPY_LIBOR_EOD</v>
          </cell>
          <cell r="C381">
            <v>45174</v>
          </cell>
          <cell r="E381">
            <v>3.9522344863274399E-3</v>
          </cell>
        </row>
        <row r="382">
          <cell r="A382" t="str">
            <v>JPY_LIBOR_EOD</v>
          </cell>
          <cell r="C382">
            <v>45539</v>
          </cell>
          <cell r="E382">
            <v>4.6197348696034304E-3</v>
          </cell>
        </row>
        <row r="383">
          <cell r="A383" t="str">
            <v>JPY_LIBOR_EOD</v>
          </cell>
          <cell r="C383">
            <v>45904</v>
          </cell>
          <cell r="E383">
            <v>5.3358357969752104E-3</v>
          </cell>
        </row>
        <row r="384">
          <cell r="A384" t="str">
            <v>JPY_LIBOR_EOD</v>
          </cell>
          <cell r="C384">
            <v>46634</v>
          </cell>
          <cell r="E384">
            <v>6.8042069453146496E-3</v>
          </cell>
        </row>
        <row r="385">
          <cell r="A385" t="str">
            <v>JPY_LIBOR_EOD</v>
          </cell>
          <cell r="C385">
            <v>47729</v>
          </cell>
          <cell r="E385">
            <v>9.0458802372484007E-3</v>
          </cell>
        </row>
        <row r="386">
          <cell r="A386" t="str">
            <v>JPY_LIBOR_EOD</v>
          </cell>
          <cell r="C386">
            <v>49554</v>
          </cell>
          <cell r="E386">
            <v>1.20215343314413E-2</v>
          </cell>
        </row>
        <row r="387">
          <cell r="A387" t="str">
            <v>JPY_LIBOR_EOD</v>
          </cell>
          <cell r="C387">
            <v>51379</v>
          </cell>
          <cell r="E387">
            <v>1.37061553840213E-2</v>
          </cell>
        </row>
        <row r="388">
          <cell r="A388" t="str">
            <v>JPY_LIBOR_EOD</v>
          </cell>
          <cell r="C388">
            <v>53204</v>
          </cell>
          <cell r="E388">
            <v>1.46478552997103E-2</v>
          </cell>
        </row>
        <row r="389">
          <cell r="A389" t="str">
            <v>JPY_LIBOR_EOD</v>
          </cell>
          <cell r="C389">
            <v>56854</v>
          </cell>
          <cell r="E389">
            <v>1.61588720509768E-2</v>
          </cell>
        </row>
        <row r="390">
          <cell r="A390" t="str">
            <v>JPY_TONA_EOD</v>
          </cell>
          <cell r="C390">
            <v>42255</v>
          </cell>
          <cell r="E390">
            <v>7.4999922944803002E-4</v>
          </cell>
        </row>
        <row r="391">
          <cell r="A391" t="str">
            <v>JPY_TONA_EOD</v>
          </cell>
          <cell r="C391">
            <v>42261</v>
          </cell>
          <cell r="E391">
            <v>7.3277468135655001E-4</v>
          </cell>
        </row>
        <row r="392">
          <cell r="A392" t="str">
            <v>JPY_TONA_EOD</v>
          </cell>
          <cell r="C392">
            <v>42268</v>
          </cell>
          <cell r="E392">
            <v>7.1981315994452998E-4</v>
          </cell>
        </row>
        <row r="393">
          <cell r="A393" t="str">
            <v>JPY_TONA_EOD</v>
          </cell>
          <cell r="C393">
            <v>42275</v>
          </cell>
          <cell r="E393">
            <v>7.1081813073572996E-4</v>
          </cell>
        </row>
        <row r="394">
          <cell r="A394" t="str">
            <v>JPY_TONA_EOD</v>
          </cell>
          <cell r="C394">
            <v>42284</v>
          </cell>
          <cell r="E394">
            <v>7.3630662649080004E-4</v>
          </cell>
        </row>
        <row r="395">
          <cell r="A395" t="str">
            <v>JPY_TONA_EOD</v>
          </cell>
          <cell r="C395">
            <v>42314</v>
          </cell>
          <cell r="E395">
            <v>7.1705798356896E-4</v>
          </cell>
        </row>
        <row r="396">
          <cell r="A396" t="str">
            <v>JPY_TONA_EOD</v>
          </cell>
          <cell r="C396">
            <v>42345</v>
          </cell>
          <cell r="E396">
            <v>7.0189002125653E-4</v>
          </cell>
        </row>
        <row r="397">
          <cell r="A397" t="str">
            <v>JPY_TONA_EOD</v>
          </cell>
          <cell r="C397">
            <v>42375</v>
          </cell>
          <cell r="E397">
            <v>6.9589744203378003E-4</v>
          </cell>
        </row>
        <row r="398">
          <cell r="A398" t="str">
            <v>JPY_TONA_EOD</v>
          </cell>
          <cell r="C398">
            <v>42406</v>
          </cell>
          <cell r="E398">
            <v>6.8935550655936E-4</v>
          </cell>
        </row>
        <row r="399">
          <cell r="A399" t="str">
            <v>JPY_TONA_EOD</v>
          </cell>
          <cell r="C399">
            <v>42436</v>
          </cell>
          <cell r="E399">
            <v>6.6555208244334005E-4</v>
          </cell>
        </row>
        <row r="400">
          <cell r="A400" t="str">
            <v>JPY_TONA_EOD</v>
          </cell>
          <cell r="C400">
            <v>42466</v>
          </cell>
          <cell r="E400">
            <v>6.4437052763219999E-4</v>
          </cell>
        </row>
        <row r="401">
          <cell r="A401" t="str">
            <v>JPY_TONA_EOD</v>
          </cell>
          <cell r="C401">
            <v>42497</v>
          </cell>
          <cell r="E401">
            <v>6.2410921329390996E-4</v>
          </cell>
        </row>
        <row r="402">
          <cell r="A402" t="str">
            <v>JPY_TONA_EOD</v>
          </cell>
          <cell r="C402">
            <v>42527</v>
          </cell>
          <cell r="E402">
            <v>6.2547554935456998E-4</v>
          </cell>
        </row>
        <row r="403">
          <cell r="A403" t="str">
            <v>JPY_TONA_EOD</v>
          </cell>
          <cell r="C403">
            <v>42558</v>
          </cell>
          <cell r="E403">
            <v>6.2131864064653998E-4</v>
          </cell>
        </row>
        <row r="404">
          <cell r="A404" t="str">
            <v>JPY_TONA_EOD</v>
          </cell>
          <cell r="C404">
            <v>42588</v>
          </cell>
          <cell r="E404">
            <v>5.8497569564782E-4</v>
          </cell>
        </row>
        <row r="405">
          <cell r="A405" t="str">
            <v>JPY_TONA_EOD</v>
          </cell>
          <cell r="C405">
            <v>42619</v>
          </cell>
          <cell r="E405">
            <v>5.7178484839345996E-4</v>
          </cell>
        </row>
        <row r="406">
          <cell r="A406" t="str">
            <v>JPY_TONA_EOD</v>
          </cell>
          <cell r="C406">
            <v>42710</v>
          </cell>
          <cell r="E406">
            <v>5.3864682196467996E-4</v>
          </cell>
        </row>
        <row r="407">
          <cell r="A407" t="str">
            <v>JPY_TONA_EOD</v>
          </cell>
          <cell r="C407">
            <v>42801</v>
          </cell>
          <cell r="E407">
            <v>5.0538407625668998E-4</v>
          </cell>
        </row>
        <row r="408">
          <cell r="A408" t="str">
            <v>JPY_TONA_EOD</v>
          </cell>
          <cell r="C408">
            <v>42892</v>
          </cell>
          <cell r="E408">
            <v>4.9295131738673998E-4</v>
          </cell>
        </row>
        <row r="409">
          <cell r="A409" t="str">
            <v>JPY_TONA_EOD</v>
          </cell>
          <cell r="C409">
            <v>42984</v>
          </cell>
          <cell r="E409">
            <v>4.8085516822647998E-4</v>
          </cell>
        </row>
        <row r="410">
          <cell r="A410" t="str">
            <v>JPY_TONA_EOD</v>
          </cell>
          <cell r="C410">
            <v>43349</v>
          </cell>
          <cell r="E410">
            <v>5.2601842213780003E-4</v>
          </cell>
        </row>
        <row r="411">
          <cell r="A411" t="str">
            <v>JPY_TONA_EOD</v>
          </cell>
          <cell r="C411">
            <v>43714</v>
          </cell>
          <cell r="E411">
            <v>7.8218649765963001E-4</v>
          </cell>
        </row>
        <row r="412">
          <cell r="A412" t="str">
            <v>JPY_TONA_EOD</v>
          </cell>
          <cell r="C412">
            <v>44079</v>
          </cell>
          <cell r="E412">
            <v>1.17934315278806E-3</v>
          </cell>
        </row>
        <row r="413">
          <cell r="A413" t="str">
            <v>JPY_TONA_EOD</v>
          </cell>
          <cell r="C413">
            <v>44444</v>
          </cell>
          <cell r="E413">
            <v>1.65253645674481E-3</v>
          </cell>
        </row>
        <row r="414">
          <cell r="A414" t="str">
            <v>JPY_TONA_EOD</v>
          </cell>
          <cell r="C414">
            <v>44809</v>
          </cell>
          <cell r="E414">
            <v>2.17858588550154E-3</v>
          </cell>
        </row>
        <row r="415">
          <cell r="A415" t="str">
            <v>JPY_TONA_EOD</v>
          </cell>
          <cell r="C415">
            <v>45174</v>
          </cell>
          <cell r="E415">
            <v>2.74219488764344E-3</v>
          </cell>
        </row>
        <row r="416">
          <cell r="A416" t="str">
            <v>JPY_TONA_EOD</v>
          </cell>
          <cell r="C416">
            <v>45539</v>
          </cell>
          <cell r="E416">
            <v>3.3249126241504099E-3</v>
          </cell>
        </row>
        <row r="417">
          <cell r="A417" t="str">
            <v>JPY_TONA_EOD</v>
          </cell>
          <cell r="C417">
            <v>45904</v>
          </cell>
          <cell r="E417">
            <v>3.9568658586179202E-3</v>
          </cell>
        </row>
        <row r="418">
          <cell r="A418" t="str">
            <v>JPY_TONA_EOD</v>
          </cell>
          <cell r="C418">
            <v>46634</v>
          </cell>
          <cell r="E418">
            <v>5.2982605709606103E-3</v>
          </cell>
        </row>
        <row r="419">
          <cell r="A419" t="str">
            <v>JPY_TONA_EOD</v>
          </cell>
          <cell r="C419">
            <v>47729</v>
          </cell>
          <cell r="E419">
            <v>7.5024786917619003E-3</v>
          </cell>
        </row>
        <row r="420">
          <cell r="A420" t="str">
            <v>JPY_TONA_EOD</v>
          </cell>
          <cell r="C420">
            <v>49554</v>
          </cell>
          <cell r="E420">
            <v>1.04384636842959E-2</v>
          </cell>
        </row>
        <row r="421">
          <cell r="A421" t="str">
            <v>JPY_TONA_EOD</v>
          </cell>
          <cell r="C421">
            <v>51379</v>
          </cell>
          <cell r="E421">
            <v>1.2102947119233201E-2</v>
          </cell>
        </row>
        <row r="422">
          <cell r="A422" t="str">
            <v>JPY_TONA_EOD</v>
          </cell>
          <cell r="C422">
            <v>53204</v>
          </cell>
          <cell r="E422">
            <v>1.30353119258625E-2</v>
          </cell>
        </row>
        <row r="423">
          <cell r="A423" t="str">
            <v>JPY_TONA_EOD</v>
          </cell>
          <cell r="C423">
            <v>55029</v>
          </cell>
          <cell r="E423">
            <v>1.36806097596188E-2</v>
          </cell>
        </row>
        <row r="424">
          <cell r="A424" t="str">
            <v>JPY_TONA_EOD</v>
          </cell>
          <cell r="C424">
            <v>56854</v>
          </cell>
          <cell r="E424">
            <v>1.43240340310146E-2</v>
          </cell>
        </row>
        <row r="425">
          <cell r="A425" t="str">
            <v>JPY_TONA_EOD</v>
          </cell>
          <cell r="C425">
            <v>58679</v>
          </cell>
          <cell r="E425">
            <v>1.43282647659498E-2</v>
          </cell>
        </row>
        <row r="426">
          <cell r="A426" t="str">
            <v>JPY_TONA_EOD</v>
          </cell>
          <cell r="C426">
            <v>60504</v>
          </cell>
          <cell r="E426">
            <v>1.43282647659498E-2</v>
          </cell>
        </row>
        <row r="427">
          <cell r="A427" t="str">
            <v>MXN_TIIE_EOD</v>
          </cell>
          <cell r="C427">
            <v>42255</v>
          </cell>
          <cell r="E427">
            <v>3.5630012545155999E-2</v>
          </cell>
        </row>
        <row r="428">
          <cell r="A428" t="str">
            <v>MXN_TIIE_EOD</v>
          </cell>
          <cell r="C428">
            <v>42261</v>
          </cell>
          <cell r="E428">
            <v>3.5630012545155999E-2</v>
          </cell>
        </row>
        <row r="429">
          <cell r="A429" t="str">
            <v>MXN_TIIE_EOD</v>
          </cell>
          <cell r="C429">
            <v>42284</v>
          </cell>
          <cell r="E429">
            <v>3.5630012545155999E-2</v>
          </cell>
        </row>
        <row r="430">
          <cell r="A430" t="str">
            <v>MXN_TIIE_EOD</v>
          </cell>
          <cell r="C430">
            <v>42314</v>
          </cell>
          <cell r="E430">
            <v>3.5630012545155999E-2</v>
          </cell>
        </row>
        <row r="431">
          <cell r="A431" t="str">
            <v>MXN_TIIE_EOD</v>
          </cell>
          <cell r="C431">
            <v>42345</v>
          </cell>
          <cell r="E431">
            <v>3.5760599000885997E-2</v>
          </cell>
        </row>
        <row r="432">
          <cell r="A432" t="str">
            <v>MXN_TIIE_EOD</v>
          </cell>
          <cell r="C432">
            <v>42436</v>
          </cell>
          <cell r="E432">
            <v>3.7678582929556899E-2</v>
          </cell>
        </row>
        <row r="433">
          <cell r="A433" t="str">
            <v>MXN_TIIE_EOD</v>
          </cell>
          <cell r="C433">
            <v>42527</v>
          </cell>
          <cell r="E433">
            <v>3.9210646353881398E-2</v>
          </cell>
        </row>
        <row r="434">
          <cell r="A434" t="str">
            <v>MXN_TIIE_EOD</v>
          </cell>
          <cell r="C434">
            <v>42619</v>
          </cell>
          <cell r="E434">
            <v>4.07220167699602E-2</v>
          </cell>
        </row>
        <row r="435">
          <cell r="A435" t="str">
            <v>MXN_TIIE_EOD</v>
          </cell>
          <cell r="C435">
            <v>42801</v>
          </cell>
          <cell r="E435">
            <v>4.3100233158182899E-2</v>
          </cell>
        </row>
        <row r="436">
          <cell r="A436" t="str">
            <v>MXN_TIIE_EOD</v>
          </cell>
          <cell r="C436">
            <v>42984</v>
          </cell>
          <cell r="E436">
            <v>4.5490709438654402E-2</v>
          </cell>
        </row>
        <row r="437">
          <cell r="A437" t="str">
            <v>MXN_TIIE_EOD</v>
          </cell>
          <cell r="C437">
            <v>43349</v>
          </cell>
          <cell r="E437">
            <v>4.9962889988743001E-2</v>
          </cell>
        </row>
        <row r="438">
          <cell r="A438" t="str">
            <v>MXN_TIIE_EOD</v>
          </cell>
          <cell r="C438">
            <v>43714</v>
          </cell>
          <cell r="E438">
            <v>5.3943256636492201E-2</v>
          </cell>
        </row>
        <row r="439">
          <cell r="A439" t="str">
            <v>MXN_TIIE_EOD</v>
          </cell>
          <cell r="C439">
            <v>44079</v>
          </cell>
          <cell r="E439">
            <v>5.7267352467268599E-2</v>
          </cell>
        </row>
        <row r="440">
          <cell r="A440" t="str">
            <v>MXN_TIIE_EOD</v>
          </cell>
          <cell r="C440">
            <v>44444</v>
          </cell>
          <cell r="E440">
            <v>5.9864848365901599E-2</v>
          </cell>
        </row>
        <row r="441">
          <cell r="A441" t="str">
            <v>MXN_TIIE_EOD</v>
          </cell>
          <cell r="C441">
            <v>44809</v>
          </cell>
          <cell r="E441">
            <v>6.2448669114981203E-2</v>
          </cell>
        </row>
        <row r="442">
          <cell r="A442" t="str">
            <v>MXN_TIIE_EOD</v>
          </cell>
          <cell r="C442">
            <v>45174</v>
          </cell>
          <cell r="E442">
            <v>6.4214260082446503E-2</v>
          </cell>
        </row>
        <row r="443">
          <cell r="A443" t="str">
            <v>MXN_TIIE_EOD</v>
          </cell>
          <cell r="C443">
            <v>45539</v>
          </cell>
          <cell r="E443">
            <v>6.5979851049911803E-2</v>
          </cell>
        </row>
        <row r="444">
          <cell r="A444" t="str">
            <v>MXN_TIIE_EOD</v>
          </cell>
          <cell r="C444">
            <v>45904</v>
          </cell>
          <cell r="E444">
            <v>6.7732424088595006E-2</v>
          </cell>
        </row>
        <row r="445">
          <cell r="A445" t="str">
            <v>MXN_TIIE_EOD</v>
          </cell>
          <cell r="C445">
            <v>46634</v>
          </cell>
          <cell r="E445">
            <v>7.0207707355645799E-2</v>
          </cell>
        </row>
        <row r="446">
          <cell r="A446" t="str">
            <v>MXN_TIIE_EOD</v>
          </cell>
          <cell r="C446">
            <v>47729</v>
          </cell>
          <cell r="E446">
            <v>7.3902069062376896E-2</v>
          </cell>
        </row>
        <row r="447">
          <cell r="A447" t="str">
            <v>MXN_TIIE_EOD</v>
          </cell>
          <cell r="C447">
            <v>49554</v>
          </cell>
          <cell r="E447">
            <v>7.7654118221986895E-2</v>
          </cell>
        </row>
        <row r="448">
          <cell r="A448" t="str">
            <v>NOK_NIBOR_EOD</v>
          </cell>
          <cell r="C448">
            <v>42255</v>
          </cell>
          <cell r="E448">
            <v>1.01387480735807E-2</v>
          </cell>
        </row>
        <row r="449">
          <cell r="A449" t="str">
            <v>NOK_NIBOR_EOD</v>
          </cell>
          <cell r="C449">
            <v>42261</v>
          </cell>
          <cell r="E449">
            <v>1.0926694962705701E-2</v>
          </cell>
        </row>
        <row r="450">
          <cell r="A450" t="str">
            <v>NOK_NIBOR_EOD</v>
          </cell>
          <cell r="C450">
            <v>42284</v>
          </cell>
          <cell r="E450">
            <v>1.13584049631285E-2</v>
          </cell>
        </row>
        <row r="451">
          <cell r="A451" t="str">
            <v>NOK_NIBOR_EOD</v>
          </cell>
          <cell r="C451">
            <v>42314</v>
          </cell>
          <cell r="E451">
            <v>1.1489604053797901E-2</v>
          </cell>
        </row>
        <row r="452">
          <cell r="A452" t="str">
            <v>NOK_NIBOR_EOD</v>
          </cell>
          <cell r="C452">
            <v>42345</v>
          </cell>
          <cell r="E452">
            <v>1.16955882026889E-2</v>
          </cell>
        </row>
        <row r="453">
          <cell r="A453" t="str">
            <v>NOK_NIBOR_EOD</v>
          </cell>
          <cell r="C453">
            <v>42436</v>
          </cell>
          <cell r="E453">
            <v>1.08840522740439E-2</v>
          </cell>
        </row>
        <row r="454">
          <cell r="A454" t="str">
            <v>NOK_NIBOR_EOD</v>
          </cell>
          <cell r="C454">
            <v>42527</v>
          </cell>
          <cell r="E454">
            <v>1.02073925510057E-2</v>
          </cell>
        </row>
        <row r="455">
          <cell r="A455" t="str">
            <v>NOK_NIBOR_EOD</v>
          </cell>
          <cell r="C455">
            <v>42619</v>
          </cell>
          <cell r="E455">
            <v>9.7961397504754202E-3</v>
          </cell>
        </row>
        <row r="456">
          <cell r="A456" t="str">
            <v>NOK_NIBOR_EOD</v>
          </cell>
          <cell r="C456">
            <v>42801</v>
          </cell>
          <cell r="E456">
            <v>9.6935562242192307E-3</v>
          </cell>
        </row>
        <row r="457">
          <cell r="A457" t="str">
            <v>NOK_NIBOR_EOD</v>
          </cell>
          <cell r="C457">
            <v>42984</v>
          </cell>
          <cell r="E457">
            <v>1.01439752081311E-2</v>
          </cell>
        </row>
        <row r="458">
          <cell r="A458" t="str">
            <v>NOK_NIBOR_EOD</v>
          </cell>
          <cell r="C458">
            <v>43349</v>
          </cell>
          <cell r="E458">
            <v>1.0972657859381601E-2</v>
          </cell>
        </row>
        <row r="459">
          <cell r="A459" t="str">
            <v>NOK_NIBOR_EOD</v>
          </cell>
          <cell r="C459">
            <v>43714</v>
          </cell>
          <cell r="E459">
            <v>1.2276803378050901E-2</v>
          </cell>
        </row>
        <row r="460">
          <cell r="A460" t="str">
            <v>NOK_NIBOR_EOD</v>
          </cell>
          <cell r="C460">
            <v>44079</v>
          </cell>
          <cell r="E460">
            <v>1.38343460715506E-2</v>
          </cell>
        </row>
        <row r="461">
          <cell r="A461" t="str">
            <v>NOK_NIBOR_EOD</v>
          </cell>
          <cell r="C461">
            <v>44444</v>
          </cell>
          <cell r="E461">
            <v>1.5424341038196201E-2</v>
          </cell>
        </row>
        <row r="462">
          <cell r="A462" t="str">
            <v>NOK_NIBOR_EOD</v>
          </cell>
          <cell r="C462">
            <v>44809</v>
          </cell>
          <cell r="E462">
            <v>1.6913505982837699E-2</v>
          </cell>
        </row>
        <row r="463">
          <cell r="A463" t="str">
            <v>NOK_NIBOR_EOD</v>
          </cell>
          <cell r="C463">
            <v>45174</v>
          </cell>
          <cell r="E463">
            <v>1.8210292167967601E-2</v>
          </cell>
        </row>
        <row r="464">
          <cell r="A464" t="str">
            <v>NOK_NIBOR_EOD</v>
          </cell>
          <cell r="C464">
            <v>45539</v>
          </cell>
          <cell r="E464">
            <v>1.9327659873513699E-2</v>
          </cell>
        </row>
        <row r="465">
          <cell r="A465" t="str">
            <v>NOK_NIBOR_EOD</v>
          </cell>
          <cell r="C465">
            <v>45904</v>
          </cell>
          <cell r="E465">
            <v>2.0265192071605299E-2</v>
          </cell>
        </row>
        <row r="466">
          <cell r="A466" t="str">
            <v>NOK_NIBOR_EOD</v>
          </cell>
          <cell r="C466">
            <v>46634</v>
          </cell>
          <cell r="E466">
            <v>2.1461576150461101E-2</v>
          </cell>
        </row>
        <row r="467">
          <cell r="A467" t="str">
            <v>NOK_NIBOR_EOD</v>
          </cell>
          <cell r="C467">
            <v>47729</v>
          </cell>
          <cell r="E467">
            <v>2.2181036337599699E-2</v>
          </cell>
        </row>
        <row r="468">
          <cell r="A468" t="str">
            <v>NOK_NIBOR_EOD</v>
          </cell>
          <cell r="C468">
            <v>49554</v>
          </cell>
          <cell r="E468">
            <v>2.29887998053252E-2</v>
          </cell>
        </row>
        <row r="469">
          <cell r="A469" t="str">
            <v>NOK_NIBOR_EOD</v>
          </cell>
          <cell r="C469">
            <v>51379</v>
          </cell>
          <cell r="E469">
            <v>2.30714043706251E-2</v>
          </cell>
        </row>
        <row r="470">
          <cell r="A470" t="str">
            <v>NOK_NIBOR_EOD</v>
          </cell>
          <cell r="C470">
            <v>53204</v>
          </cell>
          <cell r="E470">
            <v>2.29249742682026E-2</v>
          </cell>
        </row>
        <row r="471">
          <cell r="A471" t="str">
            <v>NZD_BKBM_EOD</v>
          </cell>
          <cell r="C471">
            <v>42255</v>
          </cell>
          <cell r="E471">
            <v>2.9998767190878399E-2</v>
          </cell>
        </row>
        <row r="472">
          <cell r="A472" t="str">
            <v>NZD_BKBM_EOD</v>
          </cell>
          <cell r="C472">
            <v>42261</v>
          </cell>
          <cell r="E472">
            <v>2.98673064749304E-2</v>
          </cell>
        </row>
        <row r="473">
          <cell r="A473" t="str">
            <v>NZD_BKBM_EOD</v>
          </cell>
          <cell r="C473">
            <v>42284</v>
          </cell>
          <cell r="E473">
            <v>2.9364535476565201E-2</v>
          </cell>
        </row>
        <row r="474">
          <cell r="A474" t="str">
            <v>NZD_BKBM_EOD</v>
          </cell>
          <cell r="C474">
            <v>42314</v>
          </cell>
          <cell r="E474">
            <v>2.9080446802649498E-2</v>
          </cell>
        </row>
        <row r="475">
          <cell r="A475" t="str">
            <v>NZD_BKBM_EOD</v>
          </cell>
          <cell r="C475">
            <v>42345</v>
          </cell>
          <cell r="E475">
            <v>2.87467395839924E-2</v>
          </cell>
        </row>
        <row r="476">
          <cell r="A476" t="str">
            <v>NZD_BKBM_EOD</v>
          </cell>
          <cell r="C476">
            <v>42436</v>
          </cell>
          <cell r="E476">
            <v>2.8250092140933498E-2</v>
          </cell>
        </row>
        <row r="477">
          <cell r="A477" t="str">
            <v>NZD_BKBM_EOD</v>
          </cell>
          <cell r="C477">
            <v>42527</v>
          </cell>
          <cell r="E477">
            <v>2.7864077281940999E-2</v>
          </cell>
        </row>
        <row r="478">
          <cell r="A478" t="str">
            <v>NZD_BKBM_EOD</v>
          </cell>
          <cell r="C478">
            <v>42619</v>
          </cell>
          <cell r="E478">
            <v>2.7473820501421099E-2</v>
          </cell>
        </row>
        <row r="479">
          <cell r="A479" t="str">
            <v>NZD_BKBM_EOD</v>
          </cell>
          <cell r="C479">
            <v>42801</v>
          </cell>
          <cell r="E479">
            <v>2.7657326638491499E-2</v>
          </cell>
        </row>
        <row r="480">
          <cell r="A480" t="str">
            <v>NZD_BKBM_EOD</v>
          </cell>
          <cell r="C480">
            <v>42984</v>
          </cell>
          <cell r="E480">
            <v>2.78471492612727E-2</v>
          </cell>
        </row>
        <row r="481">
          <cell r="A481" t="str">
            <v>NZD_BKBM_EOD</v>
          </cell>
          <cell r="C481">
            <v>43349</v>
          </cell>
          <cell r="E481">
            <v>2.8759390111650001E-2</v>
          </cell>
        </row>
        <row r="482">
          <cell r="A482" t="str">
            <v>NZD_BKBM_EOD</v>
          </cell>
          <cell r="C482">
            <v>43714</v>
          </cell>
          <cell r="E482">
            <v>2.9932591385493802E-2</v>
          </cell>
        </row>
        <row r="483">
          <cell r="A483" t="str">
            <v>NZD_BKBM_EOD</v>
          </cell>
          <cell r="C483">
            <v>44079</v>
          </cell>
          <cell r="E483">
            <v>3.1235624813559799E-2</v>
          </cell>
        </row>
        <row r="484">
          <cell r="A484" t="str">
            <v>NZD_BKBM_EOD</v>
          </cell>
          <cell r="C484">
            <v>44444</v>
          </cell>
          <cell r="E484">
            <v>3.24297356357654E-2</v>
          </cell>
        </row>
        <row r="485">
          <cell r="A485" t="str">
            <v>NZD_BKBM_EOD</v>
          </cell>
          <cell r="C485">
            <v>44809</v>
          </cell>
          <cell r="E485">
            <v>3.3623240437833497E-2</v>
          </cell>
        </row>
        <row r="486">
          <cell r="A486" t="str">
            <v>NZD_BKBM_EOD</v>
          </cell>
          <cell r="C486">
            <v>45174</v>
          </cell>
          <cell r="E486">
            <v>3.4546643161458702E-2</v>
          </cell>
        </row>
        <row r="487">
          <cell r="A487" t="str">
            <v>NZD_BKBM_EOD</v>
          </cell>
          <cell r="C487">
            <v>45539</v>
          </cell>
          <cell r="E487">
            <v>3.5468557719362498E-2</v>
          </cell>
        </row>
        <row r="488">
          <cell r="A488" t="str">
            <v>NZD_BKBM_EOD</v>
          </cell>
          <cell r="C488">
            <v>45904</v>
          </cell>
          <cell r="E488">
            <v>3.63904722772663E-2</v>
          </cell>
        </row>
        <row r="489">
          <cell r="A489" t="str">
            <v>NZD_BKBM_EOD</v>
          </cell>
          <cell r="C489">
            <v>46634</v>
          </cell>
          <cell r="E489">
            <v>3.7874414605409697E-2</v>
          </cell>
        </row>
        <row r="490">
          <cell r="A490" t="str">
            <v>NZD_BKBM_EOD</v>
          </cell>
          <cell r="C490">
            <v>47729</v>
          </cell>
          <cell r="E490">
            <v>3.9544895896120598E-2</v>
          </cell>
        </row>
        <row r="491">
          <cell r="A491" t="str">
            <v>NZD_BKBM_EOD</v>
          </cell>
          <cell r="C491">
            <v>49554</v>
          </cell>
          <cell r="E491">
            <v>4.11624896139954E-2</v>
          </cell>
        </row>
        <row r="492">
          <cell r="A492" t="str">
            <v>PLN_WIBOR_EOD</v>
          </cell>
          <cell r="C492">
            <v>42255</v>
          </cell>
          <cell r="E492">
            <v>1.49996917892309E-2</v>
          </cell>
        </row>
        <row r="493">
          <cell r="A493" t="str">
            <v>PLN_WIBOR_EOD</v>
          </cell>
          <cell r="C493">
            <v>42261</v>
          </cell>
          <cell r="E493">
            <v>1.57206701388392E-2</v>
          </cell>
        </row>
        <row r="494">
          <cell r="A494" t="str">
            <v>PLN_WIBOR_EOD</v>
          </cell>
          <cell r="C494">
            <v>42284</v>
          </cell>
          <cell r="E494">
            <v>1.6447607487558399E-2</v>
          </cell>
        </row>
        <row r="495">
          <cell r="A495" t="str">
            <v>PLN_WIBOR_EOD</v>
          </cell>
          <cell r="C495">
            <v>42314</v>
          </cell>
          <cell r="E495">
            <v>1.6796496337367801E-2</v>
          </cell>
        </row>
        <row r="496">
          <cell r="A496" t="str">
            <v>PLN_WIBOR_EOD</v>
          </cell>
          <cell r="C496">
            <v>42345</v>
          </cell>
          <cell r="E496">
            <v>1.70975456833013E-2</v>
          </cell>
        </row>
        <row r="497">
          <cell r="A497" t="str">
            <v>PLN_WIBOR_EOD</v>
          </cell>
          <cell r="C497">
            <v>42436</v>
          </cell>
          <cell r="E497">
            <v>1.6868268020756499E-2</v>
          </cell>
        </row>
        <row r="498">
          <cell r="A498" t="str">
            <v>PLN_WIBOR_EOD</v>
          </cell>
          <cell r="C498">
            <v>42527</v>
          </cell>
          <cell r="E498">
            <v>1.6558066258513301E-2</v>
          </cell>
        </row>
        <row r="499">
          <cell r="A499" t="str">
            <v>PLN_WIBOR_EOD</v>
          </cell>
          <cell r="C499">
            <v>42619</v>
          </cell>
          <cell r="E499">
            <v>1.6362367183853099E-2</v>
          </cell>
        </row>
        <row r="500">
          <cell r="A500" t="str">
            <v>PLN_WIBOR_EOD</v>
          </cell>
          <cell r="C500">
            <v>42801</v>
          </cell>
          <cell r="E500">
            <v>1.66969425553746E-2</v>
          </cell>
        </row>
        <row r="501">
          <cell r="A501" t="str">
            <v>PLN_WIBOR_EOD</v>
          </cell>
          <cell r="C501">
            <v>42984</v>
          </cell>
          <cell r="E501">
            <v>1.7045384630838701E-2</v>
          </cell>
        </row>
        <row r="502">
          <cell r="A502" t="str">
            <v>PLN_WIBOR_EOD</v>
          </cell>
          <cell r="C502">
            <v>43349</v>
          </cell>
          <cell r="E502">
            <v>1.8338058689303601E-2</v>
          </cell>
        </row>
        <row r="503">
          <cell r="A503" t="str">
            <v>PLN_WIBOR_EOD</v>
          </cell>
          <cell r="C503">
            <v>43714</v>
          </cell>
          <cell r="E503">
            <v>1.9837266511152099E-2</v>
          </cell>
        </row>
        <row r="504">
          <cell r="A504" t="str">
            <v>PLN_WIBOR_EOD</v>
          </cell>
          <cell r="C504">
            <v>44079</v>
          </cell>
          <cell r="E504">
            <v>2.1250144156121101E-2</v>
          </cell>
        </row>
        <row r="505">
          <cell r="A505" t="str">
            <v>PLN_WIBOR_EOD</v>
          </cell>
          <cell r="C505">
            <v>44444</v>
          </cell>
          <cell r="E505">
            <v>2.2592219977211701E-2</v>
          </cell>
        </row>
        <row r="506">
          <cell r="A506" t="str">
            <v>PLN_WIBOR_EOD</v>
          </cell>
          <cell r="C506">
            <v>44809</v>
          </cell>
          <cell r="E506">
            <v>2.3690917693765301E-2</v>
          </cell>
        </row>
        <row r="507">
          <cell r="A507" t="str">
            <v>PLN_WIBOR_EOD</v>
          </cell>
          <cell r="C507">
            <v>45174</v>
          </cell>
          <cell r="E507">
            <v>2.4706673156298101E-2</v>
          </cell>
        </row>
        <row r="508">
          <cell r="A508" t="str">
            <v>PLN_WIBOR_EOD</v>
          </cell>
          <cell r="C508">
            <v>45539</v>
          </cell>
          <cell r="E508">
            <v>2.5478399279802302E-2</v>
          </cell>
        </row>
        <row r="509">
          <cell r="A509" t="str">
            <v>PLN_WIBOR_EOD</v>
          </cell>
          <cell r="C509">
            <v>45904</v>
          </cell>
          <cell r="E509">
            <v>2.61031841469795E-2</v>
          </cell>
        </row>
        <row r="510">
          <cell r="A510" t="str">
            <v>PLN_WIBOR_EOD</v>
          </cell>
          <cell r="C510">
            <v>46634</v>
          </cell>
          <cell r="E510">
            <v>2.69722709227306E-2</v>
          </cell>
        </row>
        <row r="511">
          <cell r="A511" t="str">
            <v>PLN_WIBOR_EOD</v>
          </cell>
          <cell r="C511">
            <v>47729</v>
          </cell>
          <cell r="E511">
            <v>2.7856942179112401E-2</v>
          </cell>
        </row>
        <row r="512">
          <cell r="A512" t="str">
            <v>PLN_WIBOR_EOD</v>
          </cell>
          <cell r="C512">
            <v>49554</v>
          </cell>
          <cell r="E512">
            <v>2.79321546470267E-2</v>
          </cell>
        </row>
        <row r="513">
          <cell r="A513" t="str">
            <v>PLN_WIBOR_EOD</v>
          </cell>
          <cell r="C513">
            <v>51379</v>
          </cell>
          <cell r="E513">
            <v>2.76981653332572E-2</v>
          </cell>
        </row>
        <row r="514">
          <cell r="A514" t="str">
            <v>PLN_WIBOR_EOD</v>
          </cell>
          <cell r="C514">
            <v>53204</v>
          </cell>
          <cell r="E514">
            <v>2.69385422683859E-2</v>
          </cell>
        </row>
        <row r="515">
          <cell r="A515" t="str">
            <v>SEK_STIBOR_EOD</v>
          </cell>
          <cell r="C515">
            <v>42255</v>
          </cell>
          <cell r="E515">
            <v>-3.7818251475329702E-3</v>
          </cell>
        </row>
        <row r="516">
          <cell r="A516" t="str">
            <v>SEK_STIBOR_EOD</v>
          </cell>
          <cell r="C516">
            <v>42261</v>
          </cell>
          <cell r="E516">
            <v>-3.6917606038293599E-3</v>
          </cell>
        </row>
        <row r="517">
          <cell r="A517" t="str">
            <v>SEK_STIBOR_EOD</v>
          </cell>
          <cell r="C517">
            <v>42284</v>
          </cell>
          <cell r="E517">
            <v>-3.7887099566441202E-3</v>
          </cell>
        </row>
        <row r="518">
          <cell r="A518" t="str">
            <v>SEK_STIBOR_EOD</v>
          </cell>
          <cell r="C518">
            <v>42314</v>
          </cell>
          <cell r="E518">
            <v>-3.6516582806664102E-3</v>
          </cell>
        </row>
        <row r="519">
          <cell r="A519" t="str">
            <v>SEK_STIBOR_EOD</v>
          </cell>
          <cell r="C519">
            <v>42345</v>
          </cell>
          <cell r="E519">
            <v>-3.10643989536241E-3</v>
          </cell>
        </row>
        <row r="520">
          <cell r="A520" t="str">
            <v>SEK_STIBOR_EOD</v>
          </cell>
          <cell r="C520">
            <v>42436</v>
          </cell>
          <cell r="E520">
            <v>-3.1482541858554002E-3</v>
          </cell>
        </row>
        <row r="521">
          <cell r="A521" t="str">
            <v>SEK_STIBOR_EOD</v>
          </cell>
          <cell r="C521">
            <v>42527</v>
          </cell>
          <cell r="E521">
            <v>-3.1675631223661901E-3</v>
          </cell>
        </row>
        <row r="522">
          <cell r="A522" t="str">
            <v>SEK_STIBOR_EOD</v>
          </cell>
          <cell r="C522">
            <v>42619</v>
          </cell>
          <cell r="E522">
            <v>-3.0969759514279599E-3</v>
          </cell>
        </row>
        <row r="523">
          <cell r="A523" t="str">
            <v>SEK_STIBOR_EOD</v>
          </cell>
          <cell r="C523">
            <v>42801</v>
          </cell>
          <cell r="E523">
            <v>-2.69014734009836E-3</v>
          </cell>
        </row>
        <row r="524">
          <cell r="A524" t="str">
            <v>SEK_STIBOR_EOD</v>
          </cell>
          <cell r="C524">
            <v>42984</v>
          </cell>
          <cell r="E524">
            <v>-1.9493189203623801E-3</v>
          </cell>
        </row>
        <row r="525">
          <cell r="A525" t="str">
            <v>SEK_STIBOR_EOD</v>
          </cell>
          <cell r="C525">
            <v>43349</v>
          </cell>
          <cell r="E525">
            <v>2.0593513813960001E-5</v>
          </cell>
        </row>
        <row r="526">
          <cell r="A526" t="str">
            <v>SEK_STIBOR_EOD</v>
          </cell>
          <cell r="C526">
            <v>43714</v>
          </cell>
          <cell r="E526">
            <v>2.1376333138704898E-3</v>
          </cell>
        </row>
        <row r="527">
          <cell r="A527" t="str">
            <v>SEK_STIBOR_EOD</v>
          </cell>
          <cell r="C527">
            <v>44079</v>
          </cell>
          <cell r="E527">
            <v>4.4143308911583704E-3</v>
          </cell>
        </row>
        <row r="528">
          <cell r="A528" t="str">
            <v>SEK_STIBOR_EOD</v>
          </cell>
          <cell r="C528">
            <v>44444</v>
          </cell>
          <cell r="E528">
            <v>6.7233837363849499E-3</v>
          </cell>
        </row>
        <row r="529">
          <cell r="A529" t="str">
            <v>SEK_STIBOR_EOD</v>
          </cell>
          <cell r="C529">
            <v>44809</v>
          </cell>
          <cell r="E529">
            <v>8.8006805732734096E-3</v>
          </cell>
        </row>
        <row r="530">
          <cell r="A530" t="str">
            <v>SEK_STIBOR_EOD</v>
          </cell>
          <cell r="C530">
            <v>45174</v>
          </cell>
          <cell r="E530">
            <v>1.0517895643746E-2</v>
          </cell>
        </row>
        <row r="531">
          <cell r="A531" t="str">
            <v>SEK_STIBOR_EOD</v>
          </cell>
          <cell r="C531">
            <v>45539</v>
          </cell>
          <cell r="E531">
            <v>1.1927019852950299E-2</v>
          </cell>
        </row>
        <row r="532">
          <cell r="A532" t="str">
            <v>SEK_STIBOR_EOD</v>
          </cell>
          <cell r="C532">
            <v>45904</v>
          </cell>
          <cell r="E532">
            <v>1.3086637053675101E-2</v>
          </cell>
        </row>
        <row r="533">
          <cell r="A533" t="str">
            <v>SEK_STIBOR_EOD</v>
          </cell>
          <cell r="C533">
            <v>46634</v>
          </cell>
          <cell r="E533">
            <v>1.5092138089084099E-2</v>
          </cell>
        </row>
        <row r="534">
          <cell r="A534" t="str">
            <v>SEK_STIBOR_EOD</v>
          </cell>
          <cell r="C534">
            <v>47729</v>
          </cell>
          <cell r="E534">
            <v>1.7231202017762199E-2</v>
          </cell>
        </row>
        <row r="535">
          <cell r="A535" t="str">
            <v>SEK_STIBOR_EOD</v>
          </cell>
          <cell r="C535">
            <v>49554</v>
          </cell>
          <cell r="E535">
            <v>1.9244689604706901E-2</v>
          </cell>
        </row>
        <row r="536">
          <cell r="A536" t="str">
            <v>SEK_STIBOR_EOD</v>
          </cell>
          <cell r="C536">
            <v>51379</v>
          </cell>
          <cell r="E536">
            <v>2.0144762201133499E-2</v>
          </cell>
        </row>
        <row r="537">
          <cell r="A537" t="str">
            <v>SEK_STIBOR_EOD</v>
          </cell>
          <cell r="C537">
            <v>53204</v>
          </cell>
          <cell r="E537">
            <v>2.0389460055213301E-2</v>
          </cell>
        </row>
        <row r="538">
          <cell r="A538" t="str">
            <v>SGD_SOR_EOD</v>
          </cell>
          <cell r="C538">
            <v>42255</v>
          </cell>
          <cell r="E538">
            <v>1.3682974353248999E-3</v>
          </cell>
        </row>
        <row r="539">
          <cell r="A539" t="str">
            <v>SGD_SOR_EOD</v>
          </cell>
          <cell r="C539">
            <v>42261</v>
          </cell>
          <cell r="E539">
            <v>2.8209384817368798E-3</v>
          </cell>
        </row>
        <row r="540">
          <cell r="A540" t="str">
            <v>SGD_SOR_EOD</v>
          </cell>
          <cell r="C540">
            <v>42284</v>
          </cell>
          <cell r="E540">
            <v>1.2356699001124899E-2</v>
          </cell>
        </row>
        <row r="541">
          <cell r="A541" t="str">
            <v>SGD_SOR_EOD</v>
          </cell>
          <cell r="C541">
            <v>42314</v>
          </cell>
          <cell r="E541">
            <v>1.40508098395765E-2</v>
          </cell>
        </row>
        <row r="542">
          <cell r="A542" t="str">
            <v>SGD_SOR_EOD</v>
          </cell>
          <cell r="C542">
            <v>42345</v>
          </cell>
          <cell r="E542">
            <v>1.47613919978314E-2</v>
          </cell>
        </row>
        <row r="543">
          <cell r="A543" t="str">
            <v>SGD_SOR_EOD</v>
          </cell>
          <cell r="C543">
            <v>42436</v>
          </cell>
          <cell r="E543">
            <v>1.6341180291943001E-2</v>
          </cell>
        </row>
        <row r="544">
          <cell r="A544" t="str">
            <v>SGD_SOR_EOD</v>
          </cell>
          <cell r="C544">
            <v>42527</v>
          </cell>
          <cell r="E544">
            <v>1.7177570992407E-2</v>
          </cell>
        </row>
        <row r="545">
          <cell r="A545" t="str">
            <v>SGD_SOR_EOD</v>
          </cell>
          <cell r="C545">
            <v>42619</v>
          </cell>
          <cell r="E545">
            <v>1.8006486587261498E-2</v>
          </cell>
        </row>
        <row r="546">
          <cell r="A546" t="str">
            <v>SGD_SOR_EOD</v>
          </cell>
          <cell r="C546">
            <v>42801</v>
          </cell>
          <cell r="E546">
            <v>1.9296956879102298E-2</v>
          </cell>
        </row>
        <row r="547">
          <cell r="A547" t="str">
            <v>SGD_SOR_EOD</v>
          </cell>
          <cell r="C547">
            <v>42984</v>
          </cell>
          <cell r="E547">
            <v>2.0588630620410098E-2</v>
          </cell>
        </row>
        <row r="548">
          <cell r="A548" t="str">
            <v>SGD_SOR_EOD</v>
          </cell>
          <cell r="C548">
            <v>43349</v>
          </cell>
          <cell r="E548">
            <v>2.2933832401661299E-2</v>
          </cell>
        </row>
        <row r="549">
          <cell r="A549" t="str">
            <v>SGD_SOR_EOD</v>
          </cell>
          <cell r="C549">
            <v>43714</v>
          </cell>
          <cell r="E549">
            <v>2.5142937335830999E-2</v>
          </cell>
        </row>
        <row r="550">
          <cell r="A550" t="str">
            <v>SGD_SOR_EOD</v>
          </cell>
          <cell r="C550">
            <v>44079</v>
          </cell>
          <cell r="E550">
            <v>2.6794356507264E-2</v>
          </cell>
        </row>
        <row r="551">
          <cell r="A551" t="str">
            <v>SGD_SOR_EOD</v>
          </cell>
          <cell r="C551">
            <v>44444</v>
          </cell>
          <cell r="E551">
            <v>2.8110212333288798E-2</v>
          </cell>
        </row>
        <row r="552">
          <cell r="A552" t="str">
            <v>SGD_SOR_EOD</v>
          </cell>
          <cell r="C552">
            <v>44809</v>
          </cell>
          <cell r="E552">
            <v>2.9422401080724098E-2</v>
          </cell>
        </row>
        <row r="553">
          <cell r="A553" t="str">
            <v>SGD_SOR_EOD</v>
          </cell>
          <cell r="C553">
            <v>45174</v>
          </cell>
          <cell r="E553">
            <v>3.0167091084636E-2</v>
          </cell>
        </row>
        <row r="554">
          <cell r="A554" t="str">
            <v>SGD_SOR_EOD</v>
          </cell>
          <cell r="C554">
            <v>45539</v>
          </cell>
          <cell r="E554">
            <v>3.09054930138274E-2</v>
          </cell>
        </row>
        <row r="555">
          <cell r="A555" t="str">
            <v>SGD_SOR_EOD</v>
          </cell>
          <cell r="C555">
            <v>45904</v>
          </cell>
          <cell r="E555">
            <v>3.1643894943018801E-2</v>
          </cell>
        </row>
        <row r="556">
          <cell r="A556" t="str">
            <v>USD_FEDFUND_EOD</v>
          </cell>
          <cell r="C556">
            <v>42255</v>
          </cell>
          <cell r="E556">
            <v>1.41944168443003E-3</v>
          </cell>
        </row>
        <row r="557">
          <cell r="A557" t="str">
            <v>USD_FEDFUND_EOD</v>
          </cell>
          <cell r="C557">
            <v>42261</v>
          </cell>
          <cell r="E557">
            <v>1.4757580569522801E-3</v>
          </cell>
        </row>
        <row r="558">
          <cell r="A558" t="str">
            <v>USD_FEDFUND_EOD</v>
          </cell>
          <cell r="C558">
            <v>42268</v>
          </cell>
          <cell r="E558">
            <v>1.61651436266958E-3</v>
          </cell>
        </row>
        <row r="559">
          <cell r="A559" t="str">
            <v>USD_FEDFUND_EOD</v>
          </cell>
          <cell r="C559">
            <v>42275</v>
          </cell>
          <cell r="E559">
            <v>1.75369220771912E-3</v>
          </cell>
        </row>
        <row r="560">
          <cell r="A560" t="str">
            <v>USD_FEDFUND_EOD</v>
          </cell>
          <cell r="C560">
            <v>42284</v>
          </cell>
          <cell r="E560">
            <v>1.7885329671339201E-3</v>
          </cell>
        </row>
        <row r="561">
          <cell r="A561" t="str">
            <v>USD_FEDFUND_EOD</v>
          </cell>
          <cell r="C561">
            <v>42314</v>
          </cell>
          <cell r="E561">
            <v>1.9938678264787299E-3</v>
          </cell>
        </row>
        <row r="562">
          <cell r="A562" t="str">
            <v>USD_FEDFUND_EOD</v>
          </cell>
          <cell r="C562">
            <v>42345</v>
          </cell>
          <cell r="E562">
            <v>2.1109032632966301E-3</v>
          </cell>
        </row>
        <row r="563">
          <cell r="A563" t="str">
            <v>USD_FEDFUND_EOD</v>
          </cell>
          <cell r="C563">
            <v>42375</v>
          </cell>
          <cell r="E563">
            <v>2.3144427418207302E-3</v>
          </cell>
        </row>
        <row r="564">
          <cell r="A564" t="str">
            <v>USD_FEDFUND_EOD</v>
          </cell>
          <cell r="C564">
            <v>42406</v>
          </cell>
          <cell r="E564">
            <v>2.5127924707642199E-3</v>
          </cell>
        </row>
        <row r="565">
          <cell r="A565" t="str">
            <v>USD_FEDFUND_EOD</v>
          </cell>
          <cell r="C565">
            <v>42436</v>
          </cell>
          <cell r="E565">
            <v>2.6843503003246699E-3</v>
          </cell>
        </row>
        <row r="566">
          <cell r="A566" t="str">
            <v>USD_FEDFUND_EOD</v>
          </cell>
          <cell r="C566">
            <v>42466</v>
          </cell>
          <cell r="E566">
            <v>2.86862103784847E-3</v>
          </cell>
        </row>
        <row r="567">
          <cell r="A567" t="str">
            <v>USD_FEDFUND_EOD</v>
          </cell>
          <cell r="C567">
            <v>42497</v>
          </cell>
          <cell r="E567">
            <v>3.0222074032016299E-3</v>
          </cell>
        </row>
        <row r="568">
          <cell r="A568" t="str">
            <v>USD_FEDFUND_EOD</v>
          </cell>
          <cell r="C568">
            <v>42527</v>
          </cell>
          <cell r="E568">
            <v>3.22197294309266E-3</v>
          </cell>
        </row>
        <row r="569">
          <cell r="A569" t="str">
            <v>USD_FEDFUND_EOD</v>
          </cell>
          <cell r="C569">
            <v>42558</v>
          </cell>
          <cell r="E569">
            <v>3.3750113681947701E-3</v>
          </cell>
        </row>
        <row r="570">
          <cell r="A570" t="str">
            <v>USD_FEDFUND_EOD</v>
          </cell>
          <cell r="C570">
            <v>42588</v>
          </cell>
          <cell r="E570">
            <v>3.57477707550628E-3</v>
          </cell>
        </row>
        <row r="571">
          <cell r="A571" t="str">
            <v>USD_FEDFUND_EOD</v>
          </cell>
          <cell r="C571">
            <v>42619</v>
          </cell>
          <cell r="E571">
            <v>3.7458812941433398E-3</v>
          </cell>
        </row>
        <row r="572">
          <cell r="A572" t="str">
            <v>USD_FEDFUND_EOD</v>
          </cell>
          <cell r="C572">
            <v>42710</v>
          </cell>
          <cell r="E572">
            <v>4.3985541128497702E-3</v>
          </cell>
        </row>
        <row r="573">
          <cell r="A573" t="str">
            <v>USD_FEDFUND_EOD</v>
          </cell>
          <cell r="C573">
            <v>42801</v>
          </cell>
          <cell r="E573">
            <v>5.0568311429008E-3</v>
          </cell>
        </row>
        <row r="574">
          <cell r="A574" t="str">
            <v>USD_FEDFUND_EOD</v>
          </cell>
          <cell r="C574">
            <v>42892</v>
          </cell>
          <cell r="E574">
            <v>5.76358360971634E-3</v>
          </cell>
        </row>
        <row r="575">
          <cell r="A575" t="str">
            <v>USD_FEDFUND_EOD</v>
          </cell>
          <cell r="C575">
            <v>42984</v>
          </cell>
          <cell r="E575">
            <v>6.47920389353537E-3</v>
          </cell>
        </row>
        <row r="576">
          <cell r="A576" t="str">
            <v>USD_FEDFUND_EOD</v>
          </cell>
          <cell r="C576">
            <v>43349</v>
          </cell>
          <cell r="E576">
            <v>9.0815170056657898E-3</v>
          </cell>
        </row>
        <row r="577">
          <cell r="A577" t="str">
            <v>USD_FEDFUND_EOD</v>
          </cell>
          <cell r="C577">
            <v>43714</v>
          </cell>
          <cell r="E577">
            <v>1.13126041596133E-2</v>
          </cell>
        </row>
        <row r="578">
          <cell r="A578" t="str">
            <v>USD_FEDFUND_EOD</v>
          </cell>
          <cell r="C578">
            <v>44079</v>
          </cell>
          <cell r="E578">
            <v>1.32789670341433E-2</v>
          </cell>
        </row>
        <row r="579">
          <cell r="A579" t="str">
            <v>USD_FEDFUND_EOD</v>
          </cell>
          <cell r="C579">
            <v>44444</v>
          </cell>
          <cell r="E579">
            <v>1.50798102287335E-2</v>
          </cell>
        </row>
        <row r="580">
          <cell r="A580" t="str">
            <v>USD_FEDFUND_EOD</v>
          </cell>
          <cell r="C580">
            <v>44809</v>
          </cell>
          <cell r="E580">
            <v>1.65965255241745E-2</v>
          </cell>
        </row>
        <row r="581">
          <cell r="A581" t="str">
            <v>USD_FEDFUND_EOD</v>
          </cell>
          <cell r="C581">
            <v>45174</v>
          </cell>
          <cell r="E581">
            <v>1.78562527219315E-2</v>
          </cell>
        </row>
        <row r="582">
          <cell r="A582" t="str">
            <v>USD_FEDFUND_EOD</v>
          </cell>
          <cell r="C582">
            <v>45539</v>
          </cell>
          <cell r="E582">
            <v>1.8913607378298301E-2</v>
          </cell>
        </row>
        <row r="583">
          <cell r="A583" t="str">
            <v>USD_FEDFUND_EOD</v>
          </cell>
          <cell r="C583">
            <v>45904</v>
          </cell>
          <cell r="E583">
            <v>1.9789151900013499E-2</v>
          </cell>
        </row>
        <row r="584">
          <cell r="A584" t="str">
            <v>USD_FEDFUND_EOD</v>
          </cell>
          <cell r="C584">
            <v>46634</v>
          </cell>
          <cell r="E584">
            <v>2.1185927579344399E-2</v>
          </cell>
        </row>
        <row r="585">
          <cell r="A585" t="str">
            <v>USD_FEDFUND_EOD</v>
          </cell>
          <cell r="C585">
            <v>47729</v>
          </cell>
          <cell r="E585">
            <v>2.2609293844496999E-2</v>
          </cell>
        </row>
        <row r="586">
          <cell r="A586" t="str">
            <v>USD_FEDFUND_EOD</v>
          </cell>
          <cell r="C586">
            <v>49554</v>
          </cell>
          <cell r="E586">
            <v>2.3856041765591099E-2</v>
          </cell>
        </row>
        <row r="587">
          <cell r="A587" t="str">
            <v>USD_FEDFUND_EOD</v>
          </cell>
          <cell r="C587">
            <v>51379</v>
          </cell>
          <cell r="E587">
            <v>2.4460925762957001E-2</v>
          </cell>
        </row>
        <row r="588">
          <cell r="A588" t="str">
            <v>USD_FEDFUND_EOD</v>
          </cell>
          <cell r="C588">
            <v>53204</v>
          </cell>
          <cell r="E588">
            <v>2.4835305943155198E-2</v>
          </cell>
        </row>
        <row r="589">
          <cell r="A589" t="str">
            <v>USD_FEDFUND_EOD</v>
          </cell>
          <cell r="C589">
            <v>55029</v>
          </cell>
          <cell r="E589">
            <v>2.4872972805057101E-2</v>
          </cell>
        </row>
        <row r="590">
          <cell r="A590" t="str">
            <v>USD_FEDFUND_EOD</v>
          </cell>
          <cell r="C590">
            <v>56854</v>
          </cell>
          <cell r="E590">
            <v>2.49084193108269E-2</v>
          </cell>
        </row>
        <row r="591">
          <cell r="A591" t="str">
            <v>USD_FEDFUND_EOD</v>
          </cell>
          <cell r="C591">
            <v>58679</v>
          </cell>
          <cell r="E591">
            <v>2.4676829105163101E-2</v>
          </cell>
        </row>
        <row r="592">
          <cell r="A592" t="str">
            <v>USD_FEDFUND_EOD</v>
          </cell>
          <cell r="C592">
            <v>60504</v>
          </cell>
          <cell r="E592">
            <v>2.4443471419887002E-2</v>
          </cell>
        </row>
        <row r="593">
          <cell r="A593" t="str">
            <v>USD_LIBOR_EOD</v>
          </cell>
          <cell r="C593">
            <v>42255</v>
          </cell>
          <cell r="E593">
            <v>1.37381685896146E-3</v>
          </cell>
        </row>
        <row r="594">
          <cell r="A594" t="str">
            <v>USD_LIBOR_EOD</v>
          </cell>
          <cell r="C594">
            <v>42261</v>
          </cell>
          <cell r="E594">
            <v>1.47519428121965E-3</v>
          </cell>
        </row>
        <row r="595">
          <cell r="A595" t="str">
            <v>USD_LIBOR_EOD</v>
          </cell>
          <cell r="C595">
            <v>42284</v>
          </cell>
          <cell r="E595">
            <v>1.9392822410146701E-3</v>
          </cell>
        </row>
        <row r="596">
          <cell r="A596" t="str">
            <v>USD_LIBOR_EOD</v>
          </cell>
          <cell r="C596">
            <v>42314</v>
          </cell>
          <cell r="E596">
            <v>2.6089970297682101E-3</v>
          </cell>
        </row>
        <row r="597">
          <cell r="A597" t="str">
            <v>USD_LIBOR_EOD</v>
          </cell>
          <cell r="C597">
            <v>42345</v>
          </cell>
          <cell r="E597">
            <v>3.2788544717146499E-3</v>
          </cell>
        </row>
        <row r="598">
          <cell r="A598" t="str">
            <v>USD_LIBOR_EOD</v>
          </cell>
          <cell r="C598">
            <v>42436</v>
          </cell>
          <cell r="E598">
            <v>3.9648592749466699E-3</v>
          </cell>
        </row>
        <row r="599">
          <cell r="A599" t="str">
            <v>USD_LIBOR_EOD</v>
          </cell>
          <cell r="C599">
            <v>42527</v>
          </cell>
          <cell r="E599">
            <v>4.6038429867216396E-3</v>
          </cell>
        </row>
        <row r="600">
          <cell r="A600" t="str">
            <v>USD_LIBOR_EOD</v>
          </cell>
          <cell r="C600">
            <v>42619</v>
          </cell>
          <cell r="E600">
            <v>5.2639380180197403E-3</v>
          </cell>
        </row>
        <row r="601">
          <cell r="A601" t="str">
            <v>USD_LIBOR_EOD</v>
          </cell>
          <cell r="C601">
            <v>42801</v>
          </cell>
          <cell r="E601">
            <v>6.7634420948682302E-3</v>
          </cell>
        </row>
        <row r="602">
          <cell r="A602" t="str">
            <v>USD_LIBOR_EOD</v>
          </cell>
          <cell r="C602">
            <v>42984</v>
          </cell>
          <cell r="E602">
            <v>8.3204719101615792E-3</v>
          </cell>
        </row>
        <row r="603">
          <cell r="A603" t="str">
            <v>USD_LIBOR_EOD</v>
          </cell>
          <cell r="C603">
            <v>43349</v>
          </cell>
          <cell r="E603">
            <v>1.11778172344846E-2</v>
          </cell>
        </row>
        <row r="604">
          <cell r="A604" t="str">
            <v>USD_LIBOR_EOD</v>
          </cell>
          <cell r="C604">
            <v>43714</v>
          </cell>
          <cell r="E604">
            <v>1.34814063155979E-2</v>
          </cell>
        </row>
        <row r="605">
          <cell r="A605" t="str">
            <v>USD_LIBOR_EOD</v>
          </cell>
          <cell r="C605">
            <v>44079</v>
          </cell>
          <cell r="E605">
            <v>1.5513828116594E-2</v>
          </cell>
        </row>
        <row r="606">
          <cell r="A606" t="str">
            <v>USD_LIBOR_EOD</v>
          </cell>
          <cell r="C606">
            <v>44444</v>
          </cell>
          <cell r="E606">
            <v>1.7337749185535101E-2</v>
          </cell>
        </row>
        <row r="607">
          <cell r="A607" t="str">
            <v>USD_LIBOR_EOD</v>
          </cell>
          <cell r="C607">
            <v>44809</v>
          </cell>
          <cell r="E607">
            <v>1.88775823081909E-2</v>
          </cell>
        </row>
        <row r="608">
          <cell r="A608" t="str">
            <v>USD_LIBOR_EOD</v>
          </cell>
          <cell r="C608">
            <v>45174</v>
          </cell>
          <cell r="E608">
            <v>2.01454126080234E-2</v>
          </cell>
        </row>
        <row r="609">
          <cell r="A609" t="str">
            <v>USD_LIBOR_EOD</v>
          </cell>
          <cell r="C609">
            <v>45539</v>
          </cell>
          <cell r="E609">
            <v>2.12108139406499E-2</v>
          </cell>
        </row>
        <row r="610">
          <cell r="A610" t="str">
            <v>USD_LIBOR_EOD</v>
          </cell>
          <cell r="C610">
            <v>45904</v>
          </cell>
          <cell r="E610">
            <v>2.2094162413738998E-2</v>
          </cell>
        </row>
        <row r="611">
          <cell r="A611" t="str">
            <v>USD_LIBOR_EOD</v>
          </cell>
          <cell r="C611">
            <v>46634</v>
          </cell>
          <cell r="E611">
            <v>2.3538952240061702E-2</v>
          </cell>
        </row>
        <row r="612">
          <cell r="A612" t="str">
            <v>USD_LIBOR_EOD</v>
          </cell>
          <cell r="C612">
            <v>47729</v>
          </cell>
          <cell r="E612">
            <v>2.4954901076755801E-2</v>
          </cell>
        </row>
        <row r="613">
          <cell r="A613" t="str">
            <v>USD_LIBOR_EOD</v>
          </cell>
          <cell r="C613">
            <v>49554</v>
          </cell>
          <cell r="E613">
            <v>2.6270449076375699E-2</v>
          </cell>
        </row>
        <row r="614">
          <cell r="A614" t="str">
            <v>USD_LIBOR_EOD</v>
          </cell>
          <cell r="C614">
            <v>51379</v>
          </cell>
          <cell r="E614">
            <v>2.68916722637461E-2</v>
          </cell>
        </row>
        <row r="615">
          <cell r="A615" t="str">
            <v>USD_LIBOR_EOD</v>
          </cell>
          <cell r="C615">
            <v>53204</v>
          </cell>
          <cell r="E615">
            <v>2.72657765911169E-2</v>
          </cell>
        </row>
        <row r="616">
          <cell r="A616" t="str">
            <v>USD_LIBOR_EOD</v>
          </cell>
          <cell r="C616">
            <v>55029</v>
          </cell>
          <cell r="E616">
            <v>2.72960661174966E-2</v>
          </cell>
        </row>
        <row r="617">
          <cell r="A617" t="str">
            <v>USD_LIBOR_EOD</v>
          </cell>
          <cell r="C617">
            <v>56854</v>
          </cell>
          <cell r="E617">
            <v>2.7324088881441399E-2</v>
          </cell>
        </row>
        <row r="618">
          <cell r="A618" t="str">
            <v>USD_LIBOR_EOD</v>
          </cell>
          <cell r="C618">
            <v>58679</v>
          </cell>
          <cell r="E618">
            <v>2.7073311856985499E-2</v>
          </cell>
        </row>
        <row r="619">
          <cell r="A619" t="str">
            <v>USD_LIBOR_EOD</v>
          </cell>
          <cell r="C619">
            <v>60504</v>
          </cell>
          <cell r="E619">
            <v>2.68206894947133E-2</v>
          </cell>
        </row>
        <row r="620">
          <cell r="A620" t="str">
            <v>ZAR_JIBAR_EOD</v>
          </cell>
          <cell r="C620">
            <v>42255</v>
          </cell>
          <cell r="E620">
            <v>5.7795423989927798E-2</v>
          </cell>
        </row>
        <row r="621">
          <cell r="A621" t="str">
            <v>ZAR_JIBAR_EOD</v>
          </cell>
          <cell r="C621">
            <v>42261</v>
          </cell>
          <cell r="E621">
            <v>5.8497519243056899E-2</v>
          </cell>
        </row>
        <row r="622">
          <cell r="A622" t="str">
            <v>ZAR_JIBAR_EOD</v>
          </cell>
          <cell r="C622">
            <v>42284</v>
          </cell>
          <cell r="E622">
            <v>6.1175940702649E-2</v>
          </cell>
        </row>
        <row r="623">
          <cell r="A623" t="str">
            <v>ZAR_JIBAR_EOD</v>
          </cell>
          <cell r="C623">
            <v>42314</v>
          </cell>
          <cell r="E623">
            <v>6.1786357608989297E-2</v>
          </cell>
        </row>
        <row r="624">
          <cell r="A624" t="str">
            <v>ZAR_JIBAR_EOD</v>
          </cell>
          <cell r="C624">
            <v>42345</v>
          </cell>
          <cell r="E624">
            <v>6.2510354780352204E-2</v>
          </cell>
        </row>
        <row r="625">
          <cell r="A625" t="str">
            <v>ZAR_JIBAR_EOD</v>
          </cell>
          <cell r="C625">
            <v>42436</v>
          </cell>
          <cell r="E625">
            <v>6.4675165258278405E-2</v>
          </cell>
        </row>
        <row r="626">
          <cell r="A626" t="str">
            <v>ZAR_JIBAR_EOD</v>
          </cell>
          <cell r="C626">
            <v>42527</v>
          </cell>
          <cell r="E626">
            <v>6.6262676782960106E-2</v>
          </cell>
        </row>
        <row r="627">
          <cell r="A627" t="str">
            <v>ZAR_JIBAR_EOD</v>
          </cell>
          <cell r="C627">
            <v>42619</v>
          </cell>
          <cell r="E627">
            <v>6.7910453655927405E-2</v>
          </cell>
        </row>
        <row r="628">
          <cell r="A628" t="str">
            <v>ZAR_JIBAR_EOD</v>
          </cell>
          <cell r="C628">
            <v>42801</v>
          </cell>
          <cell r="E628">
            <v>7.0385370612541007E-2</v>
          </cell>
        </row>
        <row r="629">
          <cell r="A629" t="str">
            <v>ZAR_JIBAR_EOD</v>
          </cell>
          <cell r="C629">
            <v>42984</v>
          </cell>
          <cell r="E629">
            <v>7.2869521021075204E-2</v>
          </cell>
        </row>
        <row r="630">
          <cell r="A630" t="str">
            <v>ZAR_JIBAR_EOD</v>
          </cell>
          <cell r="C630">
            <v>43349</v>
          </cell>
          <cell r="E630">
            <v>7.6140086734805296E-2</v>
          </cell>
        </row>
        <row r="631">
          <cell r="A631" t="str">
            <v>ZAR_JIBAR_EOD</v>
          </cell>
          <cell r="C631">
            <v>43714</v>
          </cell>
          <cell r="E631">
            <v>7.8616459509495806E-2</v>
          </cell>
        </row>
        <row r="632">
          <cell r="A632" t="str">
            <v>ZAR_JIBAR_EOD</v>
          </cell>
          <cell r="C632">
            <v>44079</v>
          </cell>
          <cell r="E632">
            <v>8.0605484223166296E-2</v>
          </cell>
        </row>
        <row r="633">
          <cell r="A633" t="str">
            <v>ZAR_JIBAR_EOD</v>
          </cell>
          <cell r="C633">
            <v>44444</v>
          </cell>
          <cell r="E633">
            <v>8.2216988841932806E-2</v>
          </cell>
        </row>
        <row r="634">
          <cell r="A634" t="str">
            <v>ZAR_JIBAR_EOD</v>
          </cell>
          <cell r="C634">
            <v>44809</v>
          </cell>
          <cell r="E634">
            <v>8.3472952006269197E-2</v>
          </cell>
        </row>
        <row r="635">
          <cell r="A635" t="str">
            <v>ZAR_JIBAR_EOD</v>
          </cell>
          <cell r="C635">
            <v>45174</v>
          </cell>
          <cell r="E635">
            <v>8.4508982322973103E-2</v>
          </cell>
        </row>
        <row r="636">
          <cell r="A636" t="str">
            <v>ZAR_JIBAR_EOD</v>
          </cell>
          <cell r="C636">
            <v>45539</v>
          </cell>
          <cell r="E636">
            <v>8.5535585839132802E-2</v>
          </cell>
        </row>
        <row r="637">
          <cell r="A637" t="str">
            <v>ZAR_JIBAR_EOD</v>
          </cell>
          <cell r="C637">
            <v>45904</v>
          </cell>
          <cell r="E637">
            <v>8.6427322183902006E-2</v>
          </cell>
        </row>
        <row r="638">
          <cell r="A638" t="str">
            <v>ZAR_JIBAR_EOD</v>
          </cell>
          <cell r="C638">
            <v>46634</v>
          </cell>
          <cell r="E638">
            <v>8.7991268248430093E-2</v>
          </cell>
        </row>
        <row r="639">
          <cell r="A639" t="str">
            <v>ZAR_JIBAR_EOD</v>
          </cell>
          <cell r="C639">
            <v>47729</v>
          </cell>
          <cell r="E639">
            <v>9.0212454369813996E-2</v>
          </cell>
        </row>
        <row r="640">
          <cell r="A640" t="str">
            <v>ZAR_JIBAR_EOD</v>
          </cell>
          <cell r="C640">
            <v>49554</v>
          </cell>
          <cell r="E640">
            <v>9.0466203443279103E-2</v>
          </cell>
        </row>
        <row r="641">
          <cell r="A641" t="str">
            <v>ZAR_JIBAR_EOD</v>
          </cell>
          <cell r="C641">
            <v>51379</v>
          </cell>
          <cell r="E641">
            <v>8.8785563140544005E-2</v>
          </cell>
        </row>
        <row r="642">
          <cell r="A642" t="str">
            <v>ZAR_JIBAR_EOD</v>
          </cell>
          <cell r="C642">
            <v>53204</v>
          </cell>
          <cell r="E642">
            <v>8.4864449276312301E-2</v>
          </cell>
        </row>
      </sheetData>
      <sheetData sheetId="11">
        <row r="2">
          <cell r="A2" t="str">
            <v>AUD_AONIA_EOD</v>
          </cell>
          <cell r="C2">
            <v>42255</v>
          </cell>
          <cell r="E2">
            <v>1.99994520748366E-2</v>
          </cell>
        </row>
        <row r="3">
          <cell r="A3" t="str">
            <v>AUD_AONIA_EOD</v>
          </cell>
          <cell r="C3">
            <v>42262</v>
          </cell>
          <cell r="E3">
            <v>1.9996576202924901E-2</v>
          </cell>
        </row>
        <row r="4">
          <cell r="A4" t="str">
            <v>AUD_AONIA_EOD</v>
          </cell>
          <cell r="C4">
            <v>42285</v>
          </cell>
          <cell r="E4">
            <v>1.99454454375118E-2</v>
          </cell>
        </row>
        <row r="5">
          <cell r="A5" t="str">
            <v>AUD_AONIA_EOD</v>
          </cell>
          <cell r="C5">
            <v>42317</v>
          </cell>
          <cell r="E5">
            <v>1.9669444978992201E-2</v>
          </cell>
        </row>
        <row r="6">
          <cell r="A6" t="str">
            <v>AUD_AONIA_EOD</v>
          </cell>
          <cell r="C6">
            <v>42346</v>
          </cell>
          <cell r="E6">
            <v>1.9328430655531401E-2</v>
          </cell>
        </row>
        <row r="7">
          <cell r="A7" t="str">
            <v>AUD_AONIA_EOD</v>
          </cell>
          <cell r="C7">
            <v>42377</v>
          </cell>
          <cell r="E7">
            <v>1.9029848535270798E-2</v>
          </cell>
        </row>
        <row r="8">
          <cell r="A8" t="str">
            <v>AUD_AONIA_EOD</v>
          </cell>
          <cell r="C8">
            <v>42408</v>
          </cell>
          <cell r="E8">
            <v>1.8851219734934799E-2</v>
          </cell>
        </row>
        <row r="9">
          <cell r="A9" t="str">
            <v>AUD_AONIA_EOD</v>
          </cell>
          <cell r="C9">
            <v>42437</v>
          </cell>
          <cell r="E9">
            <v>1.8625856236016401E-2</v>
          </cell>
        </row>
        <row r="10">
          <cell r="A10" t="str">
            <v>AUD_AONIA_EOD</v>
          </cell>
          <cell r="C10">
            <v>42529</v>
          </cell>
          <cell r="E10">
            <v>1.8034636368231501E-2</v>
          </cell>
        </row>
        <row r="11">
          <cell r="A11" t="str">
            <v>AUD_AONIA_EOD</v>
          </cell>
          <cell r="C11">
            <v>42621</v>
          </cell>
          <cell r="E11">
            <v>1.7701686023701601E-2</v>
          </cell>
        </row>
        <row r="12">
          <cell r="A12" t="str">
            <v>AUD_AONIA_EOD</v>
          </cell>
          <cell r="C12">
            <v>42802</v>
          </cell>
          <cell r="E12">
            <v>1.7493452967008698E-2</v>
          </cell>
        </row>
        <row r="13">
          <cell r="A13" t="str">
            <v>AUD_AONIA_EOD</v>
          </cell>
          <cell r="C13">
            <v>42986</v>
          </cell>
          <cell r="E13">
            <v>1.76478302589127E-2</v>
          </cell>
        </row>
        <row r="14">
          <cell r="A14" t="str">
            <v>AUD_AONIA_EOD</v>
          </cell>
          <cell r="C14">
            <v>43353</v>
          </cell>
          <cell r="E14">
            <v>1.86078701304438E-2</v>
          </cell>
        </row>
        <row r="15">
          <cell r="A15" t="str">
            <v>AUD_AONIA_EOD</v>
          </cell>
          <cell r="C15">
            <v>43717</v>
          </cell>
          <cell r="E15">
            <v>1.9930060315964799E-2</v>
          </cell>
        </row>
        <row r="16">
          <cell r="A16" t="str">
            <v>AUD_AONIA_EOD</v>
          </cell>
          <cell r="C16">
            <v>44082</v>
          </cell>
          <cell r="E16">
            <v>2.1409543382235899E-2</v>
          </cell>
        </row>
        <row r="17">
          <cell r="A17" t="str">
            <v>AUD_AONIA_EOD</v>
          </cell>
          <cell r="C17">
            <v>44812</v>
          </cell>
          <cell r="E17">
            <v>2.4390405733298599E-2</v>
          </cell>
        </row>
        <row r="18">
          <cell r="A18" t="str">
            <v>AUD_AONIA_EOD</v>
          </cell>
          <cell r="C18">
            <v>45908</v>
          </cell>
          <cell r="E18">
            <v>2.7609868010126101E-2</v>
          </cell>
        </row>
        <row r="19">
          <cell r="A19" t="str">
            <v>AUD_AONIA_EOD</v>
          </cell>
          <cell r="C19">
            <v>46638</v>
          </cell>
          <cell r="E19">
            <v>2.9160937914054701E-2</v>
          </cell>
        </row>
        <row r="20">
          <cell r="A20" t="str">
            <v>AUD_AONIA_EOD</v>
          </cell>
          <cell r="C20">
            <v>47735</v>
          </cell>
          <cell r="E20">
            <v>3.0832511355377599E-2</v>
          </cell>
        </row>
        <row r="21">
          <cell r="A21" t="str">
            <v>AUD_AONIA_EOD</v>
          </cell>
          <cell r="C21">
            <v>49562</v>
          </cell>
          <cell r="E21">
            <v>3.2448972339214899E-2</v>
          </cell>
        </row>
        <row r="22">
          <cell r="A22" t="str">
            <v>AUD_AONIA_EOD</v>
          </cell>
          <cell r="C22">
            <v>51389</v>
          </cell>
          <cell r="E22">
            <v>3.2699695135117599E-2</v>
          </cell>
        </row>
        <row r="23">
          <cell r="A23" t="str">
            <v>AUD_AONIA_EOD</v>
          </cell>
          <cell r="C23">
            <v>53213</v>
          </cell>
          <cell r="E23">
            <v>3.23866416018148E-2</v>
          </cell>
        </row>
        <row r="24">
          <cell r="A24" t="str">
            <v>AUD_AONIA_EOD</v>
          </cell>
          <cell r="C24">
            <v>56865</v>
          </cell>
          <cell r="E24">
            <v>3.1181711679713099E-2</v>
          </cell>
        </row>
        <row r="25">
          <cell r="A25" t="str">
            <v>AUD_BBSW_3M_EOD</v>
          </cell>
          <cell r="C25">
            <v>42345</v>
          </cell>
          <cell r="E25">
            <v>2.1492315253959698E-2</v>
          </cell>
        </row>
        <row r="26">
          <cell r="A26" t="str">
            <v>AUD_BBSW_3M_EOD</v>
          </cell>
          <cell r="C26">
            <v>42439</v>
          </cell>
          <cell r="E26">
            <v>2.0665854903394999E-2</v>
          </cell>
        </row>
        <row r="27">
          <cell r="A27" t="str">
            <v>AUD_BBSW_3M_EOD</v>
          </cell>
          <cell r="C27">
            <v>42530</v>
          </cell>
          <cell r="E27">
            <v>2.0059642008065402E-2</v>
          </cell>
        </row>
        <row r="28">
          <cell r="A28" t="str">
            <v>AUD_BBSW_3M_EOD</v>
          </cell>
          <cell r="C28">
            <v>42621</v>
          </cell>
          <cell r="E28">
            <v>1.96738420597295E-2</v>
          </cell>
        </row>
        <row r="29">
          <cell r="A29" t="str">
            <v>AUD_BBSW_3M_EOD</v>
          </cell>
          <cell r="C29">
            <v>42712</v>
          </cell>
          <cell r="E29">
            <v>1.9454998344271199E-2</v>
          </cell>
        </row>
        <row r="30">
          <cell r="A30" t="str">
            <v>AUD_BBSW_3M_EOD</v>
          </cell>
          <cell r="C30">
            <v>42803</v>
          </cell>
          <cell r="E30">
            <v>1.9385093911918401E-2</v>
          </cell>
        </row>
        <row r="31">
          <cell r="A31" t="str">
            <v>AUD_BBSW_3M_EOD</v>
          </cell>
          <cell r="C31">
            <v>42894</v>
          </cell>
          <cell r="E31">
            <v>1.9413890784510699E-2</v>
          </cell>
        </row>
        <row r="32">
          <cell r="A32" t="str">
            <v>AUD_BBSW_3M_EOD</v>
          </cell>
          <cell r="C32">
            <v>42985</v>
          </cell>
          <cell r="E32">
            <v>1.9650881645525E-2</v>
          </cell>
        </row>
        <row r="33">
          <cell r="A33" t="str">
            <v>AUD_BBSW_3M_EOD</v>
          </cell>
          <cell r="C33">
            <v>43350</v>
          </cell>
          <cell r="E33">
            <v>2.0648063000925799E-2</v>
          </cell>
        </row>
        <row r="34">
          <cell r="A34" t="str">
            <v>AUD_BBSW_3M_EOD</v>
          </cell>
          <cell r="C34">
            <v>43717</v>
          </cell>
          <cell r="E34">
            <v>2.1995837790879699E-2</v>
          </cell>
        </row>
        <row r="35">
          <cell r="A35" t="str">
            <v>AUD_BBSW_3M_EOD</v>
          </cell>
          <cell r="C35">
            <v>44081</v>
          </cell>
          <cell r="E35">
            <v>2.35268623734903E-2</v>
          </cell>
        </row>
        <row r="36">
          <cell r="A36" t="str">
            <v>AUD_BBSW_3M_EOD</v>
          </cell>
          <cell r="C36">
            <v>44811</v>
          </cell>
          <cell r="E36">
            <v>2.6505845007303401E-2</v>
          </cell>
        </row>
        <row r="37">
          <cell r="A37" t="str">
            <v>AUD_BBSW_3M_EOD</v>
          </cell>
          <cell r="C37">
            <v>45908</v>
          </cell>
          <cell r="E37">
            <v>2.9724031076964402E-2</v>
          </cell>
        </row>
        <row r="38">
          <cell r="A38" t="str">
            <v>AUD_BBSW_3M_EOD</v>
          </cell>
          <cell r="C38">
            <v>46637</v>
          </cell>
          <cell r="E38">
            <v>3.1303190986011302E-2</v>
          </cell>
        </row>
        <row r="39">
          <cell r="A39" t="str">
            <v>AUD_BBSW_3M_EOD</v>
          </cell>
          <cell r="C39">
            <v>47735</v>
          </cell>
          <cell r="E39">
            <v>3.2972337749397E-2</v>
          </cell>
        </row>
        <row r="40">
          <cell r="A40" t="str">
            <v>AUD_BBSW_3M_EOD</v>
          </cell>
          <cell r="C40">
            <v>49559</v>
          </cell>
          <cell r="E40">
            <v>3.4619675709646698E-2</v>
          </cell>
        </row>
        <row r="41">
          <cell r="A41" t="str">
            <v>AUD_BBSW_3M_EOD</v>
          </cell>
          <cell r="C41">
            <v>51386</v>
          </cell>
          <cell r="E41">
            <v>3.4903901754296703E-2</v>
          </cell>
        </row>
        <row r="42">
          <cell r="A42" t="str">
            <v>AUD_BBSW_3M_EOD</v>
          </cell>
          <cell r="C42">
            <v>53212</v>
          </cell>
          <cell r="E42">
            <v>3.4546904165578998E-2</v>
          </cell>
        </row>
        <row r="43">
          <cell r="A43" t="str">
            <v>AUD_BBSW_3M_EOD</v>
          </cell>
          <cell r="C43">
            <v>56864</v>
          </cell>
          <cell r="E43">
            <v>3.3341618706095602E-2</v>
          </cell>
        </row>
        <row r="44">
          <cell r="A44" t="str">
            <v>AUD_BBSW_6M_EOD</v>
          </cell>
          <cell r="C44">
            <v>42436</v>
          </cell>
          <cell r="E44">
            <v>2.2028573674512799E-2</v>
          </cell>
        </row>
        <row r="45">
          <cell r="A45" t="str">
            <v>AUD_BBSW_6M_EOD</v>
          </cell>
          <cell r="C45">
            <v>42620</v>
          </cell>
          <cell r="E45">
            <v>2.0967584794148099E-2</v>
          </cell>
        </row>
        <row r="46">
          <cell r="A46" t="str">
            <v>AUD_BBSW_6M_EOD</v>
          </cell>
          <cell r="C46">
            <v>42985</v>
          </cell>
          <cell r="E46">
            <v>2.08247462280663E-2</v>
          </cell>
        </row>
        <row r="47">
          <cell r="A47" t="str">
            <v>AUD_BBSW_6M_EOD</v>
          </cell>
          <cell r="C47">
            <v>43350</v>
          </cell>
          <cell r="E47">
            <v>2.1728990326328201E-2</v>
          </cell>
        </row>
        <row r="48">
          <cell r="A48" t="str">
            <v>AUD_BBSW_6M_EOD</v>
          </cell>
          <cell r="C48">
            <v>43717</v>
          </cell>
          <cell r="E48">
            <v>2.2980373406241102E-2</v>
          </cell>
        </row>
        <row r="49">
          <cell r="A49" t="str">
            <v>AUD_BBSW_6M_EOD</v>
          </cell>
          <cell r="C49">
            <v>44081</v>
          </cell>
          <cell r="E49">
            <v>2.4450869338305401E-2</v>
          </cell>
        </row>
        <row r="50">
          <cell r="A50" t="str">
            <v>AUD_BBSW_6M_EOD</v>
          </cell>
          <cell r="C50">
            <v>44811</v>
          </cell>
          <cell r="E50">
            <v>2.7293171567296801E-2</v>
          </cell>
        </row>
        <row r="51">
          <cell r="A51" t="str">
            <v>AUD_BBSW_6M_EOD</v>
          </cell>
          <cell r="C51">
            <v>45908</v>
          </cell>
          <cell r="E51">
            <v>3.03800940989199E-2</v>
          </cell>
        </row>
        <row r="52">
          <cell r="A52" t="str">
            <v>AUD_BBSW_6M_EOD</v>
          </cell>
          <cell r="C52">
            <v>46637</v>
          </cell>
          <cell r="E52">
            <v>3.1849100295839601E-2</v>
          </cell>
        </row>
        <row r="53">
          <cell r="A53" t="str">
            <v>AUD_BBSW_6M_EOD</v>
          </cell>
          <cell r="C53">
            <v>47735</v>
          </cell>
          <cell r="E53">
            <v>3.3404643758261202E-2</v>
          </cell>
        </row>
        <row r="54">
          <cell r="A54" t="str">
            <v>AUD_BBSW_6M_EOD</v>
          </cell>
          <cell r="C54">
            <v>49559</v>
          </cell>
          <cell r="E54">
            <v>3.4951550399343903E-2</v>
          </cell>
        </row>
        <row r="55">
          <cell r="A55" t="str">
            <v>AUD_BBSW_6M_EOD</v>
          </cell>
          <cell r="C55">
            <v>51386</v>
          </cell>
          <cell r="E55">
            <v>3.5136527288299697E-2</v>
          </cell>
        </row>
        <row r="56">
          <cell r="A56" t="str">
            <v>AUD_BBSW_6M_EOD</v>
          </cell>
          <cell r="C56">
            <v>53212</v>
          </cell>
          <cell r="E56">
            <v>3.4717177163997297E-2</v>
          </cell>
        </row>
        <row r="57">
          <cell r="A57" t="str">
            <v>AUD_BBSW_6M_EOD</v>
          </cell>
          <cell r="C57">
            <v>56864</v>
          </cell>
          <cell r="E57">
            <v>3.3547002797671303E-2</v>
          </cell>
        </row>
        <row r="58">
          <cell r="A58" t="str">
            <v>AUD_BBSW_EOD</v>
          </cell>
          <cell r="C58">
            <v>42255</v>
          </cell>
          <cell r="E58">
            <v>1.99994520748366E-2</v>
          </cell>
        </row>
        <row r="59">
          <cell r="A59" t="str">
            <v>AUD_BBSW_EOD</v>
          </cell>
          <cell r="C59">
            <v>42261</v>
          </cell>
          <cell r="E59">
            <v>2.0109914710073399E-2</v>
          </cell>
        </row>
        <row r="60">
          <cell r="A60" t="str">
            <v>AUD_BBSW_EOD</v>
          </cell>
          <cell r="C60">
            <v>42284</v>
          </cell>
          <cell r="E60">
            <v>2.05326646201087E-2</v>
          </cell>
        </row>
        <row r="61">
          <cell r="A61" t="str">
            <v>AUD_BBSW_EOD</v>
          </cell>
          <cell r="C61">
            <v>42317</v>
          </cell>
          <cell r="E61">
            <v>2.1011852021058298E-2</v>
          </cell>
        </row>
        <row r="62">
          <cell r="A62" t="str">
            <v>AUD_BBSW_EOD</v>
          </cell>
          <cell r="C62">
            <v>42345</v>
          </cell>
          <cell r="E62">
            <v>2.1492315253959501E-2</v>
          </cell>
        </row>
        <row r="63">
          <cell r="A63" t="str">
            <v>AUD_BBSW_EOD</v>
          </cell>
          <cell r="C63">
            <v>42439</v>
          </cell>
          <cell r="E63">
            <v>2.06658549034009E-2</v>
          </cell>
        </row>
        <row r="64">
          <cell r="A64" t="str">
            <v>AUD_BBSW_EOD</v>
          </cell>
          <cell r="C64">
            <v>42530</v>
          </cell>
          <cell r="E64">
            <v>2.0059642008163799E-2</v>
          </cell>
        </row>
        <row r="65">
          <cell r="A65" t="str">
            <v>AUD_BBSW_EOD</v>
          </cell>
          <cell r="C65">
            <v>42621</v>
          </cell>
          <cell r="E65">
            <v>1.9673842059899301E-2</v>
          </cell>
        </row>
        <row r="66">
          <cell r="A66" t="str">
            <v>AUD_BBSW_EOD</v>
          </cell>
          <cell r="C66">
            <v>42712</v>
          </cell>
          <cell r="E66">
            <v>1.9454998344351999E-2</v>
          </cell>
        </row>
        <row r="67">
          <cell r="A67" t="str">
            <v>AUD_BBSW_EOD</v>
          </cell>
          <cell r="C67">
            <v>42803</v>
          </cell>
          <cell r="E67">
            <v>1.9385093911919199E-2</v>
          </cell>
        </row>
        <row r="68">
          <cell r="A68" t="str">
            <v>AUD_BBSW_EOD</v>
          </cell>
          <cell r="C68">
            <v>42894</v>
          </cell>
          <cell r="E68">
            <v>1.9413890784525999E-2</v>
          </cell>
        </row>
        <row r="69">
          <cell r="A69" t="str">
            <v>AUD_BBSW_EOD</v>
          </cell>
          <cell r="C69">
            <v>42985</v>
          </cell>
          <cell r="E69">
            <v>1.9650853537303802E-2</v>
          </cell>
        </row>
        <row r="70">
          <cell r="A70" t="str">
            <v>AUD_BBSW_EOD</v>
          </cell>
          <cell r="C70">
            <v>43350</v>
          </cell>
          <cell r="E70">
            <v>2.06502858965791E-2</v>
          </cell>
        </row>
        <row r="71">
          <cell r="A71" t="str">
            <v>AUD_BBSW_EOD</v>
          </cell>
          <cell r="C71">
            <v>43717</v>
          </cell>
          <cell r="E71">
            <v>2.30310342109071E-2</v>
          </cell>
        </row>
        <row r="72">
          <cell r="A72" t="str">
            <v>AUD_BBSW_EOD</v>
          </cell>
          <cell r="C72">
            <v>44081</v>
          </cell>
          <cell r="E72">
            <v>2.4503737653231401E-2</v>
          </cell>
        </row>
        <row r="73">
          <cell r="A73" t="str">
            <v>AUD_BBSW_EOD</v>
          </cell>
          <cell r="C73">
            <v>44811</v>
          </cell>
          <cell r="E73">
            <v>2.7356894005768101E-2</v>
          </cell>
        </row>
        <row r="74">
          <cell r="A74" t="str">
            <v>AUD_BBSW_EOD</v>
          </cell>
          <cell r="C74">
            <v>45908</v>
          </cell>
          <cell r="E74">
            <v>3.0461659679609399E-2</v>
          </cell>
        </row>
        <row r="75">
          <cell r="A75" t="str">
            <v>AUD_BBSW_EOD</v>
          </cell>
          <cell r="C75">
            <v>46637</v>
          </cell>
          <cell r="E75">
            <v>3.1940531156208998E-2</v>
          </cell>
        </row>
        <row r="76">
          <cell r="A76" t="str">
            <v>AUD_BBSW_EOD</v>
          </cell>
          <cell r="C76">
            <v>47735</v>
          </cell>
          <cell r="E76">
            <v>3.3507612308057703E-2</v>
          </cell>
        </row>
        <row r="77">
          <cell r="A77" t="str">
            <v>AUD_BBSW_EOD</v>
          </cell>
          <cell r="C77">
            <v>49559</v>
          </cell>
          <cell r="E77">
            <v>3.5068622022472698E-2</v>
          </cell>
        </row>
        <row r="78">
          <cell r="A78" t="str">
            <v>AUD_BBSW_EOD</v>
          </cell>
          <cell r="C78">
            <v>51386</v>
          </cell>
          <cell r="E78">
            <v>3.5242157048369999E-2</v>
          </cell>
        </row>
        <row r="79">
          <cell r="A79" t="str">
            <v>AUD_BBSW_EOD</v>
          </cell>
          <cell r="C79">
            <v>53212</v>
          </cell>
          <cell r="E79">
            <v>3.4796184351862401E-2</v>
          </cell>
        </row>
        <row r="80">
          <cell r="A80" t="str">
            <v>AUD_BBSW_EOD</v>
          </cell>
          <cell r="C80">
            <v>56864</v>
          </cell>
          <cell r="E80">
            <v>3.3561645062212403E-2</v>
          </cell>
        </row>
        <row r="81">
          <cell r="A81" t="str">
            <v>CAD_CDOR_1M_EOD</v>
          </cell>
          <cell r="C81">
            <v>42285</v>
          </cell>
          <cell r="E81">
            <v>7.4976893057147999E-3</v>
          </cell>
        </row>
        <row r="82">
          <cell r="A82" t="str">
            <v>CAD_CDOR_1M_EOD</v>
          </cell>
          <cell r="C82">
            <v>42317</v>
          </cell>
          <cell r="E82">
            <v>7.2102250340644802E-3</v>
          </cell>
        </row>
        <row r="83">
          <cell r="A83" t="str">
            <v>CAD_CDOR_1M_EOD</v>
          </cell>
          <cell r="C83">
            <v>42346</v>
          </cell>
          <cell r="E83">
            <v>6.9792180549774398E-3</v>
          </cell>
        </row>
        <row r="84">
          <cell r="A84" t="str">
            <v>CAD_CDOR_1M_EOD</v>
          </cell>
          <cell r="C84">
            <v>42437</v>
          </cell>
          <cell r="E84">
            <v>6.5245324656941E-3</v>
          </cell>
        </row>
        <row r="85">
          <cell r="A85" t="str">
            <v>CAD_CDOR_1M_EOD</v>
          </cell>
          <cell r="C85">
            <v>42529</v>
          </cell>
          <cell r="E85">
            <v>6.39880844326653E-3</v>
          </cell>
        </row>
        <row r="86">
          <cell r="A86" t="str">
            <v>CAD_CDOR_1M_EOD</v>
          </cell>
          <cell r="C86">
            <v>42621</v>
          </cell>
          <cell r="E86">
            <v>6.8934376630206502E-3</v>
          </cell>
        </row>
        <row r="87">
          <cell r="A87" t="str">
            <v>CAD_CDOR_1M_EOD</v>
          </cell>
          <cell r="C87">
            <v>42986</v>
          </cell>
          <cell r="E87">
            <v>6.78400881877083E-3</v>
          </cell>
        </row>
        <row r="88">
          <cell r="A88" t="str">
            <v>CAD_CDOR_1M_EOD</v>
          </cell>
          <cell r="C88">
            <v>43353</v>
          </cell>
          <cell r="E88">
            <v>7.8980849608845296E-3</v>
          </cell>
        </row>
        <row r="89">
          <cell r="A89" t="str">
            <v>CAD_CDOR_1M_EOD</v>
          </cell>
          <cell r="C89">
            <v>43717</v>
          </cell>
          <cell r="E89">
            <v>9.1572540537130393E-3</v>
          </cell>
        </row>
        <row r="90">
          <cell r="A90" t="str">
            <v>CAD_CDOR_1M_EOD</v>
          </cell>
          <cell r="C90">
            <v>44082</v>
          </cell>
          <cell r="E90">
            <v>1.0599779004446299E-2</v>
          </cell>
        </row>
        <row r="91">
          <cell r="A91" t="str">
            <v>CAD_CDOR_1M_EOD</v>
          </cell>
          <cell r="C91">
            <v>44447</v>
          </cell>
          <cell r="E91">
            <v>1.2332358207852299E-2</v>
          </cell>
        </row>
        <row r="92">
          <cell r="A92" t="str">
            <v>CAD_CDOR_1M_EOD</v>
          </cell>
          <cell r="C92">
            <v>44812</v>
          </cell>
          <cell r="E92">
            <v>1.41314811263462E-2</v>
          </cell>
        </row>
        <row r="93">
          <cell r="A93" t="str">
            <v>CAD_CDOR_1M_EOD</v>
          </cell>
          <cell r="C93">
            <v>45177</v>
          </cell>
          <cell r="E93">
            <v>1.5789631473254701E-2</v>
          </cell>
        </row>
        <row r="94">
          <cell r="A94" t="str">
            <v>CAD_CDOR_1M_EOD</v>
          </cell>
          <cell r="C94">
            <v>45544</v>
          </cell>
          <cell r="E94">
            <v>1.7314821859373199E-2</v>
          </cell>
        </row>
        <row r="95">
          <cell r="A95" t="str">
            <v>CAD_CDOR_1M_EOD</v>
          </cell>
          <cell r="C95">
            <v>45908</v>
          </cell>
          <cell r="E95">
            <v>1.8679358025516301E-2</v>
          </cell>
        </row>
        <row r="96">
          <cell r="A96" t="str">
            <v>CAD_CDOR_1M_EOD</v>
          </cell>
          <cell r="C96">
            <v>46638</v>
          </cell>
          <cell r="E96">
            <v>2.1112652362914999E-2</v>
          </cell>
        </row>
        <row r="97">
          <cell r="A97" t="str">
            <v>CAD_CDOR_1M_EOD</v>
          </cell>
          <cell r="C97">
            <v>47735</v>
          </cell>
          <cell r="E97">
            <v>2.3721124642760601E-2</v>
          </cell>
        </row>
        <row r="98">
          <cell r="A98" t="str">
            <v>CAD_CDOR_1M_EOD</v>
          </cell>
          <cell r="C98">
            <v>49562</v>
          </cell>
          <cell r="E98">
            <v>2.54803146569519E-2</v>
          </cell>
        </row>
        <row r="99">
          <cell r="A99" t="str">
            <v>CAD_CDOR_1M_EOD</v>
          </cell>
          <cell r="C99">
            <v>51389</v>
          </cell>
          <cell r="E99">
            <v>2.5754148634942998E-2</v>
          </cell>
        </row>
        <row r="100">
          <cell r="A100" t="str">
            <v>CAD_CDOR_1M_EOD</v>
          </cell>
          <cell r="C100">
            <v>53213</v>
          </cell>
          <cell r="E100">
            <v>2.6006746857354299E-2</v>
          </cell>
        </row>
        <row r="101">
          <cell r="A101" t="str">
            <v>CAD_CDOR_3M_EOD</v>
          </cell>
          <cell r="C101">
            <v>42346</v>
          </cell>
          <cell r="E101">
            <v>7.4830153937395401E-3</v>
          </cell>
        </row>
        <row r="102">
          <cell r="A102" t="str">
            <v>CAD_CDOR_3M_EOD</v>
          </cell>
          <cell r="C102">
            <v>42443</v>
          </cell>
          <cell r="E102">
            <v>6.9899212965089498E-3</v>
          </cell>
        </row>
        <row r="103">
          <cell r="A103" t="str">
            <v>CAD_CDOR_3M_EOD</v>
          </cell>
          <cell r="C103">
            <v>42534</v>
          </cell>
          <cell r="E103">
            <v>6.77802570331876E-3</v>
          </cell>
        </row>
        <row r="104">
          <cell r="A104" t="str">
            <v>CAD_CDOR_3M_EOD</v>
          </cell>
          <cell r="C104">
            <v>42632</v>
          </cell>
          <cell r="E104">
            <v>6.7012011415622796E-3</v>
          </cell>
        </row>
        <row r="105">
          <cell r="A105" t="str">
            <v>CAD_CDOR_3M_EOD</v>
          </cell>
          <cell r="C105">
            <v>42723</v>
          </cell>
          <cell r="E105">
            <v>6.7386238168214204E-3</v>
          </cell>
        </row>
        <row r="106">
          <cell r="A106" t="str">
            <v>CAD_CDOR_3M_EOD</v>
          </cell>
          <cell r="C106">
            <v>42986</v>
          </cell>
          <cell r="E106">
            <v>7.2709965258442198E-3</v>
          </cell>
        </row>
        <row r="107">
          <cell r="A107" t="str">
            <v>CAD_CDOR_3M_EOD</v>
          </cell>
          <cell r="C107">
            <v>43353</v>
          </cell>
          <cell r="E107">
            <v>8.4194773673856391E-3</v>
          </cell>
        </row>
        <row r="108">
          <cell r="A108" t="str">
            <v>CAD_CDOR_3M_EOD</v>
          </cell>
          <cell r="C108">
            <v>43717</v>
          </cell>
          <cell r="E108">
            <v>9.7374167023919593E-3</v>
          </cell>
        </row>
        <row r="109">
          <cell r="A109" t="str">
            <v>CAD_CDOR_3M_EOD</v>
          </cell>
          <cell r="C109">
            <v>44082</v>
          </cell>
          <cell r="E109">
            <v>1.1231469447537199E-2</v>
          </cell>
        </row>
        <row r="110">
          <cell r="A110" t="str">
            <v>CAD_CDOR_3M_EOD</v>
          </cell>
          <cell r="C110">
            <v>44447</v>
          </cell>
          <cell r="E110">
            <v>1.2939912778843101E-2</v>
          </cell>
        </row>
        <row r="111">
          <cell r="A111" t="str">
            <v>CAD_CDOR_3M_EOD</v>
          </cell>
          <cell r="C111">
            <v>44812</v>
          </cell>
          <cell r="E111">
            <v>1.4727485023654599E-2</v>
          </cell>
        </row>
        <row r="112">
          <cell r="A112" t="str">
            <v>CAD_CDOR_3M_EOD</v>
          </cell>
          <cell r="C112">
            <v>45177</v>
          </cell>
          <cell r="E112">
            <v>1.6378885882003699E-2</v>
          </cell>
        </row>
        <row r="113">
          <cell r="A113" t="str">
            <v>CAD_CDOR_3M_EOD</v>
          </cell>
          <cell r="C113">
            <v>45544</v>
          </cell>
          <cell r="E113">
            <v>1.7877212941012199E-2</v>
          </cell>
        </row>
        <row r="114">
          <cell r="A114" t="str">
            <v>CAD_CDOR_3M_EOD</v>
          </cell>
          <cell r="C114">
            <v>45908</v>
          </cell>
          <cell r="E114">
            <v>1.9199107128071199E-2</v>
          </cell>
        </row>
        <row r="115">
          <cell r="A115" t="str">
            <v>CAD_CDOR_3M_EOD</v>
          </cell>
          <cell r="C115">
            <v>46638</v>
          </cell>
          <cell r="E115">
            <v>2.1590554335517501E-2</v>
          </cell>
        </row>
        <row r="116">
          <cell r="A116" t="str">
            <v>CAD_CDOR_3M_EOD</v>
          </cell>
          <cell r="C116">
            <v>47735</v>
          </cell>
          <cell r="E116">
            <v>2.4107914935479001E-2</v>
          </cell>
        </row>
        <row r="117">
          <cell r="A117" t="str">
            <v>CAD_CDOR_3M_EOD</v>
          </cell>
          <cell r="C117">
            <v>49562</v>
          </cell>
          <cell r="E117">
            <v>2.5730419829828498E-2</v>
          </cell>
        </row>
        <row r="118">
          <cell r="A118" t="str">
            <v>CAD_CDOR_3M_EOD</v>
          </cell>
          <cell r="C118">
            <v>51389</v>
          </cell>
          <cell r="E118">
            <v>2.60191329699965E-2</v>
          </cell>
        </row>
        <row r="119">
          <cell r="A119" t="str">
            <v>CAD_CDOR_3M_EOD</v>
          </cell>
          <cell r="C119">
            <v>53213</v>
          </cell>
          <cell r="E119">
            <v>2.6139376529658101E-2</v>
          </cell>
        </row>
        <row r="120">
          <cell r="A120" t="str">
            <v>CAD_CDOR_EOD</v>
          </cell>
          <cell r="C120">
            <v>42255</v>
          </cell>
          <cell r="E120">
            <v>5.1249640200343996E-3</v>
          </cell>
        </row>
        <row r="121">
          <cell r="A121" t="str">
            <v>CAD_CDOR_EOD</v>
          </cell>
          <cell r="C121">
            <v>42262</v>
          </cell>
          <cell r="E121">
            <v>5.55468775300601E-3</v>
          </cell>
        </row>
        <row r="122">
          <cell r="A122" t="str">
            <v>CAD_CDOR_EOD</v>
          </cell>
          <cell r="C122">
            <v>42285</v>
          </cell>
          <cell r="E122">
            <v>7.4211497803714499E-3</v>
          </cell>
        </row>
        <row r="123">
          <cell r="A123" t="str">
            <v>CAD_CDOR_EOD</v>
          </cell>
          <cell r="C123">
            <v>42317</v>
          </cell>
          <cell r="E123">
            <v>7.4379459100131096E-3</v>
          </cell>
        </row>
        <row r="124">
          <cell r="A124" t="str">
            <v>CAD_CDOR_EOD</v>
          </cell>
          <cell r="C124">
            <v>42346</v>
          </cell>
          <cell r="E124">
            <v>7.4573844005471797E-3</v>
          </cell>
        </row>
        <row r="125">
          <cell r="A125" t="str">
            <v>CAD_CDOR_EOD</v>
          </cell>
          <cell r="C125">
            <v>42443</v>
          </cell>
          <cell r="E125">
            <v>6.9770400794180896E-3</v>
          </cell>
        </row>
        <row r="126">
          <cell r="A126" t="str">
            <v>CAD_CDOR_EOD</v>
          </cell>
          <cell r="C126">
            <v>42534</v>
          </cell>
          <cell r="E126">
            <v>6.7693308817837698E-3</v>
          </cell>
        </row>
        <row r="127">
          <cell r="A127" t="str">
            <v>CAD_CDOR_EOD</v>
          </cell>
          <cell r="C127">
            <v>42632</v>
          </cell>
          <cell r="E127">
            <v>6.6947605330167099E-3</v>
          </cell>
        </row>
        <row r="128">
          <cell r="A128" t="str">
            <v>CAD_CDOR_EOD</v>
          </cell>
          <cell r="C128">
            <v>42723</v>
          </cell>
          <cell r="E128">
            <v>6.7334328785904401E-3</v>
          </cell>
        </row>
        <row r="129">
          <cell r="A129" t="str">
            <v>CAD_CDOR_EOD</v>
          </cell>
          <cell r="C129">
            <v>42986</v>
          </cell>
          <cell r="E129">
            <v>7.2685937395071797E-3</v>
          </cell>
        </row>
        <row r="130">
          <cell r="A130" t="str">
            <v>CAD_CDOR_EOD</v>
          </cell>
          <cell r="C130">
            <v>43353</v>
          </cell>
          <cell r="E130">
            <v>8.4210865706214697E-3</v>
          </cell>
        </row>
        <row r="131">
          <cell r="A131" t="str">
            <v>CAD_CDOR_EOD</v>
          </cell>
          <cell r="C131">
            <v>43717</v>
          </cell>
          <cell r="E131">
            <v>9.7457380344361799E-3</v>
          </cell>
        </row>
        <row r="132">
          <cell r="A132" t="str">
            <v>CAD_CDOR_EOD</v>
          </cell>
          <cell r="C132">
            <v>44082</v>
          </cell>
          <cell r="E132">
            <v>1.12471525628787E-2</v>
          </cell>
        </row>
        <row r="133">
          <cell r="A133" t="str">
            <v>CAD_CDOR_EOD</v>
          </cell>
          <cell r="C133">
            <v>44447</v>
          </cell>
          <cell r="E133">
            <v>1.29652960278116E-2</v>
          </cell>
        </row>
        <row r="134">
          <cell r="A134" t="str">
            <v>CAD_CDOR_EOD</v>
          </cell>
          <cell r="C134">
            <v>44812</v>
          </cell>
          <cell r="E134">
            <v>1.47649928213905E-2</v>
          </cell>
        </row>
        <row r="135">
          <cell r="A135" t="str">
            <v>CAD_CDOR_EOD</v>
          </cell>
          <cell r="C135">
            <v>45177</v>
          </cell>
          <cell r="E135">
            <v>1.6430427801420899E-2</v>
          </cell>
        </row>
        <row r="136">
          <cell r="A136" t="str">
            <v>CAD_CDOR_EOD</v>
          </cell>
          <cell r="C136">
            <v>45544</v>
          </cell>
          <cell r="E136">
            <v>1.7942695662815498E-2</v>
          </cell>
        </row>
        <row r="137">
          <cell r="A137" t="str">
            <v>CAD_CDOR_EOD</v>
          </cell>
          <cell r="C137">
            <v>45908</v>
          </cell>
          <cell r="E137">
            <v>1.92764305334438E-2</v>
          </cell>
        </row>
        <row r="138">
          <cell r="A138" t="str">
            <v>CAD_CDOR_EOD</v>
          </cell>
          <cell r="C138">
            <v>46638</v>
          </cell>
          <cell r="E138">
            <v>2.1691160399645502E-2</v>
          </cell>
        </row>
        <row r="139">
          <cell r="A139" t="str">
            <v>CAD_CDOR_EOD</v>
          </cell>
          <cell r="C139">
            <v>47735</v>
          </cell>
          <cell r="E139">
            <v>2.42361115775705E-2</v>
          </cell>
        </row>
        <row r="140">
          <cell r="A140" t="str">
            <v>CAD_CDOR_EOD</v>
          </cell>
          <cell r="C140">
            <v>49562</v>
          </cell>
          <cell r="E140">
            <v>2.5871772930192501E-2</v>
          </cell>
        </row>
        <row r="141">
          <cell r="A141" t="str">
            <v>CAD_CDOR_EOD</v>
          </cell>
          <cell r="C141">
            <v>51389</v>
          </cell>
          <cell r="E141">
            <v>2.6148795200654901E-2</v>
          </cell>
        </row>
        <row r="142">
          <cell r="A142" t="str">
            <v>CAD_CDOR_EOD</v>
          </cell>
          <cell r="C142">
            <v>53213</v>
          </cell>
          <cell r="E142">
            <v>2.6259027572215699E-2</v>
          </cell>
        </row>
        <row r="143">
          <cell r="A143" t="str">
            <v>CAD_CORRA_EOD</v>
          </cell>
          <cell r="C143">
            <v>42255</v>
          </cell>
          <cell r="E143">
            <v>5.1249640200343996E-3</v>
          </cell>
        </row>
        <row r="144">
          <cell r="A144" t="str">
            <v>CAD_CORRA_EOD</v>
          </cell>
          <cell r="C144">
            <v>42262</v>
          </cell>
          <cell r="E144">
            <v>4.7966812053522496E-3</v>
          </cell>
        </row>
        <row r="145">
          <cell r="A145" t="str">
            <v>CAD_CORRA_EOD</v>
          </cell>
          <cell r="C145">
            <v>42285</v>
          </cell>
          <cell r="E145">
            <v>4.6934828381855198E-3</v>
          </cell>
        </row>
        <row r="146">
          <cell r="A146" t="str">
            <v>CAD_CORRA_EOD</v>
          </cell>
          <cell r="C146">
            <v>42317</v>
          </cell>
          <cell r="E146">
            <v>4.5737863484725701E-3</v>
          </cell>
        </row>
        <row r="147">
          <cell r="A147" t="str">
            <v>CAD_CORRA_EOD</v>
          </cell>
          <cell r="C147">
            <v>42346</v>
          </cell>
          <cell r="E147">
            <v>4.4614835638135796E-3</v>
          </cell>
        </row>
        <row r="148">
          <cell r="A148" t="str">
            <v>CAD_CORRA_EOD</v>
          </cell>
          <cell r="C148">
            <v>42377</v>
          </cell>
          <cell r="E148">
            <v>4.3135494187990101E-3</v>
          </cell>
        </row>
        <row r="149">
          <cell r="A149" t="str">
            <v>CAD_CORRA_EOD</v>
          </cell>
          <cell r="C149">
            <v>42408</v>
          </cell>
          <cell r="E149">
            <v>4.2072962192069496E-3</v>
          </cell>
        </row>
        <row r="150">
          <cell r="A150" t="str">
            <v>CAD_CORRA_EOD</v>
          </cell>
          <cell r="C150">
            <v>42437</v>
          </cell>
          <cell r="E150">
            <v>4.1212885139558803E-3</v>
          </cell>
        </row>
        <row r="151">
          <cell r="A151" t="str">
            <v>CAD_CORRA_EOD</v>
          </cell>
          <cell r="C151">
            <v>42468</v>
          </cell>
          <cell r="E151">
            <v>4.0502671178866897E-3</v>
          </cell>
        </row>
        <row r="152">
          <cell r="A152" t="str">
            <v>CAD_CORRA_EOD</v>
          </cell>
          <cell r="C152">
            <v>42499</v>
          </cell>
          <cell r="E152">
            <v>3.9893423913930897E-3</v>
          </cell>
        </row>
        <row r="153">
          <cell r="A153" t="str">
            <v>CAD_CORRA_EOD</v>
          </cell>
          <cell r="C153">
            <v>42529</v>
          </cell>
          <cell r="E153">
            <v>3.9484491202102E-3</v>
          </cell>
        </row>
        <row r="154">
          <cell r="A154" t="str">
            <v>CAD_CORRA_EOD</v>
          </cell>
          <cell r="C154">
            <v>42559</v>
          </cell>
          <cell r="E154">
            <v>3.92752110898692E-3</v>
          </cell>
        </row>
        <row r="155">
          <cell r="A155" t="str">
            <v>CAD_CORRA_EOD</v>
          </cell>
          <cell r="C155">
            <v>42590</v>
          </cell>
          <cell r="E155">
            <v>3.9116050444206298E-3</v>
          </cell>
        </row>
        <row r="156">
          <cell r="A156" t="str">
            <v>CAD_CORRA_EOD</v>
          </cell>
          <cell r="C156">
            <v>42621</v>
          </cell>
          <cell r="E156">
            <v>3.9007194286317499E-3</v>
          </cell>
        </row>
        <row r="157">
          <cell r="A157" t="str">
            <v>CAD_CORRA_EOD</v>
          </cell>
          <cell r="C157">
            <v>42802</v>
          </cell>
          <cell r="E157">
            <v>4.1062640584949598E-3</v>
          </cell>
        </row>
        <row r="158">
          <cell r="A158" t="str">
            <v>CAD_CORRA_EOD</v>
          </cell>
          <cell r="C158">
            <v>42986</v>
          </cell>
          <cell r="E158">
            <v>4.5673508983526999E-3</v>
          </cell>
        </row>
        <row r="159">
          <cell r="A159" t="str">
            <v>CAD_CORRA_EOD</v>
          </cell>
          <cell r="C159">
            <v>43353</v>
          </cell>
          <cell r="E159">
            <v>5.7129572553171401E-3</v>
          </cell>
        </row>
        <row r="160">
          <cell r="A160" t="str">
            <v>CAD_CORRA_EOD</v>
          </cell>
          <cell r="C160">
            <v>43717</v>
          </cell>
          <cell r="E160">
            <v>6.96683360942484E-3</v>
          </cell>
        </row>
        <row r="161">
          <cell r="A161" t="str">
            <v>CAD_CORRA_EOD</v>
          </cell>
          <cell r="C161">
            <v>44082</v>
          </cell>
          <cell r="E161">
            <v>8.4291698099713906E-3</v>
          </cell>
        </row>
        <row r="162">
          <cell r="A162" t="str">
            <v>CAD_CORRA_EOD</v>
          </cell>
          <cell r="C162">
            <v>44812</v>
          </cell>
          <cell r="E162">
            <v>1.1946355519244899E-2</v>
          </cell>
        </row>
        <row r="163">
          <cell r="A163" t="str">
            <v>CAD_CORRA_EOD</v>
          </cell>
          <cell r="C163">
            <v>45908</v>
          </cell>
          <cell r="E163">
            <v>1.64267360508937E-2</v>
          </cell>
        </row>
        <row r="164">
          <cell r="A164" t="str">
            <v>CAD_CORRA_EOD</v>
          </cell>
          <cell r="C164">
            <v>46638</v>
          </cell>
          <cell r="E164">
            <v>1.8908498176897201E-2</v>
          </cell>
        </row>
        <row r="165">
          <cell r="A165" t="str">
            <v>CAD_CORRA_EOD</v>
          </cell>
          <cell r="C165">
            <v>47735</v>
          </cell>
          <cell r="E165">
            <v>2.1374300294633199E-2</v>
          </cell>
        </row>
        <row r="166">
          <cell r="A166" t="str">
            <v>CAD_CORRA_EOD</v>
          </cell>
          <cell r="C166">
            <v>49562</v>
          </cell>
          <cell r="E166">
            <v>2.3026293710745899E-2</v>
          </cell>
        </row>
        <row r="167">
          <cell r="A167" t="str">
            <v>CAD_CORRA_EOD</v>
          </cell>
          <cell r="C167">
            <v>53213</v>
          </cell>
          <cell r="E167">
            <v>2.3480610900109899E-2</v>
          </cell>
        </row>
        <row r="168">
          <cell r="A168" t="str">
            <v>CHF_LIBOR_12M_EOD</v>
          </cell>
          <cell r="C168">
            <v>42622</v>
          </cell>
          <cell r="E168">
            <v>-5.7041991238663296E-3</v>
          </cell>
        </row>
        <row r="169">
          <cell r="A169" t="str">
            <v>CHF_LIBOR_12M_EOD</v>
          </cell>
          <cell r="C169">
            <v>42989</v>
          </cell>
          <cell r="E169">
            <v>-5.2620387476419303E-3</v>
          </cell>
        </row>
        <row r="170">
          <cell r="A170" t="str">
            <v>CHF_LIBOR_12M_EOD</v>
          </cell>
          <cell r="C170">
            <v>43353</v>
          </cell>
          <cell r="E170">
            <v>-4.5048762384582103E-3</v>
          </cell>
        </row>
        <row r="171">
          <cell r="A171" t="str">
            <v>CHF_LIBOR_12M_EOD</v>
          </cell>
          <cell r="C171">
            <v>43717</v>
          </cell>
          <cell r="E171">
            <v>-3.5225755857080602E-3</v>
          </cell>
        </row>
        <row r="172">
          <cell r="A172" t="str">
            <v>CHF_LIBOR_12M_EOD</v>
          </cell>
          <cell r="C172">
            <v>44083</v>
          </cell>
          <cell r="E172">
            <v>-2.2882093016179301E-3</v>
          </cell>
        </row>
        <row r="173">
          <cell r="A173" t="str">
            <v>CHF_LIBOR_12M_EOD</v>
          </cell>
          <cell r="C173">
            <v>44448</v>
          </cell>
          <cell r="E173">
            <v>-8.7407630665409003E-4</v>
          </cell>
        </row>
        <row r="174">
          <cell r="A174" t="str">
            <v>CHF_LIBOR_12M_EOD</v>
          </cell>
          <cell r="C174">
            <v>44813</v>
          </cell>
          <cell r="E174">
            <v>4.5623767007628999E-4</v>
          </cell>
        </row>
        <row r="175">
          <cell r="A175" t="str">
            <v>CHF_LIBOR_12M_EOD</v>
          </cell>
          <cell r="C175">
            <v>45180</v>
          </cell>
          <cell r="E175">
            <v>1.6139035906445501E-3</v>
          </cell>
        </row>
        <row r="176">
          <cell r="A176" t="str">
            <v>CHF_LIBOR_12M_EOD</v>
          </cell>
          <cell r="C176">
            <v>45544</v>
          </cell>
          <cell r="E176">
            <v>2.6253491567065999E-3</v>
          </cell>
        </row>
        <row r="177">
          <cell r="A177" t="str">
            <v>CHF_LIBOR_12M_EOD</v>
          </cell>
          <cell r="C177">
            <v>45909</v>
          </cell>
          <cell r="E177">
            <v>3.46604542725862E-3</v>
          </cell>
        </row>
        <row r="178">
          <cell r="A178" t="str">
            <v>CHF_LIBOR_12M_EOD</v>
          </cell>
          <cell r="C178">
            <v>46639</v>
          </cell>
          <cell r="E178">
            <v>4.9165958074812999E-3</v>
          </cell>
        </row>
        <row r="179">
          <cell r="A179" t="str">
            <v>CHF_LIBOR_12M_EOD</v>
          </cell>
          <cell r="C179">
            <v>47735</v>
          </cell>
          <cell r="E179">
            <v>6.4260801383901498E-3</v>
          </cell>
        </row>
        <row r="180">
          <cell r="A180" t="str">
            <v>CHF_LIBOR_12M_EOD</v>
          </cell>
          <cell r="C180">
            <v>49562</v>
          </cell>
          <cell r="E180">
            <v>7.8690639176805504E-3</v>
          </cell>
        </row>
        <row r="181">
          <cell r="A181" t="str">
            <v>CHF_LIBOR_12M_EOD</v>
          </cell>
          <cell r="C181">
            <v>51389</v>
          </cell>
          <cell r="E181">
            <v>8.5442480519435492E-3</v>
          </cell>
        </row>
        <row r="182">
          <cell r="A182" t="str">
            <v>CHF_LIBOR_12M_EOD</v>
          </cell>
          <cell r="C182">
            <v>53216</v>
          </cell>
          <cell r="E182">
            <v>8.7115630895015905E-3</v>
          </cell>
        </row>
        <row r="183">
          <cell r="A183" t="str">
            <v>CHF_LIBOR_12M_EOD</v>
          </cell>
          <cell r="C183">
            <v>56866</v>
          </cell>
          <cell r="E183">
            <v>9.3411106030118797E-3</v>
          </cell>
        </row>
        <row r="184">
          <cell r="A184" t="str">
            <v>CHF_LIBOR_3M_EOD</v>
          </cell>
          <cell r="C184">
            <v>42347</v>
          </cell>
          <cell r="E184">
            <v>-7.3980684907723696E-3</v>
          </cell>
        </row>
        <row r="185">
          <cell r="A185" t="str">
            <v>CHF_LIBOR_3M_EOD</v>
          </cell>
          <cell r="C185">
            <v>42445</v>
          </cell>
          <cell r="E185">
            <v>-7.5549327617394097E-3</v>
          </cell>
        </row>
        <row r="186">
          <cell r="A186" t="str">
            <v>CHF_LIBOR_3M_EOD</v>
          </cell>
          <cell r="C186">
            <v>42536</v>
          </cell>
          <cell r="E186">
            <v>-7.6728315522985296E-3</v>
          </cell>
        </row>
        <row r="187">
          <cell r="A187" t="str">
            <v>CHF_LIBOR_3M_EOD</v>
          </cell>
          <cell r="C187">
            <v>42634</v>
          </cell>
          <cell r="E187">
            <v>-7.7376976396199004E-3</v>
          </cell>
        </row>
        <row r="188">
          <cell r="A188" t="str">
            <v>CHF_LIBOR_3M_EOD</v>
          </cell>
          <cell r="C188">
            <v>42725</v>
          </cell>
          <cell r="E188">
            <v>-7.7525463574812901E-3</v>
          </cell>
        </row>
        <row r="189">
          <cell r="A189" t="str">
            <v>CHF_LIBOR_3M_EOD</v>
          </cell>
          <cell r="C189">
            <v>42989</v>
          </cell>
          <cell r="E189">
            <v>-7.5420558438747199E-3</v>
          </cell>
        </row>
        <row r="190">
          <cell r="A190" t="str">
            <v>CHF_LIBOR_3M_EOD</v>
          </cell>
          <cell r="C190">
            <v>43353</v>
          </cell>
          <cell r="E190">
            <v>-6.9351061452073998E-3</v>
          </cell>
        </row>
        <row r="191">
          <cell r="A191" t="str">
            <v>CHF_LIBOR_3M_EOD</v>
          </cell>
          <cell r="C191">
            <v>43717</v>
          </cell>
          <cell r="E191">
            <v>-6.0274409048755697E-3</v>
          </cell>
        </row>
        <row r="192">
          <cell r="A192" t="str">
            <v>CHF_LIBOR_3M_EOD</v>
          </cell>
          <cell r="C192">
            <v>44083</v>
          </cell>
          <cell r="E192">
            <v>-4.8397067261883404E-3</v>
          </cell>
        </row>
        <row r="193">
          <cell r="A193" t="str">
            <v>CHF_LIBOR_3M_EOD</v>
          </cell>
          <cell r="C193">
            <v>44448</v>
          </cell>
          <cell r="E193">
            <v>-3.44796293941978E-3</v>
          </cell>
        </row>
        <row r="194">
          <cell r="A194" t="str">
            <v>CHF_LIBOR_3M_EOD</v>
          </cell>
          <cell r="C194">
            <v>44813</v>
          </cell>
          <cell r="E194">
            <v>-2.1148942135039402E-3</v>
          </cell>
        </row>
        <row r="195">
          <cell r="A195" t="str">
            <v>CHF_LIBOR_3M_EOD</v>
          </cell>
          <cell r="C195">
            <v>45180</v>
          </cell>
          <cell r="E195">
            <v>-9.2971328280160004E-4</v>
          </cell>
        </row>
        <row r="196">
          <cell r="A196" t="str">
            <v>CHF_LIBOR_3M_EOD</v>
          </cell>
          <cell r="C196">
            <v>45544</v>
          </cell>
          <cell r="E196">
            <v>8.4326958812220001E-5</v>
          </cell>
        </row>
        <row r="197">
          <cell r="A197" t="str">
            <v>CHF_LIBOR_3M_EOD</v>
          </cell>
          <cell r="C197">
            <v>45909</v>
          </cell>
          <cell r="E197">
            <v>9.7788897671163008E-4</v>
          </cell>
        </row>
        <row r="198">
          <cell r="A198" t="str">
            <v>CHF_LIBOR_3M_EOD</v>
          </cell>
          <cell r="C198">
            <v>46639</v>
          </cell>
          <cell r="E198">
            <v>2.5073642562248601E-3</v>
          </cell>
        </row>
        <row r="199">
          <cell r="A199" t="str">
            <v>CHF_LIBOR_3M_EOD</v>
          </cell>
          <cell r="C199">
            <v>47735</v>
          </cell>
          <cell r="E199">
            <v>4.2015722448654601E-3</v>
          </cell>
        </row>
        <row r="200">
          <cell r="A200" t="str">
            <v>CHF_LIBOR_3M_EOD</v>
          </cell>
          <cell r="C200">
            <v>49562</v>
          </cell>
          <cell r="E200">
            <v>5.8563952993780704E-3</v>
          </cell>
        </row>
        <row r="201">
          <cell r="A201" t="str">
            <v>CHF_LIBOR_3M_EOD</v>
          </cell>
          <cell r="C201">
            <v>51389</v>
          </cell>
          <cell r="E201">
            <v>6.6383121290848404E-3</v>
          </cell>
        </row>
        <row r="202">
          <cell r="A202" t="str">
            <v>CHF_LIBOR_3M_EOD</v>
          </cell>
          <cell r="C202">
            <v>53216</v>
          </cell>
          <cell r="E202">
            <v>6.8847481826205701E-3</v>
          </cell>
        </row>
        <row r="203">
          <cell r="A203" t="str">
            <v>CHF_LIBOR_3M_EOD</v>
          </cell>
          <cell r="C203">
            <v>56866</v>
          </cell>
          <cell r="E203">
            <v>6.8636738876276899E-3</v>
          </cell>
        </row>
        <row r="204">
          <cell r="A204" t="str">
            <v>CHF_LIBOR_6M_EOD</v>
          </cell>
          <cell r="C204">
            <v>42438</v>
          </cell>
          <cell r="E204">
            <v>-6.8249331954060204E-3</v>
          </cell>
        </row>
        <row r="205">
          <cell r="A205" t="str">
            <v>CHF_LIBOR_6M_EOD</v>
          </cell>
          <cell r="C205">
            <v>42622</v>
          </cell>
          <cell r="E205">
            <v>-6.8364427049988803E-3</v>
          </cell>
        </row>
        <row r="206">
          <cell r="A206" t="str">
            <v>CHF_LIBOR_6M_EOD</v>
          </cell>
          <cell r="C206">
            <v>42803</v>
          </cell>
          <cell r="E206">
            <v>-6.7576688167496398E-3</v>
          </cell>
        </row>
        <row r="207">
          <cell r="A207" t="str">
            <v>CHF_LIBOR_6M_EOD</v>
          </cell>
          <cell r="C207">
            <v>42989</v>
          </cell>
          <cell r="E207">
            <v>-6.5912319656791203E-3</v>
          </cell>
        </row>
        <row r="208">
          <cell r="A208" t="str">
            <v>CHF_LIBOR_6M_EOD</v>
          </cell>
          <cell r="C208">
            <v>43353</v>
          </cell>
          <cell r="E208">
            <v>-5.8589163675339603E-3</v>
          </cell>
        </row>
        <row r="209">
          <cell r="A209" t="str">
            <v>CHF_LIBOR_6M_EOD</v>
          </cell>
          <cell r="C209">
            <v>43717</v>
          </cell>
          <cell r="E209">
            <v>-4.85185038947979E-3</v>
          </cell>
        </row>
        <row r="210">
          <cell r="A210" t="str">
            <v>CHF_LIBOR_6M_EOD</v>
          </cell>
          <cell r="C210">
            <v>44083</v>
          </cell>
          <cell r="E210">
            <v>-3.6152727191302598E-3</v>
          </cell>
        </row>
        <row r="211">
          <cell r="A211" t="str">
            <v>CHF_LIBOR_6M_EOD</v>
          </cell>
          <cell r="C211">
            <v>44448</v>
          </cell>
          <cell r="E211">
            <v>-2.19925475709256E-3</v>
          </cell>
        </row>
        <row r="212">
          <cell r="A212" t="str">
            <v>CHF_LIBOR_6M_EOD</v>
          </cell>
          <cell r="C212">
            <v>44813</v>
          </cell>
          <cell r="E212">
            <v>-8.4202515592702004E-4</v>
          </cell>
        </row>
        <row r="213">
          <cell r="A213" t="str">
            <v>CHF_LIBOR_6M_EOD</v>
          </cell>
          <cell r="C213">
            <v>45180</v>
          </cell>
          <cell r="E213">
            <v>3.4240945262276003E-4</v>
          </cell>
        </row>
        <row r="214">
          <cell r="A214" t="str">
            <v>CHF_LIBOR_6M_EOD</v>
          </cell>
          <cell r="C214">
            <v>45544</v>
          </cell>
          <cell r="E214">
            <v>1.33047654040865E-3</v>
          </cell>
        </row>
        <row r="215">
          <cell r="A215" t="str">
            <v>CHF_LIBOR_6M_EOD</v>
          </cell>
          <cell r="C215">
            <v>45909</v>
          </cell>
          <cell r="E215">
            <v>2.1981281545089999E-3</v>
          </cell>
        </row>
        <row r="216">
          <cell r="A216" t="str">
            <v>CHF_LIBOR_6M_EOD</v>
          </cell>
          <cell r="C216">
            <v>46639</v>
          </cell>
          <cell r="E216">
            <v>3.6247404156046401E-3</v>
          </cell>
        </row>
        <row r="217">
          <cell r="A217" t="str">
            <v>CHF_LIBOR_6M_EOD</v>
          </cell>
          <cell r="C217">
            <v>47735</v>
          </cell>
          <cell r="E217">
            <v>5.1367727090276998E-3</v>
          </cell>
        </row>
        <row r="218">
          <cell r="A218" t="str">
            <v>CHF_LIBOR_6M_EOD</v>
          </cell>
          <cell r="C218">
            <v>49562</v>
          </cell>
          <cell r="E218">
            <v>6.5807445534430001E-3</v>
          </cell>
        </row>
        <row r="219">
          <cell r="A219" t="str">
            <v>CHF_LIBOR_6M_EOD</v>
          </cell>
          <cell r="C219">
            <v>51389</v>
          </cell>
          <cell r="E219">
            <v>7.2571712414035696E-3</v>
          </cell>
        </row>
        <row r="220">
          <cell r="A220" t="str">
            <v>CHF_LIBOR_6M_EOD</v>
          </cell>
          <cell r="C220">
            <v>53216</v>
          </cell>
          <cell r="E220">
            <v>7.4246227036787304E-3</v>
          </cell>
        </row>
        <row r="221">
          <cell r="A221" t="str">
            <v>CHF_LIBOR_6M_EOD</v>
          </cell>
          <cell r="C221">
            <v>56866</v>
          </cell>
          <cell r="E221">
            <v>7.4112879820385598E-3</v>
          </cell>
        </row>
        <row r="222">
          <cell r="A222" t="str">
            <v>CHF_LIBOR_EOD</v>
          </cell>
          <cell r="C222">
            <v>42255</v>
          </cell>
          <cell r="E222">
            <v>-7.9084190081932602E-3</v>
          </cell>
        </row>
        <row r="223">
          <cell r="A223" t="str">
            <v>CHF_LIBOR_EOD</v>
          </cell>
          <cell r="C223">
            <v>42256</v>
          </cell>
          <cell r="E223">
            <v>-7.9084190081799097E-3</v>
          </cell>
        </row>
        <row r="224">
          <cell r="A224" t="str">
            <v>CHF_LIBOR_EOD</v>
          </cell>
          <cell r="C224">
            <v>42263</v>
          </cell>
          <cell r="E224">
            <v>-8.1138813482643495E-3</v>
          </cell>
        </row>
        <row r="225">
          <cell r="A225" t="str">
            <v>CHF_LIBOR_EOD</v>
          </cell>
          <cell r="C225">
            <v>42286</v>
          </cell>
          <cell r="E225">
            <v>-8.0153750809404505E-3</v>
          </cell>
        </row>
        <row r="226">
          <cell r="A226" t="str">
            <v>CHF_LIBOR_EOD</v>
          </cell>
          <cell r="C226">
            <v>42317</v>
          </cell>
          <cell r="E226">
            <v>-7.7462929150381998E-3</v>
          </cell>
        </row>
        <row r="227">
          <cell r="A227" t="str">
            <v>CHF_LIBOR_EOD</v>
          </cell>
          <cell r="C227">
            <v>42347</v>
          </cell>
          <cell r="E227">
            <v>-7.4090437707166196E-3</v>
          </cell>
        </row>
        <row r="228">
          <cell r="A228" t="str">
            <v>CHF_LIBOR_EOD</v>
          </cell>
          <cell r="C228">
            <v>42445</v>
          </cell>
          <cell r="E228">
            <v>-7.5604758324183102E-3</v>
          </cell>
        </row>
        <row r="229">
          <cell r="A229" t="str">
            <v>CHF_LIBOR_EOD</v>
          </cell>
          <cell r="C229">
            <v>42536</v>
          </cell>
          <cell r="E229">
            <v>-7.6765859015884104E-3</v>
          </cell>
        </row>
        <row r="230">
          <cell r="A230" t="str">
            <v>CHF_LIBOR_EOD</v>
          </cell>
          <cell r="C230">
            <v>42634</v>
          </cell>
          <cell r="E230">
            <v>-7.7404837619876703E-3</v>
          </cell>
        </row>
        <row r="231">
          <cell r="A231" t="str">
            <v>CHF_LIBOR_EOD</v>
          </cell>
          <cell r="C231">
            <v>42725</v>
          </cell>
          <cell r="E231">
            <v>-7.7547941844446798E-3</v>
          </cell>
        </row>
        <row r="232">
          <cell r="A232" t="str">
            <v>CHF_LIBOR_EOD</v>
          </cell>
          <cell r="C232">
            <v>42989</v>
          </cell>
          <cell r="E232">
            <v>-6.5978913443061503E-3</v>
          </cell>
        </row>
        <row r="233">
          <cell r="A233" t="str">
            <v>CHF_LIBOR_EOD</v>
          </cell>
          <cell r="C233">
            <v>43353</v>
          </cell>
          <cell r="E233">
            <v>-5.86219173869166E-3</v>
          </cell>
        </row>
        <row r="234">
          <cell r="A234" t="str">
            <v>CHF_LIBOR_EOD</v>
          </cell>
          <cell r="C234">
            <v>43717</v>
          </cell>
          <cell r="E234">
            <v>-4.8515302691844002E-3</v>
          </cell>
        </row>
        <row r="235">
          <cell r="A235" t="str">
            <v>CHF_LIBOR_EOD</v>
          </cell>
          <cell r="C235">
            <v>44083</v>
          </cell>
          <cell r="E235">
            <v>-3.61172740112086E-3</v>
          </cell>
        </row>
        <row r="236">
          <cell r="A236" t="str">
            <v>CHF_LIBOR_EOD</v>
          </cell>
          <cell r="C236">
            <v>44448</v>
          </cell>
          <cell r="E236">
            <v>-2.1912981042634702E-3</v>
          </cell>
        </row>
        <row r="237">
          <cell r="A237" t="str">
            <v>CHF_LIBOR_EOD</v>
          </cell>
          <cell r="C237">
            <v>44813</v>
          </cell>
          <cell r="E237">
            <v>-8.2865081280550997E-4</v>
          </cell>
        </row>
        <row r="238">
          <cell r="A238" t="str">
            <v>CHF_LIBOR_EOD</v>
          </cell>
          <cell r="C238">
            <v>45180</v>
          </cell>
          <cell r="E238">
            <v>3.6133289847242001E-4</v>
          </cell>
        </row>
        <row r="239">
          <cell r="A239" t="str">
            <v>CHF_LIBOR_EOD</v>
          </cell>
          <cell r="C239">
            <v>45544</v>
          </cell>
          <cell r="E239">
            <v>1.3534191333565799E-3</v>
          </cell>
        </row>
        <row r="240">
          <cell r="A240" t="str">
            <v>CHF_LIBOR_EOD</v>
          </cell>
          <cell r="C240">
            <v>45909</v>
          </cell>
          <cell r="E240">
            <v>2.2252025274645199E-3</v>
          </cell>
        </row>
        <row r="241">
          <cell r="A241" t="str">
            <v>CHF_LIBOR_EOD</v>
          </cell>
          <cell r="C241">
            <v>46639</v>
          </cell>
          <cell r="E241">
            <v>3.6584365893677401E-3</v>
          </cell>
        </row>
        <row r="242">
          <cell r="A242" t="str">
            <v>CHF_LIBOR_EOD</v>
          </cell>
          <cell r="C242">
            <v>47735</v>
          </cell>
          <cell r="E242">
            <v>5.1745393215390702E-3</v>
          </cell>
        </row>
        <row r="243">
          <cell r="A243" t="str">
            <v>CHF_LIBOR_EOD</v>
          </cell>
          <cell r="C243">
            <v>49562</v>
          </cell>
          <cell r="E243">
            <v>6.6200939848356398E-3</v>
          </cell>
        </row>
        <row r="244">
          <cell r="A244" t="str">
            <v>CHF_LIBOR_EOD</v>
          </cell>
          <cell r="C244">
            <v>51389</v>
          </cell>
          <cell r="E244">
            <v>7.2948935094407997E-3</v>
          </cell>
        </row>
        <row r="245">
          <cell r="A245" t="str">
            <v>CHF_LIBOR_EOD</v>
          </cell>
          <cell r="C245">
            <v>53216</v>
          </cell>
          <cell r="E245">
            <v>7.4582037603278199E-3</v>
          </cell>
        </row>
        <row r="246">
          <cell r="A246" t="str">
            <v>CHF_LIBOR_EOD</v>
          </cell>
          <cell r="C246">
            <v>56866</v>
          </cell>
          <cell r="E246">
            <v>7.4361795744913002E-3</v>
          </cell>
        </row>
        <row r="247">
          <cell r="A247" t="str">
            <v>CHF_TOIS_EOD</v>
          </cell>
          <cell r="C247">
            <v>42255</v>
          </cell>
          <cell r="E247">
            <v>-5.3736506672424902E-3</v>
          </cell>
        </row>
        <row r="248">
          <cell r="A248" t="str">
            <v>CHF_TOIS_EOD</v>
          </cell>
          <cell r="C248">
            <v>42256</v>
          </cell>
          <cell r="E248">
            <v>-5.3736506672419099E-3</v>
          </cell>
        </row>
        <row r="249">
          <cell r="A249" t="str">
            <v>CHF_TOIS_EOD</v>
          </cell>
          <cell r="C249">
            <v>42286</v>
          </cell>
          <cell r="E249">
            <v>-5.4353490556275598E-3</v>
          </cell>
        </row>
        <row r="250">
          <cell r="A250" t="str">
            <v>CHF_TOIS_EOD</v>
          </cell>
          <cell r="C250">
            <v>42317</v>
          </cell>
          <cell r="E250">
            <v>-5.52497727611179E-3</v>
          </cell>
        </row>
        <row r="251">
          <cell r="A251" t="str">
            <v>CHF_TOIS_EOD</v>
          </cell>
          <cell r="C251">
            <v>42347</v>
          </cell>
          <cell r="E251">
            <v>-5.5460215809954999E-3</v>
          </cell>
        </row>
        <row r="252">
          <cell r="A252" t="str">
            <v>CHF_TOIS_EOD</v>
          </cell>
          <cell r="C252">
            <v>42380</v>
          </cell>
          <cell r="E252">
            <v>-5.5783756333458202E-3</v>
          </cell>
        </row>
        <row r="253">
          <cell r="A253" t="str">
            <v>CHF_TOIS_EOD</v>
          </cell>
          <cell r="C253">
            <v>42409</v>
          </cell>
          <cell r="E253">
            <v>-5.6228505806070403E-3</v>
          </cell>
        </row>
        <row r="254">
          <cell r="A254" t="str">
            <v>CHF_TOIS_EOD</v>
          </cell>
          <cell r="C254">
            <v>42438</v>
          </cell>
          <cell r="E254">
            <v>-5.72140879801735E-3</v>
          </cell>
        </row>
        <row r="255">
          <cell r="A255" t="str">
            <v>CHF_TOIS_EOD</v>
          </cell>
          <cell r="C255">
            <v>42471</v>
          </cell>
          <cell r="E255">
            <v>-5.7784775074229602E-3</v>
          </cell>
        </row>
        <row r="256">
          <cell r="A256" t="str">
            <v>CHF_TOIS_EOD</v>
          </cell>
          <cell r="C256">
            <v>42499</v>
          </cell>
          <cell r="E256">
            <v>-5.8104667143935602E-3</v>
          </cell>
        </row>
        <row r="257">
          <cell r="A257" t="str">
            <v>CHF_TOIS_EOD</v>
          </cell>
          <cell r="C257">
            <v>42530</v>
          </cell>
          <cell r="E257">
            <v>-5.8733772893706099E-3</v>
          </cell>
        </row>
        <row r="258">
          <cell r="A258" t="str">
            <v>CHF_TOIS_EOD</v>
          </cell>
          <cell r="C258">
            <v>42562</v>
          </cell>
          <cell r="E258">
            <v>-5.8410992063926501E-3</v>
          </cell>
        </row>
        <row r="259">
          <cell r="A259" t="str">
            <v>CHF_TOIS_EOD</v>
          </cell>
          <cell r="C259">
            <v>42591</v>
          </cell>
          <cell r="E259">
            <v>-5.8376470431357802E-3</v>
          </cell>
        </row>
        <row r="260">
          <cell r="A260" t="str">
            <v>CHF_TOIS_EOD</v>
          </cell>
          <cell r="C260">
            <v>42622</v>
          </cell>
          <cell r="E260">
            <v>-5.9711922512465402E-3</v>
          </cell>
        </row>
        <row r="261">
          <cell r="A261" t="str">
            <v>CHF_TOIS_EOD</v>
          </cell>
          <cell r="C261">
            <v>42713</v>
          </cell>
          <cell r="E261">
            <v>-5.9791984966287501E-3</v>
          </cell>
        </row>
        <row r="262">
          <cell r="A262" t="str">
            <v>CHF_TOIS_EOD</v>
          </cell>
          <cell r="C262">
            <v>42803</v>
          </cell>
          <cell r="E262">
            <v>-5.97408811930435E-3</v>
          </cell>
        </row>
        <row r="263">
          <cell r="A263" t="str">
            <v>CHF_TOIS_EOD</v>
          </cell>
          <cell r="C263">
            <v>42895</v>
          </cell>
          <cell r="E263">
            <v>-5.9349573388534299E-3</v>
          </cell>
        </row>
        <row r="264">
          <cell r="A264" t="str">
            <v>CHF_TOIS_EOD</v>
          </cell>
          <cell r="C264">
            <v>42989</v>
          </cell>
          <cell r="E264">
            <v>-5.9474926150637096E-3</v>
          </cell>
        </row>
        <row r="265">
          <cell r="A265" t="str">
            <v>CHF_TOIS_EOD</v>
          </cell>
          <cell r="C265">
            <v>43353</v>
          </cell>
          <cell r="E265">
            <v>-5.4367364762165204E-3</v>
          </cell>
        </row>
        <row r="266">
          <cell r="A266" t="str">
            <v>CHF_TOIS_EOD</v>
          </cell>
          <cell r="C266">
            <v>43717</v>
          </cell>
          <cell r="E266">
            <v>-4.7334941792948103E-3</v>
          </cell>
        </row>
        <row r="267">
          <cell r="A267" t="str">
            <v>CHF_TOIS_EOD</v>
          </cell>
          <cell r="C267">
            <v>44083</v>
          </cell>
          <cell r="E267">
            <v>-4.0601618437732601E-3</v>
          </cell>
        </row>
        <row r="268">
          <cell r="A268" t="str">
            <v>CHF_TOIS_EOD</v>
          </cell>
          <cell r="C268">
            <v>44448</v>
          </cell>
          <cell r="E268">
            <v>-2.8597769607831601E-3</v>
          </cell>
        </row>
        <row r="269">
          <cell r="A269" t="str">
            <v>CHF_TOIS_EOD</v>
          </cell>
          <cell r="C269">
            <v>44813</v>
          </cell>
          <cell r="E269">
            <v>-1.74134945556967E-3</v>
          </cell>
        </row>
        <row r="270">
          <cell r="A270" t="str">
            <v>CHF_TOIS_EOD</v>
          </cell>
          <cell r="C270">
            <v>45180</v>
          </cell>
          <cell r="E270">
            <v>-7.2054497949265001E-4</v>
          </cell>
        </row>
        <row r="271">
          <cell r="A271" t="str">
            <v>CHF_TOIS_EOD</v>
          </cell>
          <cell r="C271">
            <v>45544</v>
          </cell>
          <cell r="E271">
            <v>2.7905242729216E-4</v>
          </cell>
        </row>
        <row r="272">
          <cell r="A272" t="str">
            <v>CHF_TOIS_EOD</v>
          </cell>
          <cell r="C272">
            <v>45909</v>
          </cell>
          <cell r="E272">
            <v>9.9965445468171003E-4</v>
          </cell>
        </row>
        <row r="273">
          <cell r="A273" t="str">
            <v>CHF_TOIS_EOD</v>
          </cell>
          <cell r="C273">
            <v>46639</v>
          </cell>
          <cell r="E273">
            <v>2.5284172613200999E-3</v>
          </cell>
        </row>
        <row r="274">
          <cell r="A274" t="str">
            <v>CHF_TOIS_EOD</v>
          </cell>
          <cell r="C274">
            <v>47735</v>
          </cell>
          <cell r="E274">
            <v>4.1250491099062703E-3</v>
          </cell>
        </row>
        <row r="275">
          <cell r="A275" t="str">
            <v>CHF_TOIS_EOD</v>
          </cell>
          <cell r="C275">
            <v>49562</v>
          </cell>
          <cell r="E275">
            <v>5.7401132775636004E-3</v>
          </cell>
        </row>
        <row r="276">
          <cell r="A276" t="str">
            <v>CHF_TOIS_EOD</v>
          </cell>
          <cell r="C276">
            <v>51389</v>
          </cell>
          <cell r="E276">
            <v>6.3670729473378198E-3</v>
          </cell>
        </row>
        <row r="277">
          <cell r="A277" t="str">
            <v>CHF_TOIS_EOD</v>
          </cell>
          <cell r="C277">
            <v>53216</v>
          </cell>
          <cell r="E277">
            <v>6.5588398449136004E-3</v>
          </cell>
        </row>
        <row r="278">
          <cell r="A278" t="str">
            <v>CHF_TOIS_EOD</v>
          </cell>
          <cell r="C278">
            <v>56866</v>
          </cell>
          <cell r="E278">
            <v>6.3114294260974103E-3</v>
          </cell>
        </row>
        <row r="279">
          <cell r="A279" t="str">
            <v>CZK_PRIBOR_3M_EOD</v>
          </cell>
          <cell r="C279">
            <v>42347</v>
          </cell>
          <cell r="E279">
            <v>3.1418247318771202E-3</v>
          </cell>
        </row>
        <row r="280">
          <cell r="A280" t="str">
            <v>CZK_PRIBOR_3M_EOD</v>
          </cell>
          <cell r="C280">
            <v>42438</v>
          </cell>
          <cell r="E280">
            <v>2.8411770158273202E-3</v>
          </cell>
        </row>
        <row r="281">
          <cell r="A281" t="str">
            <v>CZK_PRIBOR_3M_EOD</v>
          </cell>
          <cell r="C281">
            <v>42530</v>
          </cell>
          <cell r="E281">
            <v>2.5529816351066701E-3</v>
          </cell>
        </row>
        <row r="282">
          <cell r="A282" t="str">
            <v>CZK_PRIBOR_3M_EOD</v>
          </cell>
          <cell r="C282">
            <v>42622</v>
          </cell>
          <cell r="E282">
            <v>2.3645474088103699E-3</v>
          </cell>
        </row>
        <row r="283">
          <cell r="A283" t="str">
            <v>CZK_PRIBOR_3M_EOD</v>
          </cell>
          <cell r="C283">
            <v>42989</v>
          </cell>
          <cell r="E283">
            <v>1.9071476234771899E-3</v>
          </cell>
        </row>
        <row r="284">
          <cell r="A284" t="str">
            <v>CZK_PRIBOR_3M_EOD</v>
          </cell>
          <cell r="C284">
            <v>43353</v>
          </cell>
          <cell r="E284">
            <v>2.4726822895417199E-3</v>
          </cell>
        </row>
        <row r="285">
          <cell r="A285" t="str">
            <v>CZK_PRIBOR_3M_EOD</v>
          </cell>
          <cell r="C285">
            <v>43717</v>
          </cell>
          <cell r="E285">
            <v>3.4785490357702501E-3</v>
          </cell>
        </row>
        <row r="286">
          <cell r="A286" t="str">
            <v>CZK_PRIBOR_3M_EOD</v>
          </cell>
          <cell r="C286">
            <v>44083</v>
          </cell>
          <cell r="E286">
            <v>4.4334038402326897E-3</v>
          </cell>
        </row>
        <row r="287">
          <cell r="A287" t="str">
            <v>CZK_PRIBOR_3M_EOD</v>
          </cell>
          <cell r="C287">
            <v>44448</v>
          </cell>
          <cell r="E287">
            <v>5.5067378535592704E-3</v>
          </cell>
        </row>
        <row r="288">
          <cell r="A288" t="str">
            <v>CZK_PRIBOR_3M_EOD</v>
          </cell>
          <cell r="C288">
            <v>44813</v>
          </cell>
          <cell r="E288">
            <v>6.4769903873368399E-3</v>
          </cell>
        </row>
        <row r="289">
          <cell r="A289" t="str">
            <v>CZK_PRIBOR_3M_EOD</v>
          </cell>
          <cell r="C289">
            <v>45180</v>
          </cell>
          <cell r="E289">
            <v>7.4807467025739E-3</v>
          </cell>
        </row>
        <row r="290">
          <cell r="A290" t="str">
            <v>CZK_PRIBOR_3M_EOD</v>
          </cell>
          <cell r="C290">
            <v>45544</v>
          </cell>
          <cell r="E290">
            <v>8.4242430161606593E-3</v>
          </cell>
        </row>
        <row r="291">
          <cell r="A291" t="str">
            <v>CZK_PRIBOR_3M_EOD</v>
          </cell>
          <cell r="C291">
            <v>45909</v>
          </cell>
          <cell r="E291">
            <v>9.4287816429200304E-3</v>
          </cell>
        </row>
        <row r="292">
          <cell r="A292" t="str">
            <v>CZK_PRIBOR_3M_EOD</v>
          </cell>
          <cell r="C292">
            <v>46639</v>
          </cell>
          <cell r="E292">
            <v>1.09259354600252E-2</v>
          </cell>
        </row>
        <row r="293">
          <cell r="A293" t="str">
            <v>CZK_PRIBOR_3M_EOD</v>
          </cell>
          <cell r="C293">
            <v>47735</v>
          </cell>
          <cell r="E293">
            <v>1.27883141450839E-2</v>
          </cell>
        </row>
        <row r="294">
          <cell r="A294" t="str">
            <v>CZK_PRIBOR_3M_EOD</v>
          </cell>
          <cell r="C294">
            <v>49562</v>
          </cell>
          <cell r="E294">
            <v>1.4657444562195501E-2</v>
          </cell>
        </row>
        <row r="295">
          <cell r="A295" t="str">
            <v>CZK_PRIBOR_3M_EOD</v>
          </cell>
          <cell r="C295">
            <v>51389</v>
          </cell>
          <cell r="E295">
            <v>1.45972574045395E-2</v>
          </cell>
        </row>
        <row r="296">
          <cell r="A296" t="str">
            <v>CZK_PRIBOR_3M_EOD</v>
          </cell>
          <cell r="C296">
            <v>53216</v>
          </cell>
          <cell r="E296">
            <v>1.46279162996443E-2</v>
          </cell>
        </row>
        <row r="297">
          <cell r="A297" t="str">
            <v>CZK_PRIBOR_6M_EOD</v>
          </cell>
          <cell r="C297">
            <v>42438</v>
          </cell>
          <cell r="E297">
            <v>3.9502736336967702E-3</v>
          </cell>
        </row>
        <row r="298">
          <cell r="A298" t="str">
            <v>CZK_PRIBOR_6M_EOD</v>
          </cell>
          <cell r="C298">
            <v>42622</v>
          </cell>
          <cell r="E298">
            <v>3.16201136082337E-3</v>
          </cell>
        </row>
        <row r="299">
          <cell r="A299" t="str">
            <v>CZK_PRIBOR_6M_EOD</v>
          </cell>
          <cell r="C299">
            <v>42803</v>
          </cell>
          <cell r="E299">
            <v>2.7873622699659401E-3</v>
          </cell>
        </row>
        <row r="300">
          <cell r="A300" t="str">
            <v>CZK_PRIBOR_6M_EOD</v>
          </cell>
          <cell r="C300">
            <v>42989</v>
          </cell>
          <cell r="E300">
            <v>2.67322229824214E-3</v>
          </cell>
        </row>
        <row r="301">
          <cell r="A301" t="str">
            <v>CZK_PRIBOR_6M_EOD</v>
          </cell>
          <cell r="C301">
            <v>43353</v>
          </cell>
          <cell r="E301">
            <v>3.34222043624314E-3</v>
          </cell>
        </row>
        <row r="302">
          <cell r="A302" t="str">
            <v>CZK_PRIBOR_6M_EOD</v>
          </cell>
          <cell r="C302">
            <v>43717</v>
          </cell>
          <cell r="E302">
            <v>4.4206405229248701E-3</v>
          </cell>
        </row>
        <row r="303">
          <cell r="A303" t="str">
            <v>CZK_PRIBOR_6M_EOD</v>
          </cell>
          <cell r="C303">
            <v>44083</v>
          </cell>
          <cell r="E303">
            <v>5.4590140993022104E-3</v>
          </cell>
        </row>
        <row r="304">
          <cell r="A304" t="str">
            <v>CZK_PRIBOR_6M_EOD</v>
          </cell>
          <cell r="C304">
            <v>44448</v>
          </cell>
          <cell r="E304">
            <v>6.6050467696737404E-3</v>
          </cell>
        </row>
        <row r="305">
          <cell r="A305" t="str">
            <v>CZK_PRIBOR_6M_EOD</v>
          </cell>
          <cell r="C305">
            <v>44813</v>
          </cell>
          <cell r="E305">
            <v>7.6605895587771701E-3</v>
          </cell>
        </row>
        <row r="306">
          <cell r="A306" t="str">
            <v>CZK_PRIBOR_6M_EOD</v>
          </cell>
          <cell r="C306">
            <v>45180</v>
          </cell>
          <cell r="E306">
            <v>8.7100588725014198E-3</v>
          </cell>
        </row>
        <row r="307">
          <cell r="A307" t="str">
            <v>CZK_PRIBOR_6M_EOD</v>
          </cell>
          <cell r="C307">
            <v>45544</v>
          </cell>
          <cell r="E307">
            <v>9.7282028813102904E-3</v>
          </cell>
        </row>
        <row r="308">
          <cell r="A308" t="str">
            <v>CZK_PRIBOR_6M_EOD</v>
          </cell>
          <cell r="C308">
            <v>45909</v>
          </cell>
          <cell r="E308">
            <v>1.0688738264593999E-2</v>
          </cell>
        </row>
        <row r="309">
          <cell r="A309" t="str">
            <v>CZK_PRIBOR_6M_EOD</v>
          </cell>
          <cell r="C309">
            <v>46639</v>
          </cell>
          <cell r="E309">
            <v>1.22216756717864E-2</v>
          </cell>
        </row>
        <row r="310">
          <cell r="A310" t="str">
            <v>CZK_PRIBOR_6M_EOD</v>
          </cell>
          <cell r="C310">
            <v>47735</v>
          </cell>
          <cell r="E310">
            <v>1.3975677173656401E-2</v>
          </cell>
        </row>
        <row r="311">
          <cell r="A311" t="str">
            <v>CZK_PRIBOR_6M_EOD</v>
          </cell>
          <cell r="C311">
            <v>49562</v>
          </cell>
          <cell r="E311">
            <v>1.5663397613827301E-2</v>
          </cell>
        </row>
        <row r="312">
          <cell r="A312" t="str">
            <v>CZK_PRIBOR_6M_EOD</v>
          </cell>
          <cell r="C312">
            <v>51389</v>
          </cell>
          <cell r="E312">
            <v>1.54508257621765E-2</v>
          </cell>
        </row>
        <row r="313">
          <cell r="A313" t="str">
            <v>CZK_PRIBOR_6M_EOD</v>
          </cell>
          <cell r="C313">
            <v>53216</v>
          </cell>
          <cell r="E313">
            <v>1.5382836455997599E-2</v>
          </cell>
        </row>
        <row r="314">
          <cell r="A314" t="str">
            <v>CZK_PRIBOR_EOD</v>
          </cell>
          <cell r="C314">
            <v>42255</v>
          </cell>
          <cell r="E314">
            <v>1.4194416844029499E-3</v>
          </cell>
        </row>
        <row r="315">
          <cell r="A315" t="str">
            <v>CZK_PRIBOR_EOD</v>
          </cell>
          <cell r="C315">
            <v>42256</v>
          </cell>
          <cell r="E315">
            <v>1.4194416844152901E-3</v>
          </cell>
        </row>
        <row r="316">
          <cell r="A316" t="str">
            <v>CZK_PRIBOR_EOD</v>
          </cell>
          <cell r="C316">
            <v>42263</v>
          </cell>
          <cell r="E316">
            <v>1.4982846059457999E-3</v>
          </cell>
        </row>
        <row r="317">
          <cell r="A317" t="str">
            <v>CZK_PRIBOR_EOD</v>
          </cell>
          <cell r="C317">
            <v>42286</v>
          </cell>
          <cell r="E317">
            <v>2.0846342174481798E-3</v>
          </cell>
        </row>
        <row r="318">
          <cell r="A318" t="str">
            <v>CZK_PRIBOR_EOD</v>
          </cell>
          <cell r="C318">
            <v>42317</v>
          </cell>
          <cell r="E318">
            <v>2.4006673561561601E-3</v>
          </cell>
        </row>
        <row r="319">
          <cell r="A319" t="str">
            <v>CZK_PRIBOR_EOD</v>
          </cell>
          <cell r="C319">
            <v>42347</v>
          </cell>
          <cell r="E319">
            <v>3.1047842362323498E-3</v>
          </cell>
        </row>
        <row r="320">
          <cell r="A320" t="str">
            <v>CZK_PRIBOR_EOD</v>
          </cell>
          <cell r="C320">
            <v>42438</v>
          </cell>
          <cell r="E320">
            <v>2.8224554609629399E-3</v>
          </cell>
        </row>
        <row r="321">
          <cell r="A321" t="str">
            <v>CZK_PRIBOR_EOD</v>
          </cell>
          <cell r="C321">
            <v>42530</v>
          </cell>
          <cell r="E321">
            <v>2.5405005985316199E-3</v>
          </cell>
        </row>
        <row r="322">
          <cell r="A322" t="str">
            <v>CZK_PRIBOR_EOD</v>
          </cell>
          <cell r="C322">
            <v>42622</v>
          </cell>
          <cell r="E322">
            <v>2.3551866313790801E-3</v>
          </cell>
        </row>
        <row r="323">
          <cell r="A323" t="str">
            <v>CZK_PRIBOR_EOD</v>
          </cell>
          <cell r="C323">
            <v>42989</v>
          </cell>
          <cell r="E323">
            <v>2.6675581277292499E-3</v>
          </cell>
        </row>
        <row r="324">
          <cell r="A324" t="str">
            <v>CZK_PRIBOR_EOD</v>
          </cell>
          <cell r="C324">
            <v>43353</v>
          </cell>
          <cell r="E324">
            <v>3.33934453564941E-3</v>
          </cell>
        </row>
        <row r="325">
          <cell r="A325" t="str">
            <v>CZK_PRIBOR_EOD</v>
          </cell>
          <cell r="C325">
            <v>43717</v>
          </cell>
          <cell r="E325">
            <v>4.41899082338695E-3</v>
          </cell>
        </row>
        <row r="326">
          <cell r="A326" t="str">
            <v>CZK_PRIBOR_EOD</v>
          </cell>
          <cell r="C326">
            <v>44083</v>
          </cell>
          <cell r="E326">
            <v>5.4576945949168102E-3</v>
          </cell>
        </row>
        <row r="327">
          <cell r="A327" t="str">
            <v>CZK_PRIBOR_EOD</v>
          </cell>
          <cell r="C327">
            <v>44448</v>
          </cell>
          <cell r="E327">
            <v>6.6039468350408102E-3</v>
          </cell>
        </row>
        <row r="328">
          <cell r="A328" t="str">
            <v>CZK_PRIBOR_EOD</v>
          </cell>
          <cell r="C328">
            <v>44813</v>
          </cell>
          <cell r="E328">
            <v>7.6596465494310102E-3</v>
          </cell>
        </row>
        <row r="329">
          <cell r="A329" t="str">
            <v>CZK_PRIBOR_EOD</v>
          </cell>
          <cell r="C329">
            <v>45180</v>
          </cell>
          <cell r="E329">
            <v>8.7092341706838401E-3</v>
          </cell>
        </row>
        <row r="330">
          <cell r="A330" t="str">
            <v>CZK_PRIBOR_EOD</v>
          </cell>
          <cell r="C330">
            <v>45544</v>
          </cell>
          <cell r="E330">
            <v>9.7275024589470495E-3</v>
          </cell>
        </row>
        <row r="331">
          <cell r="A331" t="str">
            <v>CZK_PRIBOR_EOD</v>
          </cell>
          <cell r="C331">
            <v>45909</v>
          </cell>
          <cell r="E331">
            <v>1.0687739119617399E-2</v>
          </cell>
        </row>
        <row r="332">
          <cell r="A332" t="str">
            <v>CZK_PRIBOR_EOD</v>
          </cell>
          <cell r="C332">
            <v>46639</v>
          </cell>
          <cell r="E332">
            <v>1.22208430298074E-2</v>
          </cell>
        </row>
        <row r="333">
          <cell r="A333" t="str">
            <v>CZK_PRIBOR_EOD</v>
          </cell>
          <cell r="C333">
            <v>47735</v>
          </cell>
          <cell r="E333">
            <v>1.3974068762004299E-2</v>
          </cell>
        </row>
        <row r="334">
          <cell r="A334" t="str">
            <v>CZK_PRIBOR_EOD</v>
          </cell>
          <cell r="C334">
            <v>49562</v>
          </cell>
          <cell r="E334">
            <v>1.56623429764952E-2</v>
          </cell>
        </row>
        <row r="335">
          <cell r="A335" t="str">
            <v>CZK_PRIBOR_EOD</v>
          </cell>
          <cell r="C335">
            <v>51389</v>
          </cell>
          <cell r="E335">
            <v>1.5449986289657699E-2</v>
          </cell>
        </row>
        <row r="336">
          <cell r="A336" t="str">
            <v>CZK_PRIBOR_EOD</v>
          </cell>
          <cell r="C336">
            <v>53216</v>
          </cell>
          <cell r="E336">
            <v>1.53821511588727E-2</v>
          </cell>
        </row>
        <row r="337">
          <cell r="A337" t="str">
            <v>DKK_CIBOR_3M_EOD</v>
          </cell>
          <cell r="C337">
            <v>42347</v>
          </cell>
          <cell r="E337">
            <v>-2.5348023157767001E-4</v>
          </cell>
        </row>
        <row r="338">
          <cell r="A338" t="str">
            <v>DKK_CIBOR_3M_EOD</v>
          </cell>
          <cell r="C338">
            <v>42445</v>
          </cell>
          <cell r="E338">
            <v>2.5458345263227E-4</v>
          </cell>
        </row>
        <row r="339">
          <cell r="A339" t="str">
            <v>DKK_CIBOR_3M_EOD</v>
          </cell>
          <cell r="C339">
            <v>42536</v>
          </cell>
          <cell r="E339">
            <v>5.4045233557399E-4</v>
          </cell>
        </row>
        <row r="340">
          <cell r="A340" t="str">
            <v>DKK_CIBOR_3M_EOD</v>
          </cell>
          <cell r="C340">
            <v>42634</v>
          </cell>
          <cell r="E340">
            <v>8.0170186318604005E-4</v>
          </cell>
        </row>
        <row r="341">
          <cell r="A341" t="str">
            <v>DKK_CIBOR_3M_EOD</v>
          </cell>
          <cell r="C341">
            <v>42725</v>
          </cell>
          <cell r="E341">
            <v>1.03604063548275E-3</v>
          </cell>
        </row>
        <row r="342">
          <cell r="A342" t="str">
            <v>DKK_CIBOR_3M_EOD</v>
          </cell>
          <cell r="C342">
            <v>42809</v>
          </cell>
          <cell r="E342">
            <v>1.2397512682090701E-3</v>
          </cell>
        </row>
        <row r="343">
          <cell r="A343" t="str">
            <v>DKK_CIBOR_3M_EOD</v>
          </cell>
          <cell r="C343">
            <v>42907</v>
          </cell>
          <cell r="E343">
            <v>1.49478636721435E-3</v>
          </cell>
        </row>
        <row r="344">
          <cell r="A344" t="str">
            <v>DKK_CIBOR_3M_EOD</v>
          </cell>
          <cell r="C344">
            <v>42989</v>
          </cell>
          <cell r="E344">
            <v>1.7023871513468E-3</v>
          </cell>
        </row>
        <row r="345">
          <cell r="A345" t="str">
            <v>DKK_CIBOR_3M_EOD</v>
          </cell>
          <cell r="C345">
            <v>43353</v>
          </cell>
          <cell r="E345">
            <v>2.8165753537771399E-3</v>
          </cell>
        </row>
        <row r="346">
          <cell r="A346" t="str">
            <v>DKK_CIBOR_3M_EOD</v>
          </cell>
          <cell r="C346">
            <v>43717</v>
          </cell>
          <cell r="E346">
            <v>4.1532724511087497E-3</v>
          </cell>
        </row>
        <row r="347">
          <cell r="A347" t="str">
            <v>DKK_CIBOR_3M_EOD</v>
          </cell>
          <cell r="C347">
            <v>44083</v>
          </cell>
          <cell r="E347">
            <v>5.6538490749687203E-3</v>
          </cell>
        </row>
        <row r="348">
          <cell r="A348" t="str">
            <v>DKK_CIBOR_3M_EOD</v>
          </cell>
          <cell r="C348">
            <v>44448</v>
          </cell>
          <cell r="E348">
            <v>7.0765862088844099E-3</v>
          </cell>
        </row>
        <row r="349">
          <cell r="A349" t="str">
            <v>DKK_CIBOR_3M_EOD</v>
          </cell>
          <cell r="C349">
            <v>44813</v>
          </cell>
          <cell r="E349">
            <v>8.5543044176696406E-3</v>
          </cell>
        </row>
        <row r="350">
          <cell r="A350" t="str">
            <v>DKK_CIBOR_3M_EOD</v>
          </cell>
          <cell r="C350">
            <v>45180</v>
          </cell>
          <cell r="E350">
            <v>9.9819463677265404E-3</v>
          </cell>
        </row>
        <row r="351">
          <cell r="A351" t="str">
            <v>DKK_CIBOR_3M_EOD</v>
          </cell>
          <cell r="C351">
            <v>45544</v>
          </cell>
          <cell r="E351">
            <v>1.1301514479090599E-2</v>
          </cell>
        </row>
        <row r="352">
          <cell r="A352" t="str">
            <v>DKK_CIBOR_3M_EOD</v>
          </cell>
          <cell r="C352">
            <v>45909</v>
          </cell>
          <cell r="E352">
            <v>1.24716836016274E-2</v>
          </cell>
        </row>
        <row r="353">
          <cell r="A353" t="str">
            <v>DKK_CIBOR_3M_EOD</v>
          </cell>
          <cell r="C353">
            <v>46639</v>
          </cell>
          <cell r="E353">
            <v>1.44734109460653E-2</v>
          </cell>
        </row>
        <row r="354">
          <cell r="A354" t="str">
            <v>DKK_CIBOR_3M_EOD</v>
          </cell>
          <cell r="C354">
            <v>47735</v>
          </cell>
          <cell r="E354">
            <v>1.6575281381945701E-2</v>
          </cell>
        </row>
        <row r="355">
          <cell r="A355" t="str">
            <v>DKK_CIBOR_3M_EOD</v>
          </cell>
          <cell r="C355">
            <v>49562</v>
          </cell>
          <cell r="E355">
            <v>1.8289024803126001E-2</v>
          </cell>
        </row>
        <row r="356">
          <cell r="A356" t="str">
            <v>DKK_CIBOR_3M_EOD</v>
          </cell>
          <cell r="C356">
            <v>51389</v>
          </cell>
          <cell r="E356">
            <v>1.85542032842561E-2</v>
          </cell>
        </row>
        <row r="357">
          <cell r="A357" t="str">
            <v>DKK_CIBOR_3M_EOD</v>
          </cell>
          <cell r="C357">
            <v>53216</v>
          </cell>
          <cell r="E357">
            <v>1.85317424108567E-2</v>
          </cell>
        </row>
        <row r="358">
          <cell r="A358" t="str">
            <v>DKK_CIBOR_6M_EOD</v>
          </cell>
          <cell r="C358">
            <v>42438</v>
          </cell>
          <cell r="E358">
            <v>1.7481961577153599E-3</v>
          </cell>
        </row>
        <row r="359">
          <cell r="A359" t="str">
            <v>DKK_CIBOR_6M_EOD</v>
          </cell>
          <cell r="C359">
            <v>42622</v>
          </cell>
          <cell r="E359">
            <v>2.29621642410486E-3</v>
          </cell>
        </row>
        <row r="360">
          <cell r="A360" t="str">
            <v>DKK_CIBOR_6M_EOD</v>
          </cell>
          <cell r="C360">
            <v>42989</v>
          </cell>
          <cell r="E360">
            <v>3.2517267552247199E-3</v>
          </cell>
        </row>
        <row r="361">
          <cell r="A361" t="str">
            <v>DKK_CIBOR_6M_EOD</v>
          </cell>
          <cell r="C361">
            <v>43353</v>
          </cell>
          <cell r="E361">
            <v>4.29624780636875E-3</v>
          </cell>
        </row>
        <row r="362">
          <cell r="A362" t="str">
            <v>DKK_CIBOR_6M_EOD</v>
          </cell>
          <cell r="C362">
            <v>43717</v>
          </cell>
          <cell r="E362">
            <v>5.5660192468256903E-3</v>
          </cell>
        </row>
        <row r="363">
          <cell r="A363" t="str">
            <v>DKK_CIBOR_6M_EOD</v>
          </cell>
          <cell r="C363">
            <v>44083</v>
          </cell>
          <cell r="E363">
            <v>7.01731794584445E-3</v>
          </cell>
        </row>
        <row r="364">
          <cell r="A364" t="str">
            <v>DKK_CIBOR_6M_EOD</v>
          </cell>
          <cell r="C364">
            <v>44448</v>
          </cell>
          <cell r="E364">
            <v>8.3904057409357798E-3</v>
          </cell>
        </row>
        <row r="365">
          <cell r="A365" t="str">
            <v>DKK_CIBOR_6M_EOD</v>
          </cell>
          <cell r="C365">
            <v>44813</v>
          </cell>
          <cell r="E365">
            <v>9.8159671418034996E-3</v>
          </cell>
        </row>
        <row r="366">
          <cell r="A366" t="str">
            <v>DKK_CIBOR_6M_EOD</v>
          </cell>
          <cell r="C366">
            <v>45180</v>
          </cell>
          <cell r="E366">
            <v>1.11910271594651E-2</v>
          </cell>
        </row>
        <row r="367">
          <cell r="A367" t="str">
            <v>DKK_CIBOR_6M_EOD</v>
          </cell>
          <cell r="C367">
            <v>45544</v>
          </cell>
          <cell r="E367">
            <v>1.2453210845878099E-2</v>
          </cell>
        </row>
        <row r="368">
          <cell r="A368" t="str">
            <v>DKK_CIBOR_6M_EOD</v>
          </cell>
          <cell r="C368">
            <v>45909</v>
          </cell>
          <cell r="E368">
            <v>1.3562436642921101E-2</v>
          </cell>
        </row>
        <row r="369">
          <cell r="A369" t="str">
            <v>DKK_CIBOR_6M_EOD</v>
          </cell>
          <cell r="C369">
            <v>46639</v>
          </cell>
          <cell r="E369">
            <v>1.54288396398702E-2</v>
          </cell>
        </row>
        <row r="370">
          <cell r="A370" t="str">
            <v>DKK_CIBOR_6M_EOD</v>
          </cell>
          <cell r="C370">
            <v>47735</v>
          </cell>
          <cell r="E370">
            <v>1.7372782162638E-2</v>
          </cell>
        </row>
        <row r="371">
          <cell r="A371" t="str">
            <v>DKK_CIBOR_6M_EOD</v>
          </cell>
          <cell r="C371">
            <v>49562</v>
          </cell>
          <cell r="E371">
            <v>1.8921123021686699E-2</v>
          </cell>
        </row>
        <row r="372">
          <cell r="A372" t="str">
            <v>DKK_CIBOR_6M_EOD</v>
          </cell>
          <cell r="C372">
            <v>51389</v>
          </cell>
          <cell r="E372">
            <v>1.9081324859064702E-2</v>
          </cell>
        </row>
        <row r="373">
          <cell r="A373" t="str">
            <v>DKK_CIBOR_6M_EOD</v>
          </cell>
          <cell r="C373">
            <v>53216</v>
          </cell>
          <cell r="E373">
            <v>1.8986788180983601E-2</v>
          </cell>
        </row>
        <row r="374">
          <cell r="A374" t="str">
            <v>DKK_CIBOR_EOD</v>
          </cell>
          <cell r="C374">
            <v>42255</v>
          </cell>
          <cell r="E374">
            <v>-6.4179730915176897E-3</v>
          </cell>
        </row>
        <row r="375">
          <cell r="A375" t="str">
            <v>DKK_CIBOR_EOD</v>
          </cell>
          <cell r="C375">
            <v>42256</v>
          </cell>
          <cell r="E375">
            <v>-3.0016463857475101E-3</v>
          </cell>
        </row>
        <row r="376">
          <cell r="A376" t="str">
            <v>DKK_CIBOR_EOD</v>
          </cell>
          <cell r="C376">
            <v>42263</v>
          </cell>
          <cell r="E376">
            <v>-3.5060207848003101E-3</v>
          </cell>
        </row>
        <row r="377">
          <cell r="A377" t="str">
            <v>DKK_CIBOR_EOD</v>
          </cell>
          <cell r="C377">
            <v>42286</v>
          </cell>
          <cell r="E377">
            <v>-2.0412691385708701E-3</v>
          </cell>
        </row>
        <row r="378">
          <cell r="A378" t="str">
            <v>DKK_CIBOR_EOD</v>
          </cell>
          <cell r="C378">
            <v>42317</v>
          </cell>
          <cell r="E378">
            <v>-1.15071607427208E-3</v>
          </cell>
        </row>
        <row r="379">
          <cell r="A379" t="str">
            <v>DKK_CIBOR_EOD</v>
          </cell>
          <cell r="C379">
            <v>42347</v>
          </cell>
          <cell r="E379">
            <v>-3.1258057897967E-4</v>
          </cell>
        </row>
        <row r="380">
          <cell r="A380" t="str">
            <v>DKK_CIBOR_EOD</v>
          </cell>
          <cell r="C380">
            <v>42445</v>
          </cell>
          <cell r="E380">
            <v>2.2473479232803999E-4</v>
          </cell>
        </row>
        <row r="381">
          <cell r="A381" t="str">
            <v>DKK_CIBOR_EOD</v>
          </cell>
          <cell r="C381">
            <v>42536</v>
          </cell>
          <cell r="E381">
            <v>5.2023568976520998E-4</v>
          </cell>
        </row>
        <row r="382">
          <cell r="A382" t="str">
            <v>DKK_CIBOR_EOD</v>
          </cell>
          <cell r="C382">
            <v>42634</v>
          </cell>
          <cell r="E382">
            <v>7.8669898392791002E-4</v>
          </cell>
        </row>
        <row r="383">
          <cell r="A383" t="str">
            <v>DKK_CIBOR_EOD</v>
          </cell>
          <cell r="C383">
            <v>42725</v>
          </cell>
          <cell r="E383">
            <v>1.0239364016864699E-3</v>
          </cell>
        </row>
        <row r="384">
          <cell r="A384" t="str">
            <v>DKK_CIBOR_EOD</v>
          </cell>
          <cell r="C384">
            <v>42809</v>
          </cell>
          <cell r="E384">
            <v>1.22947902655484E-3</v>
          </cell>
        </row>
        <row r="385">
          <cell r="A385" t="str">
            <v>DKK_CIBOR_EOD</v>
          </cell>
          <cell r="C385">
            <v>42907</v>
          </cell>
          <cell r="E385">
            <v>1.48605574835044E-3</v>
          </cell>
        </row>
        <row r="386">
          <cell r="A386" t="str">
            <v>DKK_CIBOR_EOD</v>
          </cell>
          <cell r="C386">
            <v>42989</v>
          </cell>
          <cell r="E386">
            <v>3.2423482489092798E-3</v>
          </cell>
        </row>
        <row r="387">
          <cell r="A387" t="str">
            <v>DKK_CIBOR_EOD</v>
          </cell>
          <cell r="C387">
            <v>43353</v>
          </cell>
          <cell r="E387">
            <v>4.29140401845109E-3</v>
          </cell>
        </row>
        <row r="388">
          <cell r="A388" t="str">
            <v>DKK_CIBOR_EOD</v>
          </cell>
          <cell r="C388">
            <v>43717</v>
          </cell>
          <cell r="E388">
            <v>5.5642244397216397E-3</v>
          </cell>
        </row>
        <row r="389">
          <cell r="A389" t="str">
            <v>DKK_CIBOR_EOD</v>
          </cell>
          <cell r="C389">
            <v>44083</v>
          </cell>
          <cell r="E389">
            <v>7.0158824047607399E-3</v>
          </cell>
        </row>
        <row r="390">
          <cell r="A390" t="str">
            <v>DKK_CIBOR_EOD</v>
          </cell>
          <cell r="C390">
            <v>44448</v>
          </cell>
          <cell r="E390">
            <v>8.3892090923238204E-3</v>
          </cell>
        </row>
        <row r="391">
          <cell r="A391" t="str">
            <v>DKK_CIBOR_EOD</v>
          </cell>
          <cell r="C391">
            <v>44813</v>
          </cell>
          <cell r="E391">
            <v>9.8149412291136402E-3</v>
          </cell>
        </row>
        <row r="392">
          <cell r="A392" t="str">
            <v>DKK_CIBOR_EOD</v>
          </cell>
          <cell r="C392">
            <v>45180</v>
          </cell>
          <cell r="E392">
            <v>1.1190129964325E-2</v>
          </cell>
        </row>
        <row r="393">
          <cell r="A393" t="str">
            <v>DKK_CIBOR_EOD</v>
          </cell>
          <cell r="C393">
            <v>45544</v>
          </cell>
          <cell r="E393">
            <v>1.24520316649587E-2</v>
          </cell>
        </row>
        <row r="394">
          <cell r="A394" t="str">
            <v>DKK_CIBOR_EOD</v>
          </cell>
          <cell r="C394">
            <v>45909</v>
          </cell>
          <cell r="E394">
            <v>1.35610889058108E-2</v>
          </cell>
        </row>
        <row r="395">
          <cell r="A395" t="str">
            <v>DKK_CIBOR_EOD</v>
          </cell>
          <cell r="C395">
            <v>46639</v>
          </cell>
          <cell r="E395">
            <v>1.5427716553023701E-2</v>
          </cell>
        </row>
        <row r="396">
          <cell r="A396" t="str">
            <v>DKK_CIBOR_EOD</v>
          </cell>
          <cell r="C396">
            <v>47735</v>
          </cell>
          <cell r="E396">
            <v>1.7370540097319601E-2</v>
          </cell>
        </row>
        <row r="397">
          <cell r="A397" t="str">
            <v>DKK_CIBOR_EOD</v>
          </cell>
          <cell r="C397">
            <v>49562</v>
          </cell>
          <cell r="E397">
            <v>1.8919603171939602E-2</v>
          </cell>
        </row>
        <row r="398">
          <cell r="A398" t="str">
            <v>DKK_CIBOR_EOD</v>
          </cell>
          <cell r="C398">
            <v>51389</v>
          </cell>
          <cell r="E398">
            <v>1.90801227141013E-2</v>
          </cell>
        </row>
        <row r="399">
          <cell r="A399" t="str">
            <v>DKK_CIBOR_EOD</v>
          </cell>
          <cell r="C399">
            <v>53216</v>
          </cell>
          <cell r="E399">
            <v>1.8985808423457599E-2</v>
          </cell>
        </row>
        <row r="400">
          <cell r="A400" t="str">
            <v>EUR_EONIA_EOD</v>
          </cell>
          <cell r="C400">
            <v>42255</v>
          </cell>
          <cell r="E400">
            <v>-1.3788914934804899E-3</v>
          </cell>
        </row>
        <row r="401">
          <cell r="A401" t="str">
            <v>EUR_EONIA_EOD</v>
          </cell>
          <cell r="C401">
            <v>42256</v>
          </cell>
          <cell r="E401">
            <v>-1.37889149346136E-3</v>
          </cell>
        </row>
        <row r="402">
          <cell r="A402" t="str">
            <v>EUR_EONIA_EOD</v>
          </cell>
          <cell r="C402">
            <v>42263</v>
          </cell>
          <cell r="E402">
            <v>-1.3315876099059499E-3</v>
          </cell>
        </row>
        <row r="403">
          <cell r="A403" t="str">
            <v>EUR_EONIA_EOD</v>
          </cell>
          <cell r="C403">
            <v>42270</v>
          </cell>
          <cell r="E403">
            <v>-1.32568920160386E-3</v>
          </cell>
        </row>
        <row r="404">
          <cell r="A404" t="str">
            <v>EUR_EONIA_EOD</v>
          </cell>
          <cell r="C404">
            <v>42277</v>
          </cell>
          <cell r="E404">
            <v>-1.32030529050455E-3</v>
          </cell>
        </row>
        <row r="405">
          <cell r="A405" t="str">
            <v>EUR_EONIA_EOD</v>
          </cell>
          <cell r="C405">
            <v>42286</v>
          </cell>
          <cell r="E405">
            <v>-1.2949904277368401E-3</v>
          </cell>
        </row>
        <row r="406">
          <cell r="A406" t="str">
            <v>EUR_EONIA_EOD</v>
          </cell>
          <cell r="C406">
            <v>42317</v>
          </cell>
          <cell r="E406">
            <v>-1.31030826241943E-3</v>
          </cell>
        </row>
        <row r="407">
          <cell r="A407" t="str">
            <v>EUR_EONIA_EOD</v>
          </cell>
          <cell r="C407">
            <v>42347</v>
          </cell>
          <cell r="E407">
            <v>-1.32619189013825E-3</v>
          </cell>
        </row>
        <row r="408">
          <cell r="A408" t="str">
            <v>EUR_EONIA_EOD</v>
          </cell>
          <cell r="C408">
            <v>42380</v>
          </cell>
          <cell r="E408">
            <v>-1.35050694911565E-3</v>
          </cell>
        </row>
        <row r="409">
          <cell r="A409" t="str">
            <v>EUR_EONIA_EOD</v>
          </cell>
          <cell r="C409">
            <v>42409</v>
          </cell>
          <cell r="E409">
            <v>-1.3659306689293999E-3</v>
          </cell>
        </row>
        <row r="410">
          <cell r="A410" t="str">
            <v>EUR_EONIA_EOD</v>
          </cell>
          <cell r="C410">
            <v>42438</v>
          </cell>
          <cell r="E410">
            <v>-1.3944114435847201E-3</v>
          </cell>
        </row>
        <row r="411">
          <cell r="A411" t="str">
            <v>EUR_EONIA_EOD</v>
          </cell>
          <cell r="C411">
            <v>42471</v>
          </cell>
          <cell r="E411">
            <v>-1.4234291475210699E-3</v>
          </cell>
        </row>
        <row r="412">
          <cell r="A412" t="str">
            <v>EUR_EONIA_EOD</v>
          </cell>
          <cell r="C412">
            <v>42499</v>
          </cell>
          <cell r="E412">
            <v>-1.43361934351748E-3</v>
          </cell>
        </row>
        <row r="413">
          <cell r="A413" t="str">
            <v>EUR_EONIA_EOD</v>
          </cell>
          <cell r="C413">
            <v>42530</v>
          </cell>
          <cell r="E413">
            <v>-1.4425734285710399E-3</v>
          </cell>
        </row>
        <row r="414">
          <cell r="A414" t="str">
            <v>EUR_EONIA_EOD</v>
          </cell>
          <cell r="C414">
            <v>42562</v>
          </cell>
          <cell r="E414">
            <v>-1.4490157476338399E-3</v>
          </cell>
        </row>
        <row r="415">
          <cell r="A415" t="str">
            <v>EUR_EONIA_EOD</v>
          </cell>
          <cell r="C415">
            <v>42591</v>
          </cell>
          <cell r="E415">
            <v>-1.4789945046753299E-3</v>
          </cell>
        </row>
        <row r="416">
          <cell r="A416" t="str">
            <v>EUR_EONIA_EOD</v>
          </cell>
          <cell r="C416">
            <v>42622</v>
          </cell>
          <cell r="E416">
            <v>-1.4976519297154401E-3</v>
          </cell>
        </row>
        <row r="417">
          <cell r="A417" t="str">
            <v>EUR_EONIA_EOD</v>
          </cell>
          <cell r="C417">
            <v>42713</v>
          </cell>
          <cell r="E417">
            <v>-1.50770702488882E-3</v>
          </cell>
        </row>
        <row r="418">
          <cell r="A418" t="str">
            <v>EUR_EONIA_EOD</v>
          </cell>
          <cell r="C418">
            <v>42803</v>
          </cell>
          <cell r="E418">
            <v>-1.45046248053852E-3</v>
          </cell>
        </row>
        <row r="419">
          <cell r="A419" t="str">
            <v>EUR_EONIA_EOD</v>
          </cell>
          <cell r="C419">
            <v>42895</v>
          </cell>
          <cell r="E419">
            <v>-1.4353993275019301E-3</v>
          </cell>
        </row>
        <row r="420">
          <cell r="A420" t="str">
            <v>EUR_EONIA_EOD</v>
          </cell>
          <cell r="C420">
            <v>42989</v>
          </cell>
          <cell r="E420">
            <v>-1.32553408814191E-3</v>
          </cell>
        </row>
        <row r="421">
          <cell r="A421" t="str">
            <v>EUR_EONIA_EOD</v>
          </cell>
          <cell r="C421">
            <v>43353</v>
          </cell>
          <cell r="E421">
            <v>-8.1972371638538999E-4</v>
          </cell>
        </row>
        <row r="422">
          <cell r="A422" t="str">
            <v>EUR_EONIA_EOD</v>
          </cell>
          <cell r="C422">
            <v>43717</v>
          </cell>
          <cell r="E422">
            <v>1.0089621732733999E-4</v>
          </cell>
        </row>
        <row r="423">
          <cell r="A423" t="str">
            <v>EUR_EONIA_EOD</v>
          </cell>
          <cell r="C423">
            <v>44083</v>
          </cell>
          <cell r="E423">
            <v>1.2416972272284699E-3</v>
          </cell>
        </row>
        <row r="424">
          <cell r="A424" t="str">
            <v>EUR_EONIA_EOD</v>
          </cell>
          <cell r="C424">
            <v>44448</v>
          </cell>
          <cell r="E424">
            <v>2.57242642212582E-3</v>
          </cell>
        </row>
        <row r="425">
          <cell r="A425" t="str">
            <v>EUR_EONIA_EOD</v>
          </cell>
          <cell r="C425">
            <v>44813</v>
          </cell>
          <cell r="E425">
            <v>3.9834125721027102E-3</v>
          </cell>
        </row>
        <row r="426">
          <cell r="A426" t="str">
            <v>EUR_EONIA_EOD</v>
          </cell>
          <cell r="C426">
            <v>45180</v>
          </cell>
          <cell r="E426">
            <v>5.3735794198708099E-3</v>
          </cell>
        </row>
        <row r="427">
          <cell r="A427" t="str">
            <v>EUR_EONIA_EOD</v>
          </cell>
          <cell r="C427">
            <v>45544</v>
          </cell>
          <cell r="E427">
            <v>6.66414750581953E-3</v>
          </cell>
        </row>
        <row r="428">
          <cell r="A428" t="str">
            <v>EUR_EONIA_EOD</v>
          </cell>
          <cell r="C428">
            <v>45909</v>
          </cell>
          <cell r="E428">
            <v>7.8331235680956998E-3</v>
          </cell>
        </row>
        <row r="429">
          <cell r="A429" t="str">
            <v>EUR_EONIA_EOD</v>
          </cell>
          <cell r="C429">
            <v>46639</v>
          </cell>
          <cell r="E429">
            <v>9.8677457493775902E-3</v>
          </cell>
        </row>
        <row r="430">
          <cell r="A430" t="str">
            <v>EUR_EONIA_EOD</v>
          </cell>
          <cell r="C430">
            <v>47735</v>
          </cell>
          <cell r="E430">
            <v>1.2027215900878701E-2</v>
          </cell>
        </row>
        <row r="431">
          <cell r="A431" t="str">
            <v>EUR_EONIA_EOD</v>
          </cell>
          <cell r="C431">
            <v>49562</v>
          </cell>
          <cell r="E431">
            <v>1.39238882143632E-2</v>
          </cell>
        </row>
        <row r="432">
          <cell r="A432" t="str">
            <v>EUR_EONIA_EOD</v>
          </cell>
          <cell r="C432">
            <v>51389</v>
          </cell>
          <cell r="E432">
            <v>1.44582210273072E-2</v>
          </cell>
        </row>
        <row r="433">
          <cell r="A433" t="str">
            <v>EUR_EONIA_EOD</v>
          </cell>
          <cell r="C433">
            <v>53216</v>
          </cell>
          <cell r="E433">
            <v>1.4684176929340801E-2</v>
          </cell>
        </row>
        <row r="434">
          <cell r="A434" t="str">
            <v>EUR_EONIA_EOD</v>
          </cell>
          <cell r="C434">
            <v>56866</v>
          </cell>
          <cell r="E434">
            <v>1.5073063567215E-2</v>
          </cell>
        </row>
        <row r="435">
          <cell r="A435" t="str">
            <v>EUR_EONIA_EOD</v>
          </cell>
          <cell r="C435">
            <v>60519</v>
          </cell>
          <cell r="E435">
            <v>1.4690348670605801E-2</v>
          </cell>
        </row>
        <row r="436">
          <cell r="A436" t="str">
            <v>EUR_EONIA_EOD</v>
          </cell>
          <cell r="C436">
            <v>64171</v>
          </cell>
          <cell r="E436">
            <v>1.4233987525503001E-2</v>
          </cell>
        </row>
        <row r="437">
          <cell r="A437" t="str">
            <v>EUR_EURIBOR_12M_EOD</v>
          </cell>
          <cell r="C437">
            <v>42622</v>
          </cell>
          <cell r="E437">
            <v>1.60065919224295E-3</v>
          </cell>
        </row>
        <row r="438">
          <cell r="A438" t="str">
            <v>EUR_EURIBOR_12M_EOD</v>
          </cell>
          <cell r="C438">
            <v>42653</v>
          </cell>
          <cell r="E438">
            <v>1.58203428041038E-3</v>
          </cell>
        </row>
        <row r="439">
          <cell r="A439" t="str">
            <v>EUR_EURIBOR_12M_EOD</v>
          </cell>
          <cell r="C439">
            <v>42683</v>
          </cell>
          <cell r="E439">
            <v>1.60065919224295E-3</v>
          </cell>
        </row>
        <row r="440">
          <cell r="A440" t="str">
            <v>EUR_EURIBOR_12M_EOD</v>
          </cell>
          <cell r="C440">
            <v>42713</v>
          </cell>
          <cell r="E440">
            <v>1.6208380323913E-3</v>
          </cell>
        </row>
        <row r="441">
          <cell r="A441" t="str">
            <v>EUR_EURIBOR_12M_EOD</v>
          </cell>
          <cell r="C441">
            <v>42744</v>
          </cell>
          <cell r="E441">
            <v>1.6156337343602399E-3</v>
          </cell>
        </row>
        <row r="442">
          <cell r="A442" t="str">
            <v>EUR_EURIBOR_12M_EOD</v>
          </cell>
          <cell r="C442">
            <v>42775</v>
          </cell>
          <cell r="E442">
            <v>1.6753217425870301E-3</v>
          </cell>
        </row>
        <row r="443">
          <cell r="A443" t="str">
            <v>EUR_EURIBOR_12M_EOD</v>
          </cell>
          <cell r="C443">
            <v>42803</v>
          </cell>
          <cell r="E443">
            <v>1.70833296905244E-3</v>
          </cell>
        </row>
        <row r="444">
          <cell r="A444" t="str">
            <v>EUR_EURIBOR_12M_EOD</v>
          </cell>
          <cell r="C444">
            <v>42835</v>
          </cell>
          <cell r="E444">
            <v>1.8148779063974199E-3</v>
          </cell>
        </row>
        <row r="445">
          <cell r="A445" t="str">
            <v>EUR_EURIBOR_12M_EOD</v>
          </cell>
          <cell r="C445">
            <v>42864</v>
          </cell>
          <cell r="E445">
            <v>1.86105601978185E-3</v>
          </cell>
        </row>
        <row r="446">
          <cell r="A446" t="str">
            <v>EUR_EURIBOR_12M_EOD</v>
          </cell>
          <cell r="C446">
            <v>42895</v>
          </cell>
          <cell r="E446">
            <v>1.9003145185272599E-3</v>
          </cell>
        </row>
        <row r="447">
          <cell r="A447" t="str">
            <v>EUR_EURIBOR_12M_EOD</v>
          </cell>
          <cell r="C447">
            <v>42926</v>
          </cell>
          <cell r="E447">
            <v>1.9504132301404701E-3</v>
          </cell>
        </row>
        <row r="448">
          <cell r="A448" t="str">
            <v>EUR_EURIBOR_12M_EOD</v>
          </cell>
          <cell r="C448">
            <v>42956</v>
          </cell>
          <cell r="E448">
            <v>1.9952522331055599E-3</v>
          </cell>
        </row>
        <row r="449">
          <cell r="A449" t="str">
            <v>EUR_EURIBOR_12M_EOD</v>
          </cell>
          <cell r="C449">
            <v>42989</v>
          </cell>
          <cell r="E449">
            <v>2.0478352577715602E-3</v>
          </cell>
        </row>
        <row r="450">
          <cell r="A450" t="str">
            <v>EUR_EURIBOR_12M_EOD</v>
          </cell>
          <cell r="C450">
            <v>43353</v>
          </cell>
          <cell r="E450">
            <v>2.8351179172853101E-3</v>
          </cell>
        </row>
        <row r="451">
          <cell r="A451" t="str">
            <v>EUR_EURIBOR_12M_EOD</v>
          </cell>
          <cell r="C451">
            <v>43717</v>
          </cell>
          <cell r="E451">
            <v>3.8939149677308998E-3</v>
          </cell>
        </row>
        <row r="452">
          <cell r="A452" t="str">
            <v>EUR_EURIBOR_12M_EOD</v>
          </cell>
          <cell r="C452">
            <v>44083</v>
          </cell>
          <cell r="E452">
            <v>5.0810030743881299E-3</v>
          </cell>
        </row>
        <row r="453">
          <cell r="A453" t="str">
            <v>EUR_EURIBOR_12M_EOD</v>
          </cell>
          <cell r="C453">
            <v>44448</v>
          </cell>
          <cell r="E453">
            <v>6.39641529315232E-3</v>
          </cell>
        </row>
        <row r="454">
          <cell r="A454" t="str">
            <v>EUR_EURIBOR_12M_EOD</v>
          </cell>
          <cell r="C454">
            <v>44813</v>
          </cell>
          <cell r="E454">
            <v>7.7719493558553602E-3</v>
          </cell>
        </row>
        <row r="455">
          <cell r="A455" t="str">
            <v>EUR_EURIBOR_12M_EOD</v>
          </cell>
          <cell r="C455">
            <v>45180</v>
          </cell>
          <cell r="E455">
            <v>9.0900767069682503E-3</v>
          </cell>
        </row>
        <row r="456">
          <cell r="A456" t="str">
            <v>EUR_EURIBOR_12M_EOD</v>
          </cell>
          <cell r="C456">
            <v>45544</v>
          </cell>
          <cell r="E456">
            <v>1.0283762979089801E-2</v>
          </cell>
        </row>
        <row r="457">
          <cell r="A457" t="str">
            <v>EUR_EURIBOR_12M_EOD</v>
          </cell>
          <cell r="C457">
            <v>45909</v>
          </cell>
          <cell r="E457">
            <v>1.1319029044257399E-2</v>
          </cell>
        </row>
        <row r="458">
          <cell r="A458" t="str">
            <v>EUR_EURIBOR_12M_EOD</v>
          </cell>
          <cell r="C458">
            <v>46639</v>
          </cell>
          <cell r="E458">
            <v>1.3095163790387099E-2</v>
          </cell>
        </row>
        <row r="459">
          <cell r="A459" t="str">
            <v>EUR_EURIBOR_12M_EOD</v>
          </cell>
          <cell r="C459">
            <v>47735</v>
          </cell>
          <cell r="E459">
            <v>1.4871427940412201E-2</v>
          </cell>
        </row>
        <row r="460">
          <cell r="A460" t="str">
            <v>EUR_EURIBOR_12M_EOD</v>
          </cell>
          <cell r="C460">
            <v>49562</v>
          </cell>
          <cell r="E460">
            <v>1.6292559713827599E-2</v>
          </cell>
        </row>
        <row r="461">
          <cell r="A461" t="str">
            <v>EUR_EURIBOR_12M_EOD</v>
          </cell>
          <cell r="C461">
            <v>51389</v>
          </cell>
          <cell r="E461">
            <v>1.64932302037545E-2</v>
          </cell>
        </row>
        <row r="462">
          <cell r="A462" t="str">
            <v>EUR_EURIBOR_12M_EOD</v>
          </cell>
          <cell r="C462">
            <v>53216</v>
          </cell>
          <cell r="E462">
            <v>1.6462759835427401E-2</v>
          </cell>
        </row>
        <row r="463">
          <cell r="A463" t="str">
            <v>EUR_EURIBOR_12M_EOD</v>
          </cell>
          <cell r="C463">
            <v>56866</v>
          </cell>
          <cell r="E463">
            <v>1.65373402238621E-2</v>
          </cell>
        </row>
        <row r="464">
          <cell r="A464" t="str">
            <v>EUR_EURIBOR_12M_EOD</v>
          </cell>
          <cell r="C464">
            <v>60519</v>
          </cell>
          <cell r="E464">
            <v>1.5880383174226301E-2</v>
          </cell>
        </row>
        <row r="465">
          <cell r="A465" t="str">
            <v>EUR_EURIBOR_12M_EOD</v>
          </cell>
          <cell r="C465">
            <v>64171</v>
          </cell>
          <cell r="E465">
            <v>1.5449521471203801E-2</v>
          </cell>
        </row>
        <row r="466">
          <cell r="A466" t="str">
            <v>EUR_EURIBOR_1M_EOD</v>
          </cell>
          <cell r="C466">
            <v>42286</v>
          </cell>
          <cell r="E466">
            <v>-1.05449013967715E-3</v>
          </cell>
        </row>
        <row r="467">
          <cell r="A467" t="str">
            <v>EUR_EURIBOR_1M_EOD</v>
          </cell>
          <cell r="C467">
            <v>42317</v>
          </cell>
          <cell r="E467">
            <v>-1.02018490046603E-3</v>
          </cell>
        </row>
        <row r="468">
          <cell r="A468" t="str">
            <v>EUR_EURIBOR_1M_EOD</v>
          </cell>
          <cell r="C468">
            <v>42347</v>
          </cell>
          <cell r="E468">
            <v>-1.08436913034265E-3</v>
          </cell>
        </row>
        <row r="469">
          <cell r="A469" t="str">
            <v>EUR_EURIBOR_1M_EOD</v>
          </cell>
          <cell r="C469">
            <v>42438</v>
          </cell>
          <cell r="E469">
            <v>-1.10988829263313E-3</v>
          </cell>
        </row>
        <row r="470">
          <cell r="A470" t="str">
            <v>EUR_EURIBOR_1M_EOD</v>
          </cell>
          <cell r="C470">
            <v>42530</v>
          </cell>
          <cell r="E470">
            <v>-1.11938335978432E-3</v>
          </cell>
        </row>
        <row r="471">
          <cell r="A471" t="str">
            <v>EUR_EURIBOR_1M_EOD</v>
          </cell>
          <cell r="C471">
            <v>42622</v>
          </cell>
          <cell r="E471">
            <v>-1.13387002807668E-3</v>
          </cell>
        </row>
        <row r="472">
          <cell r="A472" t="str">
            <v>EUR_EURIBOR_1M_EOD</v>
          </cell>
          <cell r="C472">
            <v>42989</v>
          </cell>
          <cell r="E472">
            <v>-9.5736707974297002E-4</v>
          </cell>
        </row>
        <row r="473">
          <cell r="A473" t="str">
            <v>EUR_EURIBOR_1M_EOD</v>
          </cell>
          <cell r="C473">
            <v>43353</v>
          </cell>
          <cell r="E473">
            <v>-3.9855170815022002E-4</v>
          </cell>
        </row>
        <row r="474">
          <cell r="A474" t="str">
            <v>EUR_EURIBOR_1M_EOD</v>
          </cell>
          <cell r="C474">
            <v>43717</v>
          </cell>
          <cell r="E474">
            <v>5.2547197639846003E-4</v>
          </cell>
        </row>
        <row r="475">
          <cell r="A475" t="str">
            <v>EUR_EURIBOR_1M_EOD</v>
          </cell>
          <cell r="C475">
            <v>44083</v>
          </cell>
          <cell r="E475">
            <v>1.6916725359586199E-3</v>
          </cell>
        </row>
        <row r="476">
          <cell r="A476" t="str">
            <v>EUR_EURIBOR_1M_EOD</v>
          </cell>
          <cell r="C476">
            <v>44448</v>
          </cell>
          <cell r="E476">
            <v>3.0198622934850599E-3</v>
          </cell>
        </row>
        <row r="477">
          <cell r="A477" t="str">
            <v>EUR_EURIBOR_1M_EOD</v>
          </cell>
          <cell r="C477">
            <v>44813</v>
          </cell>
          <cell r="E477">
            <v>4.4300282598182597E-3</v>
          </cell>
        </row>
        <row r="478">
          <cell r="A478" t="str">
            <v>EUR_EURIBOR_1M_EOD</v>
          </cell>
          <cell r="C478">
            <v>45180</v>
          </cell>
          <cell r="E478">
            <v>5.8195382872414103E-3</v>
          </cell>
        </row>
        <row r="479">
          <cell r="A479" t="str">
            <v>EUR_EURIBOR_1M_EOD</v>
          </cell>
          <cell r="C479">
            <v>45544</v>
          </cell>
          <cell r="E479">
            <v>7.1130519217211903E-3</v>
          </cell>
        </row>
        <row r="480">
          <cell r="A480" t="str">
            <v>EUR_EURIBOR_1M_EOD</v>
          </cell>
          <cell r="C480">
            <v>45909</v>
          </cell>
          <cell r="E480">
            <v>8.26676970094644E-3</v>
          </cell>
        </row>
        <row r="481">
          <cell r="A481" t="str">
            <v>EUR_EURIBOR_1M_EOD</v>
          </cell>
          <cell r="C481">
            <v>46639</v>
          </cell>
          <cell r="E481">
            <v>1.02775751375374E-2</v>
          </cell>
        </row>
        <row r="482">
          <cell r="A482" t="str">
            <v>EUR_EURIBOR_1M_EOD</v>
          </cell>
          <cell r="C482">
            <v>47735</v>
          </cell>
          <cell r="E482">
            <v>1.2414720334678201E-2</v>
          </cell>
        </row>
        <row r="483">
          <cell r="A483" t="str">
            <v>EUR_EURIBOR_1M_EOD</v>
          </cell>
          <cell r="C483">
            <v>49562</v>
          </cell>
          <cell r="E483">
            <v>1.42634924561572E-2</v>
          </cell>
        </row>
        <row r="484">
          <cell r="A484" t="str">
            <v>EUR_EURIBOR_1M_EOD</v>
          </cell>
          <cell r="C484">
            <v>51389</v>
          </cell>
          <cell r="E484">
            <v>1.4717661556200599E-2</v>
          </cell>
        </row>
        <row r="485">
          <cell r="A485" t="str">
            <v>EUR_EURIBOR_1M_EOD</v>
          </cell>
          <cell r="C485">
            <v>53216</v>
          </cell>
          <cell r="E485">
            <v>1.48999447288077E-2</v>
          </cell>
        </row>
        <row r="486">
          <cell r="A486" t="str">
            <v>EUR_EURIBOR_1M_EOD</v>
          </cell>
          <cell r="C486">
            <v>56866</v>
          </cell>
          <cell r="E486">
            <v>1.5206643135164699E-2</v>
          </cell>
        </row>
        <row r="487">
          <cell r="A487" t="str">
            <v>EUR_EURIBOR_1M_EOD</v>
          </cell>
          <cell r="C487">
            <v>60519</v>
          </cell>
          <cell r="E487">
            <v>1.47394868875619E-2</v>
          </cell>
        </row>
        <row r="488">
          <cell r="A488" t="str">
            <v>EUR_EURIBOR_1M_EOD</v>
          </cell>
          <cell r="C488">
            <v>64171</v>
          </cell>
          <cell r="E488">
            <v>1.43731635617025E-2</v>
          </cell>
        </row>
        <row r="489">
          <cell r="A489" t="str">
            <v>EUR_EURIBOR_3M_EOD</v>
          </cell>
          <cell r="C489">
            <v>42347</v>
          </cell>
          <cell r="E489">
            <v>-3.4473703655037001E-4</v>
          </cell>
        </row>
        <row r="490">
          <cell r="A490" t="str">
            <v>EUR_EURIBOR_3M_EOD</v>
          </cell>
          <cell r="C490">
            <v>42445</v>
          </cell>
          <cell r="E490">
            <v>-3.7685677966127999E-4</v>
          </cell>
        </row>
        <row r="491">
          <cell r="A491" t="str">
            <v>EUR_EURIBOR_3M_EOD</v>
          </cell>
          <cell r="C491">
            <v>42536</v>
          </cell>
          <cell r="E491">
            <v>-3.8906931819125999E-4</v>
          </cell>
        </row>
        <row r="492">
          <cell r="A492" t="str">
            <v>EUR_EURIBOR_3M_EOD</v>
          </cell>
          <cell r="C492">
            <v>42634</v>
          </cell>
          <cell r="E492">
            <v>-3.8469680432975001E-4</v>
          </cell>
        </row>
        <row r="493">
          <cell r="A493" t="str">
            <v>EUR_EURIBOR_3M_EOD</v>
          </cell>
          <cell r="C493">
            <v>42725</v>
          </cell>
          <cell r="E493">
            <v>-3.5464335490611998E-4</v>
          </cell>
        </row>
        <row r="494">
          <cell r="A494" t="str">
            <v>EUR_EURIBOR_3M_EOD</v>
          </cell>
          <cell r="C494">
            <v>42809</v>
          </cell>
          <cell r="E494">
            <v>-2.9897271223999002E-4</v>
          </cell>
        </row>
        <row r="495">
          <cell r="A495" t="str">
            <v>EUR_EURIBOR_3M_EOD</v>
          </cell>
          <cell r="C495">
            <v>42907</v>
          </cell>
          <cell r="E495">
            <v>-2.0860952229853001E-4</v>
          </cell>
        </row>
        <row r="496">
          <cell r="A496" t="str">
            <v>EUR_EURIBOR_3M_EOD</v>
          </cell>
          <cell r="C496">
            <v>42998</v>
          </cell>
          <cell r="E496">
            <v>-1.044777564023E-4</v>
          </cell>
        </row>
        <row r="497">
          <cell r="A497" t="str">
            <v>EUR_EURIBOR_3M_EOD</v>
          </cell>
          <cell r="C497">
            <v>43089</v>
          </cell>
          <cell r="E497">
            <v>2.490189700385E-5</v>
          </cell>
        </row>
        <row r="498">
          <cell r="A498" t="str">
            <v>EUR_EURIBOR_3M_EOD</v>
          </cell>
          <cell r="C498">
            <v>43180</v>
          </cell>
          <cell r="E498">
            <v>1.7437224618582E-4</v>
          </cell>
        </row>
        <row r="499">
          <cell r="A499" t="str">
            <v>EUR_EURIBOR_3M_EOD</v>
          </cell>
          <cell r="C499">
            <v>43271</v>
          </cell>
          <cell r="E499">
            <v>3.4515361126532E-4</v>
          </cell>
        </row>
        <row r="500">
          <cell r="A500" t="str">
            <v>EUR_EURIBOR_3M_EOD</v>
          </cell>
          <cell r="C500">
            <v>43362</v>
          </cell>
          <cell r="E500">
            <v>5.4014477468742998E-4</v>
          </cell>
        </row>
        <row r="501">
          <cell r="A501" t="str">
            <v>EUR_EURIBOR_3M_EOD</v>
          </cell>
          <cell r="C501">
            <v>43453</v>
          </cell>
          <cell r="E501">
            <v>7.7220212207786999E-4</v>
          </cell>
        </row>
        <row r="502">
          <cell r="A502" t="str">
            <v>EUR_EURIBOR_3M_EOD</v>
          </cell>
          <cell r="C502">
            <v>43717</v>
          </cell>
          <cell r="E502">
            <v>1.5562345174182099E-3</v>
          </cell>
        </row>
        <row r="503">
          <cell r="A503" t="str">
            <v>EUR_EURIBOR_3M_EOD</v>
          </cell>
          <cell r="C503">
            <v>44083</v>
          </cell>
          <cell r="E503">
            <v>2.7188396550259101E-3</v>
          </cell>
        </row>
        <row r="504">
          <cell r="A504" t="str">
            <v>EUR_EURIBOR_3M_EOD</v>
          </cell>
          <cell r="C504">
            <v>44448</v>
          </cell>
          <cell r="E504">
            <v>4.0396616046803804E-3</v>
          </cell>
        </row>
        <row r="505">
          <cell r="A505" t="str">
            <v>EUR_EURIBOR_3M_EOD</v>
          </cell>
          <cell r="C505">
            <v>44813</v>
          </cell>
          <cell r="E505">
            <v>5.42452472449811E-3</v>
          </cell>
        </row>
        <row r="506">
          <cell r="A506" t="str">
            <v>EUR_EURIBOR_3M_EOD</v>
          </cell>
          <cell r="C506">
            <v>45180</v>
          </cell>
          <cell r="E506">
            <v>6.7890259703849197E-3</v>
          </cell>
        </row>
        <row r="507">
          <cell r="A507" t="str">
            <v>EUR_EURIBOR_3M_EOD</v>
          </cell>
          <cell r="C507">
            <v>45544</v>
          </cell>
          <cell r="E507">
            <v>8.0531130037076008E-3</v>
          </cell>
        </row>
        <row r="508">
          <cell r="A508" t="str">
            <v>EUR_EURIBOR_3M_EOD</v>
          </cell>
          <cell r="C508">
            <v>45909</v>
          </cell>
          <cell r="E508">
            <v>9.1839218568463693E-3</v>
          </cell>
        </row>
        <row r="509">
          <cell r="A509" t="str">
            <v>EUR_EURIBOR_3M_EOD</v>
          </cell>
          <cell r="C509">
            <v>46639</v>
          </cell>
          <cell r="E509">
            <v>1.11413227258191E-2</v>
          </cell>
        </row>
        <row r="510">
          <cell r="A510" t="str">
            <v>EUR_EURIBOR_3M_EOD</v>
          </cell>
          <cell r="C510">
            <v>47735</v>
          </cell>
          <cell r="E510">
            <v>1.3181607484374599E-2</v>
          </cell>
        </row>
        <row r="511">
          <cell r="A511" t="str">
            <v>EUR_EURIBOR_3M_EOD</v>
          </cell>
          <cell r="C511">
            <v>49562</v>
          </cell>
          <cell r="E511">
            <v>1.4883142190929099E-2</v>
          </cell>
        </row>
        <row r="512">
          <cell r="A512" t="str">
            <v>EUR_EURIBOR_3M_EOD</v>
          </cell>
          <cell r="C512">
            <v>51389</v>
          </cell>
          <cell r="E512">
            <v>1.52471958576272E-2</v>
          </cell>
        </row>
        <row r="513">
          <cell r="A513" t="str">
            <v>EUR_EURIBOR_3M_EOD</v>
          </cell>
          <cell r="C513">
            <v>53216</v>
          </cell>
          <cell r="E513">
            <v>1.53546555901263E-2</v>
          </cell>
        </row>
        <row r="514">
          <cell r="A514" t="str">
            <v>EUR_EURIBOR_3M_EOD</v>
          </cell>
          <cell r="C514">
            <v>56866</v>
          </cell>
          <cell r="E514">
            <v>1.5566407679038901E-2</v>
          </cell>
        </row>
        <row r="515">
          <cell r="A515" t="str">
            <v>EUR_EURIBOR_3M_EOD</v>
          </cell>
          <cell r="C515">
            <v>60519</v>
          </cell>
          <cell r="E515">
            <v>1.50465394603403E-2</v>
          </cell>
        </row>
        <row r="516">
          <cell r="A516" t="str">
            <v>EUR_EURIBOR_3M_EOD</v>
          </cell>
          <cell r="C516">
            <v>64171</v>
          </cell>
          <cell r="E516">
            <v>1.46182262321462E-2</v>
          </cell>
        </row>
        <row r="517">
          <cell r="A517" t="str">
            <v>EUR_EURIBOR_6M_EOD</v>
          </cell>
          <cell r="C517">
            <v>42438</v>
          </cell>
          <cell r="E517">
            <v>3.8524077444641001E-4</v>
          </cell>
        </row>
        <row r="518">
          <cell r="A518" t="str">
            <v>EUR_EURIBOR_6M_EOD</v>
          </cell>
          <cell r="C518">
            <v>42471</v>
          </cell>
          <cell r="E518">
            <v>3.5931385791292001E-4</v>
          </cell>
        </row>
        <row r="519">
          <cell r="A519" t="str">
            <v>EUR_EURIBOR_6M_EOD</v>
          </cell>
          <cell r="C519">
            <v>42499</v>
          </cell>
          <cell r="E519">
            <v>3.6264970503026002E-4</v>
          </cell>
        </row>
        <row r="520">
          <cell r="A520" t="str">
            <v>EUR_EURIBOR_6M_EOD</v>
          </cell>
          <cell r="C520">
            <v>42530</v>
          </cell>
          <cell r="E520">
            <v>3.6507680842331E-4</v>
          </cell>
        </row>
        <row r="521">
          <cell r="A521" t="str">
            <v>EUR_EURIBOR_6M_EOD</v>
          </cell>
          <cell r="C521">
            <v>42562</v>
          </cell>
          <cell r="E521">
            <v>3.8024908721077998E-4</v>
          </cell>
        </row>
        <row r="522">
          <cell r="A522" t="str">
            <v>EUR_EURIBOR_6M_EOD</v>
          </cell>
          <cell r="C522">
            <v>42591</v>
          </cell>
          <cell r="E522">
            <v>3.7520405204333001E-4</v>
          </cell>
        </row>
        <row r="523">
          <cell r="A523" t="str">
            <v>EUR_EURIBOR_6M_EOD</v>
          </cell>
          <cell r="C523">
            <v>42622</v>
          </cell>
          <cell r="E523">
            <v>3.9094257230873E-4</v>
          </cell>
        </row>
        <row r="524">
          <cell r="A524" t="str">
            <v>EUR_EURIBOR_6M_EOD</v>
          </cell>
          <cell r="C524">
            <v>42803</v>
          </cell>
          <cell r="E524">
            <v>5.3317332538784998E-4</v>
          </cell>
        </row>
        <row r="525">
          <cell r="A525" t="str">
            <v>EUR_EURIBOR_6M_EOD</v>
          </cell>
          <cell r="C525">
            <v>42989</v>
          </cell>
          <cell r="E525">
            <v>7.9430076183396999E-4</v>
          </cell>
        </row>
        <row r="526">
          <cell r="A526" t="str">
            <v>EUR_EURIBOR_6M_EOD</v>
          </cell>
          <cell r="C526">
            <v>43353</v>
          </cell>
          <cell r="E526">
            <v>1.5034589722146901E-3</v>
          </cell>
        </row>
        <row r="527">
          <cell r="A527" t="str">
            <v>EUR_EURIBOR_6M_EOD</v>
          </cell>
          <cell r="C527">
            <v>43717</v>
          </cell>
          <cell r="E527">
            <v>2.5418394909177701E-3</v>
          </cell>
        </row>
        <row r="528">
          <cell r="A528" t="str">
            <v>EUR_EURIBOR_6M_EOD</v>
          </cell>
          <cell r="C528">
            <v>44083</v>
          </cell>
          <cell r="E528">
            <v>3.7391213313464101E-3</v>
          </cell>
        </row>
        <row r="529">
          <cell r="A529" t="str">
            <v>EUR_EURIBOR_6M_EOD</v>
          </cell>
          <cell r="C529">
            <v>44448</v>
          </cell>
          <cell r="E529">
            <v>5.0568981802271802E-3</v>
          </cell>
        </row>
        <row r="530">
          <cell r="A530" t="str">
            <v>EUR_EURIBOR_6M_EOD</v>
          </cell>
          <cell r="C530">
            <v>44813</v>
          </cell>
          <cell r="E530">
            <v>6.4253289514921898E-3</v>
          </cell>
        </row>
        <row r="531">
          <cell r="A531" t="str">
            <v>EUR_EURIBOR_6M_EOD</v>
          </cell>
          <cell r="C531">
            <v>45180</v>
          </cell>
          <cell r="E531">
            <v>7.7630726211527596E-3</v>
          </cell>
        </row>
        <row r="532">
          <cell r="A532" t="str">
            <v>EUR_EURIBOR_6M_EOD</v>
          </cell>
          <cell r="C532">
            <v>45544</v>
          </cell>
          <cell r="E532">
            <v>8.9831750107104199E-3</v>
          </cell>
        </row>
        <row r="533">
          <cell r="A533" t="str">
            <v>EUR_EURIBOR_6M_EOD</v>
          </cell>
          <cell r="C533">
            <v>45909</v>
          </cell>
          <cell r="E533">
            <v>1.00671042625741E-2</v>
          </cell>
        </row>
        <row r="534">
          <cell r="A534" t="str">
            <v>EUR_EURIBOR_6M_EOD</v>
          </cell>
          <cell r="C534">
            <v>46639</v>
          </cell>
          <cell r="E534">
            <v>1.19427859113591E-2</v>
          </cell>
        </row>
        <row r="535">
          <cell r="A535" t="str">
            <v>EUR_EURIBOR_6M_EOD</v>
          </cell>
          <cell r="C535">
            <v>47735</v>
          </cell>
          <cell r="E535">
            <v>1.3875405660878999E-2</v>
          </cell>
        </row>
        <row r="536">
          <cell r="A536" t="str">
            <v>EUR_EURIBOR_6M_EOD</v>
          </cell>
          <cell r="C536">
            <v>49562</v>
          </cell>
          <cell r="E536">
            <v>1.5452696556659399E-2</v>
          </cell>
        </row>
        <row r="537">
          <cell r="A537" t="str">
            <v>EUR_EURIBOR_6M_EOD</v>
          </cell>
          <cell r="C537">
            <v>51389</v>
          </cell>
          <cell r="E537">
            <v>1.5730064532561198E-2</v>
          </cell>
        </row>
        <row r="538">
          <cell r="A538" t="str">
            <v>EUR_EURIBOR_6M_EOD</v>
          </cell>
          <cell r="C538">
            <v>53216</v>
          </cell>
          <cell r="E538">
            <v>1.5772960741330801E-2</v>
          </cell>
        </row>
        <row r="539">
          <cell r="A539" t="str">
            <v>EUR_EURIBOR_6M_EOD</v>
          </cell>
          <cell r="C539">
            <v>56866</v>
          </cell>
          <cell r="E539">
            <v>1.5902737086699599E-2</v>
          </cell>
        </row>
        <row r="540">
          <cell r="A540" t="str">
            <v>EUR_EURIBOR_6M_EOD</v>
          </cell>
          <cell r="C540">
            <v>60519</v>
          </cell>
          <cell r="E540">
            <v>1.5324577157971E-2</v>
          </cell>
        </row>
        <row r="541">
          <cell r="A541" t="str">
            <v>EUR_EURIBOR_6M_EOD</v>
          </cell>
          <cell r="C541">
            <v>64171</v>
          </cell>
          <cell r="E541">
            <v>1.48813416362176E-2</v>
          </cell>
        </row>
        <row r="542">
          <cell r="A542" t="str">
            <v>EUR_EURIBOR_EOD</v>
          </cell>
          <cell r="C542">
            <v>42255</v>
          </cell>
          <cell r="E542">
            <v>-1.3484747131691001E-3</v>
          </cell>
        </row>
        <row r="543">
          <cell r="A543" t="str">
            <v>EUR_EURIBOR_EOD</v>
          </cell>
          <cell r="C543">
            <v>42256</v>
          </cell>
          <cell r="E543">
            <v>-1.3484747132012601E-3</v>
          </cell>
        </row>
        <row r="544">
          <cell r="A544" t="str">
            <v>EUR_EURIBOR_EOD</v>
          </cell>
          <cell r="C544">
            <v>42263</v>
          </cell>
          <cell r="E544">
            <v>-1.4510045506215599E-3</v>
          </cell>
        </row>
        <row r="545">
          <cell r="A545" t="str">
            <v>EUR_EURIBOR_EOD</v>
          </cell>
          <cell r="C545">
            <v>42286</v>
          </cell>
          <cell r="E545">
            <v>-1.07286417552101E-3</v>
          </cell>
        </row>
        <row r="546">
          <cell r="A546" t="str">
            <v>EUR_EURIBOR_EOD</v>
          </cell>
          <cell r="C546">
            <v>42317</v>
          </cell>
          <cell r="E546">
            <v>-6.6131395658023003E-4</v>
          </cell>
        </row>
        <row r="547">
          <cell r="A547" t="str">
            <v>EUR_EURIBOR_EOD</v>
          </cell>
          <cell r="C547">
            <v>42347</v>
          </cell>
          <cell r="E547">
            <v>-3.6632279303724002E-4</v>
          </cell>
        </row>
        <row r="548">
          <cell r="A548" t="str">
            <v>EUR_EURIBOR_EOD</v>
          </cell>
          <cell r="C548">
            <v>42445</v>
          </cell>
          <cell r="E548">
            <v>-3.8775867687687002E-4</v>
          </cell>
        </row>
        <row r="549">
          <cell r="A549" t="str">
            <v>EUR_EURIBOR_EOD</v>
          </cell>
          <cell r="C549">
            <v>42536</v>
          </cell>
          <cell r="E549">
            <v>-3.9645322729829998E-4</v>
          </cell>
        </row>
        <row r="550">
          <cell r="A550" t="str">
            <v>EUR_EURIBOR_EOD</v>
          </cell>
          <cell r="C550">
            <v>42634</v>
          </cell>
          <cell r="E550">
            <v>-3.9017644214069E-4</v>
          </cell>
        </row>
        <row r="551">
          <cell r="A551" t="str">
            <v>EUR_EURIBOR_EOD</v>
          </cell>
          <cell r="C551">
            <v>42725</v>
          </cell>
          <cell r="E551">
            <v>-3.5906429411674E-4</v>
          </cell>
        </row>
        <row r="552">
          <cell r="A552" t="str">
            <v>EUR_EURIBOR_EOD</v>
          </cell>
          <cell r="C552">
            <v>42809</v>
          </cell>
          <cell r="E552">
            <v>-3.0272453632687E-4</v>
          </cell>
        </row>
        <row r="553">
          <cell r="A553" t="str">
            <v>EUR_EURIBOR_EOD</v>
          </cell>
          <cell r="C553">
            <v>42907</v>
          </cell>
          <cell r="E553">
            <v>-2.1179828549641001E-4</v>
          </cell>
        </row>
        <row r="554">
          <cell r="A554" t="str">
            <v>EUR_EURIBOR_EOD</v>
          </cell>
          <cell r="C554">
            <v>42998</v>
          </cell>
          <cell r="E554">
            <v>-1.0727649614451001E-4</v>
          </cell>
        </row>
        <row r="555">
          <cell r="A555" t="str">
            <v>EUR_EURIBOR_EOD</v>
          </cell>
          <cell r="C555">
            <v>43089</v>
          </cell>
          <cell r="E555">
            <v>2.240816961669E-5</v>
          </cell>
        </row>
        <row r="556">
          <cell r="A556" t="str">
            <v>EUR_EURIBOR_EOD</v>
          </cell>
          <cell r="C556">
            <v>43180</v>
          </cell>
          <cell r="E556">
            <v>1.7212358272121001E-4</v>
          </cell>
        </row>
        <row r="557">
          <cell r="A557" t="str">
            <v>EUR_EURIBOR_EOD</v>
          </cell>
          <cell r="C557">
            <v>43271</v>
          </cell>
          <cell r="E557">
            <v>3.4310615564273002E-4</v>
          </cell>
        </row>
        <row r="558">
          <cell r="A558" t="str">
            <v>EUR_EURIBOR_EOD</v>
          </cell>
          <cell r="C558">
            <v>43362</v>
          </cell>
          <cell r="E558">
            <v>5.3826547652120998E-4</v>
          </cell>
        </row>
        <row r="559">
          <cell r="A559" t="str">
            <v>EUR_EURIBOR_EOD</v>
          </cell>
          <cell r="C559">
            <v>43453</v>
          </cell>
          <cell r="E559">
            <v>7.7046545621611005E-4</v>
          </cell>
        </row>
        <row r="560">
          <cell r="A560" t="str">
            <v>EUR_EURIBOR_EOD</v>
          </cell>
          <cell r="C560">
            <v>43717</v>
          </cell>
          <cell r="E560">
            <v>2.5496188490300802E-3</v>
          </cell>
        </row>
        <row r="561">
          <cell r="A561" t="str">
            <v>EUR_EURIBOR_EOD</v>
          </cell>
          <cell r="C561">
            <v>44083</v>
          </cell>
          <cell r="E561">
            <v>3.7521675218203099E-3</v>
          </cell>
        </row>
        <row r="562">
          <cell r="A562" t="str">
            <v>EUR_EURIBOR_EOD</v>
          </cell>
          <cell r="C562">
            <v>44448</v>
          </cell>
          <cell r="E562">
            <v>5.0766708960625099E-3</v>
          </cell>
        </row>
        <row r="563">
          <cell r="A563" t="str">
            <v>EUR_EURIBOR_EOD</v>
          </cell>
          <cell r="C563">
            <v>44813</v>
          </cell>
          <cell r="E563">
            <v>6.4528134429471598E-3</v>
          </cell>
        </row>
        <row r="564">
          <cell r="A564" t="str">
            <v>EUR_EURIBOR_EOD</v>
          </cell>
          <cell r="C564">
            <v>45180</v>
          </cell>
          <cell r="E564">
            <v>7.7985744324893403E-3</v>
          </cell>
        </row>
        <row r="565">
          <cell r="A565" t="str">
            <v>EUR_EURIBOR_EOD</v>
          </cell>
          <cell r="C565">
            <v>45544</v>
          </cell>
          <cell r="E565">
            <v>9.0258401190832192E-3</v>
          </cell>
        </row>
        <row r="566">
          <cell r="A566" t="str">
            <v>EUR_EURIBOR_EOD</v>
          </cell>
          <cell r="C566">
            <v>45909</v>
          </cell>
          <cell r="E566">
            <v>1.01160627355966E-2</v>
          </cell>
        </row>
        <row r="567">
          <cell r="A567" t="str">
            <v>EUR_EURIBOR_EOD</v>
          </cell>
          <cell r="C567">
            <v>46639</v>
          </cell>
          <cell r="E567">
            <v>1.20028559752779E-2</v>
          </cell>
        </row>
        <row r="568">
          <cell r="A568" t="str">
            <v>EUR_EURIBOR_EOD</v>
          </cell>
          <cell r="C568">
            <v>47735</v>
          </cell>
          <cell r="E568">
            <v>1.3943252793669401E-2</v>
          </cell>
        </row>
        <row r="569">
          <cell r="A569" t="str">
            <v>EUR_EURIBOR_EOD</v>
          </cell>
          <cell r="C569">
            <v>49562</v>
          </cell>
          <cell r="E569">
            <v>1.5521794269475199E-2</v>
          </cell>
        </row>
        <row r="570">
          <cell r="A570" t="str">
            <v>EUR_EURIBOR_EOD</v>
          </cell>
          <cell r="C570">
            <v>51389</v>
          </cell>
          <cell r="E570">
            <v>1.5789332584405801E-2</v>
          </cell>
        </row>
        <row r="571">
          <cell r="A571" t="str">
            <v>EUR_EURIBOR_EOD</v>
          </cell>
          <cell r="C571">
            <v>53216</v>
          </cell>
          <cell r="E571">
            <v>1.58235067318768E-2</v>
          </cell>
        </row>
        <row r="572">
          <cell r="A572" t="str">
            <v>EUR_EURIBOR_EOD</v>
          </cell>
          <cell r="C572">
            <v>56866</v>
          </cell>
          <cell r="E572">
            <v>1.5942734138548902E-2</v>
          </cell>
        </row>
        <row r="573">
          <cell r="A573" t="str">
            <v>EUR_EURIBOR_EOD</v>
          </cell>
          <cell r="C573">
            <v>60519</v>
          </cell>
          <cell r="E573">
            <v>1.53529785544952E-2</v>
          </cell>
        </row>
        <row r="574">
          <cell r="A574" t="str">
            <v>EUR_EURIBOR_EOD</v>
          </cell>
          <cell r="C574">
            <v>64171</v>
          </cell>
          <cell r="E574">
            <v>1.49010380172937E-2</v>
          </cell>
        </row>
        <row r="575">
          <cell r="A575" t="str">
            <v>GBP_LIBOR_12M_EOD</v>
          </cell>
          <cell r="C575">
            <v>42620</v>
          </cell>
          <cell r="E575">
            <v>1.04445151779181E-2</v>
          </cell>
        </row>
        <row r="576">
          <cell r="A576" t="str">
            <v>GBP_LIBOR_12M_EOD</v>
          </cell>
          <cell r="C576">
            <v>42650</v>
          </cell>
          <cell r="E576">
            <v>1.04450639456898E-2</v>
          </cell>
        </row>
        <row r="577">
          <cell r="A577" t="str">
            <v>GBP_LIBOR_12M_EOD</v>
          </cell>
          <cell r="C577">
            <v>42681</v>
          </cell>
          <cell r="E577">
            <v>1.06004498768578E-2</v>
          </cell>
        </row>
        <row r="578">
          <cell r="A578" t="str">
            <v>GBP_LIBOR_12M_EOD</v>
          </cell>
          <cell r="C578">
            <v>42711</v>
          </cell>
          <cell r="E578">
            <v>1.08015500001576E-2</v>
          </cell>
        </row>
        <row r="579">
          <cell r="A579" t="str">
            <v>GBP_LIBOR_12M_EOD</v>
          </cell>
          <cell r="C579">
            <v>42744</v>
          </cell>
          <cell r="E579">
            <v>1.10390228078215E-2</v>
          </cell>
        </row>
        <row r="580">
          <cell r="A580" t="str">
            <v>GBP_LIBOR_12M_EOD</v>
          </cell>
          <cell r="C580">
            <v>42773</v>
          </cell>
          <cell r="E580">
            <v>1.12408962681714E-2</v>
          </cell>
        </row>
        <row r="581">
          <cell r="A581" t="str">
            <v>GBP_LIBOR_12M_EOD</v>
          </cell>
          <cell r="C581">
            <v>42801</v>
          </cell>
          <cell r="E581">
            <v>1.13688503700564E-2</v>
          </cell>
        </row>
        <row r="582">
          <cell r="A582" t="str">
            <v>GBP_LIBOR_12M_EOD</v>
          </cell>
          <cell r="C582">
            <v>42893</v>
          </cell>
          <cell r="E582">
            <v>1.1940943291174099E-2</v>
          </cell>
        </row>
        <row r="583">
          <cell r="A583" t="str">
            <v>GBP_LIBOR_12M_EOD</v>
          </cell>
          <cell r="C583">
            <v>42985</v>
          </cell>
          <cell r="E583">
            <v>1.21437259522513E-2</v>
          </cell>
        </row>
        <row r="584">
          <cell r="A584" t="str">
            <v>GBP_LIBOR_12M_EOD</v>
          </cell>
          <cell r="C584">
            <v>43350</v>
          </cell>
          <cell r="E584">
            <v>1.38737154500174E-2</v>
          </cell>
        </row>
        <row r="585">
          <cell r="A585" t="str">
            <v>GBP_LIBOR_12M_EOD</v>
          </cell>
          <cell r="C585">
            <v>43717</v>
          </cell>
          <cell r="E585">
            <v>1.54001335309626E-2</v>
          </cell>
        </row>
        <row r="586">
          <cell r="A586" t="str">
            <v>GBP_LIBOR_12M_EOD</v>
          </cell>
          <cell r="C586">
            <v>44081</v>
          </cell>
          <cell r="E586">
            <v>1.6682125489468399E-2</v>
          </cell>
        </row>
        <row r="587">
          <cell r="A587" t="str">
            <v>GBP_LIBOR_12M_EOD</v>
          </cell>
          <cell r="C587">
            <v>44446</v>
          </cell>
          <cell r="E587">
            <v>1.7750543847337801E-2</v>
          </cell>
        </row>
        <row r="588">
          <cell r="A588" t="str">
            <v>GBP_LIBOR_12M_EOD</v>
          </cell>
          <cell r="C588">
            <v>44811</v>
          </cell>
          <cell r="E588">
            <v>1.85979236559526E-2</v>
          </cell>
        </row>
        <row r="589">
          <cell r="A589" t="str">
            <v>GBP_LIBOR_12M_EOD</v>
          </cell>
          <cell r="C589">
            <v>45176</v>
          </cell>
          <cell r="E589">
            <v>1.9259865029268901E-2</v>
          </cell>
        </row>
        <row r="590">
          <cell r="A590" t="str">
            <v>GBP_LIBOR_12M_EOD</v>
          </cell>
          <cell r="C590">
            <v>45544</v>
          </cell>
          <cell r="E590">
            <v>1.9785422378298001E-2</v>
          </cell>
        </row>
        <row r="591">
          <cell r="A591" t="str">
            <v>GBP_LIBOR_12M_EOD</v>
          </cell>
          <cell r="C591">
            <v>45908</v>
          </cell>
          <cell r="E591">
            <v>2.0226347459652301E-2</v>
          </cell>
        </row>
        <row r="592">
          <cell r="A592" t="str">
            <v>GBP_LIBOR_12M_EOD</v>
          </cell>
          <cell r="C592">
            <v>46637</v>
          </cell>
          <cell r="E592">
            <v>2.0948484024468E-2</v>
          </cell>
        </row>
        <row r="593">
          <cell r="A593" t="str">
            <v>GBP_LIBOR_12M_EOD</v>
          </cell>
          <cell r="C593">
            <v>47735</v>
          </cell>
          <cell r="E593">
            <v>2.16640830891737E-2</v>
          </cell>
        </row>
        <row r="594">
          <cell r="A594" t="str">
            <v>GBP_LIBOR_12M_EOD</v>
          </cell>
          <cell r="C594">
            <v>49559</v>
          </cell>
          <cell r="E594">
            <v>2.20929870357283E-2</v>
          </cell>
        </row>
        <row r="595">
          <cell r="A595" t="str">
            <v>GBP_LIBOR_12M_EOD</v>
          </cell>
          <cell r="C595">
            <v>51386</v>
          </cell>
          <cell r="E595">
            <v>2.1809528485779099E-2</v>
          </cell>
        </row>
        <row r="596">
          <cell r="A596" t="str">
            <v>GBP_LIBOR_12M_EOD</v>
          </cell>
          <cell r="C596">
            <v>53212</v>
          </cell>
          <cell r="E596">
            <v>2.15068891521649E-2</v>
          </cell>
        </row>
        <row r="597">
          <cell r="A597" t="str">
            <v>GBP_LIBOR_12M_EOD</v>
          </cell>
          <cell r="C597">
            <v>56864</v>
          </cell>
          <cell r="E597">
            <v>2.0762362540501001E-2</v>
          </cell>
        </row>
        <row r="598">
          <cell r="A598" t="str">
            <v>GBP_LIBOR_12M_EOD</v>
          </cell>
          <cell r="C598">
            <v>60517</v>
          </cell>
          <cell r="E598">
            <v>1.9926582014482601E-2</v>
          </cell>
        </row>
        <row r="599">
          <cell r="A599" t="str">
            <v>GBP_LIBOR_12M_EOD</v>
          </cell>
          <cell r="C599">
            <v>64171</v>
          </cell>
          <cell r="E599">
            <v>1.98520352096015E-2</v>
          </cell>
        </row>
        <row r="600">
          <cell r="A600" t="str">
            <v>GBP_LIBOR_1M_EOD</v>
          </cell>
          <cell r="C600">
            <v>42284</v>
          </cell>
          <cell r="E600">
            <v>5.0670447188966E-3</v>
          </cell>
        </row>
        <row r="601">
          <cell r="A601" t="str">
            <v>GBP_LIBOR_1M_EOD</v>
          </cell>
          <cell r="C601">
            <v>42317</v>
          </cell>
          <cell r="E601">
            <v>5.1678203840478396E-3</v>
          </cell>
        </row>
        <row r="602">
          <cell r="A602" t="str">
            <v>GBP_LIBOR_1M_EOD</v>
          </cell>
          <cell r="C602">
            <v>42345</v>
          </cell>
          <cell r="E602">
            <v>5.2393200377610699E-3</v>
          </cell>
        </row>
        <row r="603">
          <cell r="A603" t="str">
            <v>GBP_LIBOR_1M_EOD</v>
          </cell>
          <cell r="C603">
            <v>42436</v>
          </cell>
          <cell r="E603">
            <v>5.4666450136998104E-3</v>
          </cell>
        </row>
        <row r="604">
          <cell r="A604" t="str">
            <v>GBP_LIBOR_1M_EOD</v>
          </cell>
          <cell r="C604">
            <v>42528</v>
          </cell>
          <cell r="E604">
            <v>5.8008408999791899E-3</v>
          </cell>
        </row>
        <row r="605">
          <cell r="A605" t="str">
            <v>GBP_LIBOR_1M_EOD</v>
          </cell>
          <cell r="C605">
            <v>42620</v>
          </cell>
          <cell r="E605">
            <v>6.2086443094914699E-3</v>
          </cell>
        </row>
        <row r="606">
          <cell r="A606" t="str">
            <v>GBP_LIBOR_1M_EOD</v>
          </cell>
          <cell r="C606">
            <v>42985</v>
          </cell>
          <cell r="E606">
            <v>8.0399145449484496E-3</v>
          </cell>
        </row>
        <row r="607">
          <cell r="A607" t="str">
            <v>GBP_LIBOR_1M_EOD</v>
          </cell>
          <cell r="C607">
            <v>43350</v>
          </cell>
          <cell r="E607">
            <v>1.0014626643424399E-2</v>
          </cell>
        </row>
        <row r="608">
          <cell r="A608" t="str">
            <v>GBP_LIBOR_1M_EOD</v>
          </cell>
          <cell r="C608">
            <v>43717</v>
          </cell>
          <cell r="E608">
            <v>1.1660347028241E-2</v>
          </cell>
        </row>
        <row r="609">
          <cell r="A609" t="str">
            <v>GBP_LIBOR_1M_EOD</v>
          </cell>
          <cell r="C609">
            <v>44081</v>
          </cell>
          <cell r="E609">
            <v>1.30101691557879E-2</v>
          </cell>
        </row>
        <row r="610">
          <cell r="A610" t="str">
            <v>GBP_LIBOR_1M_EOD</v>
          </cell>
          <cell r="C610">
            <v>44446</v>
          </cell>
          <cell r="E610">
            <v>1.4146973278027299E-2</v>
          </cell>
        </row>
        <row r="611">
          <cell r="A611" t="str">
            <v>GBP_LIBOR_1M_EOD</v>
          </cell>
          <cell r="C611">
            <v>44811</v>
          </cell>
          <cell r="E611">
            <v>1.50485793023966E-2</v>
          </cell>
        </row>
        <row r="612">
          <cell r="A612" t="str">
            <v>GBP_LIBOR_1M_EOD</v>
          </cell>
          <cell r="C612">
            <v>45176</v>
          </cell>
          <cell r="E612">
            <v>1.5803260336586598E-2</v>
          </cell>
        </row>
        <row r="613">
          <cell r="A613" t="str">
            <v>GBP_LIBOR_1M_EOD</v>
          </cell>
          <cell r="C613">
            <v>45544</v>
          </cell>
          <cell r="E613">
            <v>1.64217367004705E-2</v>
          </cell>
        </row>
        <row r="614">
          <cell r="A614" t="str">
            <v>GBP_LIBOR_1M_EOD</v>
          </cell>
          <cell r="C614">
            <v>45908</v>
          </cell>
          <cell r="E614">
            <v>1.69556353073393E-2</v>
          </cell>
        </row>
        <row r="615">
          <cell r="A615" t="str">
            <v>GBP_LIBOR_1M_EOD</v>
          </cell>
          <cell r="C615">
            <v>46637</v>
          </cell>
          <cell r="E615">
            <v>1.7934524140642699E-2</v>
          </cell>
        </row>
        <row r="616">
          <cell r="A616" t="str">
            <v>GBP_LIBOR_1M_EOD</v>
          </cell>
          <cell r="C616">
            <v>47735</v>
          </cell>
          <cell r="E616">
            <v>1.8990907861059701E-2</v>
          </cell>
        </row>
        <row r="617">
          <cell r="A617" t="str">
            <v>GBP_LIBOR_1M_EOD</v>
          </cell>
          <cell r="C617">
            <v>49559</v>
          </cell>
          <cell r="E617">
            <v>1.98373210420346E-2</v>
          </cell>
        </row>
        <row r="618">
          <cell r="A618" t="str">
            <v>GBP_LIBOR_1M_EOD</v>
          </cell>
          <cell r="C618">
            <v>51386</v>
          </cell>
          <cell r="E618">
            <v>1.9819796816124099E-2</v>
          </cell>
        </row>
        <row r="619">
          <cell r="A619" t="str">
            <v>GBP_LIBOR_1M_EOD</v>
          </cell>
          <cell r="C619">
            <v>53212</v>
          </cell>
          <cell r="E619">
            <v>1.9765107328426301E-2</v>
          </cell>
        </row>
        <row r="620">
          <cell r="A620" t="str">
            <v>GBP_LIBOR_1M_EOD</v>
          </cell>
          <cell r="C620">
            <v>56864</v>
          </cell>
          <cell r="E620">
            <v>1.91562910612318E-2</v>
          </cell>
        </row>
        <row r="621">
          <cell r="A621" t="str">
            <v>GBP_LIBOR_1M_EOD</v>
          </cell>
          <cell r="C621">
            <v>60517</v>
          </cell>
          <cell r="E621">
            <v>1.8706057319644202E-2</v>
          </cell>
        </row>
        <row r="622">
          <cell r="A622" t="str">
            <v>GBP_LIBOR_1M_EOD</v>
          </cell>
          <cell r="C622">
            <v>64171</v>
          </cell>
          <cell r="E622">
            <v>1.8661438874907999E-2</v>
          </cell>
        </row>
        <row r="623">
          <cell r="A623" t="str">
            <v>GBP_LIBOR_3M_EOD</v>
          </cell>
          <cell r="C623">
            <v>42345</v>
          </cell>
          <cell r="E623">
            <v>5.8582198270128796E-3</v>
          </cell>
        </row>
        <row r="624">
          <cell r="A624" t="str">
            <v>GBP_LIBOR_3M_EOD</v>
          </cell>
          <cell r="C624">
            <v>42354</v>
          </cell>
          <cell r="E624">
            <v>5.8913861998174501E-3</v>
          </cell>
        </row>
        <row r="625">
          <cell r="A625" t="str">
            <v>GBP_LIBOR_3M_EOD</v>
          </cell>
          <cell r="C625">
            <v>42445</v>
          </cell>
          <cell r="E625">
            <v>6.2226084770354096E-3</v>
          </cell>
        </row>
        <row r="626">
          <cell r="A626" t="str">
            <v>GBP_LIBOR_3M_EOD</v>
          </cell>
          <cell r="C626">
            <v>42536</v>
          </cell>
          <cell r="E626">
            <v>6.5935586418032904E-3</v>
          </cell>
        </row>
        <row r="627">
          <cell r="A627" t="str">
            <v>GBP_LIBOR_3M_EOD</v>
          </cell>
          <cell r="C627">
            <v>42634</v>
          </cell>
          <cell r="E627">
            <v>7.0471035714556197E-3</v>
          </cell>
        </row>
        <row r="628">
          <cell r="A628" t="str">
            <v>GBP_LIBOR_3M_EOD</v>
          </cell>
          <cell r="C628">
            <v>42725</v>
          </cell>
          <cell r="E628">
            <v>7.48781425860655E-3</v>
          </cell>
        </row>
        <row r="629">
          <cell r="A629" t="str">
            <v>GBP_LIBOR_3M_EOD</v>
          </cell>
          <cell r="C629">
            <v>42809</v>
          </cell>
          <cell r="E629">
            <v>7.9439233504453605E-3</v>
          </cell>
        </row>
        <row r="630">
          <cell r="A630" t="str">
            <v>GBP_LIBOR_3M_EOD</v>
          </cell>
          <cell r="C630">
            <v>42907</v>
          </cell>
          <cell r="E630">
            <v>8.4951624129612092E-3</v>
          </cell>
        </row>
        <row r="631">
          <cell r="A631" t="str">
            <v>GBP_LIBOR_3M_EOD</v>
          </cell>
          <cell r="C631">
            <v>42998</v>
          </cell>
          <cell r="E631">
            <v>9.0068609284960199E-3</v>
          </cell>
        </row>
        <row r="632">
          <cell r="A632" t="str">
            <v>GBP_LIBOR_3M_EOD</v>
          </cell>
          <cell r="C632">
            <v>43350</v>
          </cell>
          <cell r="E632">
            <v>1.08381257825917E-2</v>
          </cell>
        </row>
        <row r="633">
          <cell r="A633" t="str">
            <v>GBP_LIBOR_3M_EOD</v>
          </cell>
          <cell r="C633">
            <v>43717</v>
          </cell>
          <cell r="E633">
            <v>1.24865036270339E-2</v>
          </cell>
        </row>
        <row r="634">
          <cell r="A634" t="str">
            <v>GBP_LIBOR_3M_EOD</v>
          </cell>
          <cell r="C634">
            <v>44081</v>
          </cell>
          <cell r="E634">
            <v>1.38321421245999E-2</v>
          </cell>
        </row>
        <row r="635">
          <cell r="A635" t="str">
            <v>GBP_LIBOR_3M_EOD</v>
          </cell>
          <cell r="C635">
            <v>44446</v>
          </cell>
          <cell r="E635">
            <v>1.4941136210962E-2</v>
          </cell>
        </row>
        <row r="636">
          <cell r="A636" t="str">
            <v>GBP_LIBOR_3M_EOD</v>
          </cell>
          <cell r="C636">
            <v>44811</v>
          </cell>
          <cell r="E636">
            <v>1.5802995236627201E-2</v>
          </cell>
        </row>
        <row r="637">
          <cell r="A637" t="str">
            <v>GBP_LIBOR_3M_EOD</v>
          </cell>
          <cell r="C637">
            <v>45176</v>
          </cell>
          <cell r="E637">
            <v>1.65314313791739E-2</v>
          </cell>
        </row>
        <row r="638">
          <cell r="A638" t="str">
            <v>GBP_LIBOR_3M_EOD</v>
          </cell>
          <cell r="C638">
            <v>45544</v>
          </cell>
          <cell r="E638">
            <v>1.71234777073885E-2</v>
          </cell>
        </row>
        <row r="639">
          <cell r="A639" t="str">
            <v>GBP_LIBOR_3M_EOD</v>
          </cell>
          <cell r="C639">
            <v>45908</v>
          </cell>
          <cell r="E639">
            <v>1.7644243824632699E-2</v>
          </cell>
        </row>
        <row r="640">
          <cell r="A640" t="str">
            <v>GBP_LIBOR_3M_EOD</v>
          </cell>
          <cell r="C640">
            <v>46637</v>
          </cell>
          <cell r="E640">
            <v>1.8581973344473399E-2</v>
          </cell>
        </row>
        <row r="641">
          <cell r="A641" t="str">
            <v>GBP_LIBOR_3M_EOD</v>
          </cell>
          <cell r="C641">
            <v>47735</v>
          </cell>
          <cell r="E641">
            <v>1.96401151672288E-2</v>
          </cell>
        </row>
        <row r="642">
          <cell r="A642" t="str">
            <v>GBP_LIBOR_3M_EOD</v>
          </cell>
          <cell r="C642">
            <v>49559</v>
          </cell>
          <cell r="E642">
            <v>2.04442914362113E-2</v>
          </cell>
        </row>
        <row r="643">
          <cell r="A643" t="str">
            <v>GBP_LIBOR_3M_EOD</v>
          </cell>
          <cell r="C643">
            <v>51386</v>
          </cell>
          <cell r="E643">
            <v>2.0429379777333698E-2</v>
          </cell>
        </row>
        <row r="644">
          <cell r="A644" t="str">
            <v>GBP_LIBOR_3M_EOD</v>
          </cell>
          <cell r="C644">
            <v>53212</v>
          </cell>
          <cell r="E644">
            <v>2.02949519650161E-2</v>
          </cell>
        </row>
        <row r="645">
          <cell r="A645" t="str">
            <v>GBP_LIBOR_3M_EOD</v>
          </cell>
          <cell r="C645">
            <v>56864</v>
          </cell>
          <cell r="E645">
            <v>1.9642017888610398E-2</v>
          </cell>
        </row>
        <row r="646">
          <cell r="A646" t="str">
            <v>GBP_LIBOR_3M_EOD</v>
          </cell>
          <cell r="C646">
            <v>60517</v>
          </cell>
          <cell r="E646">
            <v>1.9105442457619502E-2</v>
          </cell>
        </row>
        <row r="647">
          <cell r="A647" t="str">
            <v>GBP_LIBOR_3M_EOD</v>
          </cell>
          <cell r="C647">
            <v>64171</v>
          </cell>
          <cell r="E647">
            <v>1.9132605377849499E-2</v>
          </cell>
        </row>
        <row r="648">
          <cell r="A648" t="str">
            <v>GBP_LIBOR_6M_EOD</v>
          </cell>
          <cell r="C648">
            <v>42436</v>
          </cell>
          <cell r="E648">
            <v>7.3926578275692696E-3</v>
          </cell>
        </row>
        <row r="649">
          <cell r="A649" t="str">
            <v>GBP_LIBOR_6M_EOD</v>
          </cell>
          <cell r="C649">
            <v>42620</v>
          </cell>
          <cell r="E649">
            <v>8.1329327462526906E-3</v>
          </cell>
        </row>
        <row r="650">
          <cell r="A650" t="str">
            <v>GBP_LIBOR_6M_EOD</v>
          </cell>
          <cell r="C650">
            <v>42801</v>
          </cell>
          <cell r="E650">
            <v>9.0223749530826108E-3</v>
          </cell>
        </row>
        <row r="651">
          <cell r="A651" t="str">
            <v>GBP_LIBOR_6M_EOD</v>
          </cell>
          <cell r="C651">
            <v>42985</v>
          </cell>
          <cell r="E651">
            <v>1.0057528931127199E-2</v>
          </cell>
        </row>
        <row r="652">
          <cell r="A652" t="str">
            <v>GBP_LIBOR_6M_EOD</v>
          </cell>
          <cell r="C652">
            <v>43350</v>
          </cell>
          <cell r="E652">
            <v>1.19791662773593E-2</v>
          </cell>
        </row>
        <row r="653">
          <cell r="A653" t="str">
            <v>GBP_LIBOR_6M_EOD</v>
          </cell>
          <cell r="C653">
            <v>43717</v>
          </cell>
          <cell r="E653">
            <v>1.3659998183005499E-2</v>
          </cell>
        </row>
        <row r="654">
          <cell r="A654" t="str">
            <v>GBP_LIBOR_6M_EOD</v>
          </cell>
          <cell r="C654">
            <v>44081</v>
          </cell>
          <cell r="E654">
            <v>1.5046561595139901E-2</v>
          </cell>
        </row>
        <row r="655">
          <cell r="A655" t="str">
            <v>GBP_LIBOR_6M_EOD</v>
          </cell>
          <cell r="C655">
            <v>44446</v>
          </cell>
          <cell r="E655">
            <v>1.61933922315513E-2</v>
          </cell>
        </row>
        <row r="656">
          <cell r="A656" t="str">
            <v>GBP_LIBOR_6M_EOD</v>
          </cell>
          <cell r="C656">
            <v>44811</v>
          </cell>
          <cell r="E656">
            <v>1.7093063540230002E-2</v>
          </cell>
        </row>
        <row r="657">
          <cell r="A657" t="str">
            <v>GBP_LIBOR_6M_EOD</v>
          </cell>
          <cell r="C657">
            <v>45176</v>
          </cell>
          <cell r="E657">
            <v>1.78203150117738E-2</v>
          </cell>
        </row>
        <row r="658">
          <cell r="A658" t="str">
            <v>GBP_LIBOR_6M_EOD</v>
          </cell>
          <cell r="C658">
            <v>45544</v>
          </cell>
          <cell r="E658">
            <v>1.8424726866130101E-2</v>
          </cell>
        </row>
        <row r="659">
          <cell r="A659" t="str">
            <v>GBP_LIBOR_6M_EOD</v>
          </cell>
          <cell r="C659">
            <v>45908</v>
          </cell>
          <cell r="E659">
            <v>1.8931009155927998E-2</v>
          </cell>
        </row>
        <row r="660">
          <cell r="A660" t="str">
            <v>GBP_LIBOR_6M_EOD</v>
          </cell>
          <cell r="C660">
            <v>46637</v>
          </cell>
          <cell r="E660">
            <v>1.9786120987213902E-2</v>
          </cell>
        </row>
        <row r="661">
          <cell r="A661" t="str">
            <v>GBP_LIBOR_6M_EOD</v>
          </cell>
          <cell r="C661">
            <v>47735</v>
          </cell>
          <cell r="E661">
            <v>2.06485177350758E-2</v>
          </cell>
        </row>
        <row r="662">
          <cell r="A662" t="str">
            <v>GBP_LIBOR_6M_EOD</v>
          </cell>
          <cell r="C662">
            <v>49559</v>
          </cell>
          <cell r="E662">
            <v>2.1225487037194901E-2</v>
          </cell>
        </row>
        <row r="663">
          <cell r="A663" t="str">
            <v>GBP_LIBOR_6M_EOD</v>
          </cell>
          <cell r="C663">
            <v>51386</v>
          </cell>
          <cell r="E663">
            <v>2.1067676962809201E-2</v>
          </cell>
        </row>
        <row r="664">
          <cell r="A664" t="str">
            <v>GBP_LIBOR_6M_EOD</v>
          </cell>
          <cell r="C664">
            <v>53212</v>
          </cell>
          <cell r="E664">
            <v>2.0848796243631999E-2</v>
          </cell>
        </row>
        <row r="665">
          <cell r="A665" t="str">
            <v>GBP_LIBOR_6M_EOD</v>
          </cell>
          <cell r="C665">
            <v>56864</v>
          </cell>
          <cell r="E665">
            <v>2.0081495790405701E-2</v>
          </cell>
        </row>
        <row r="666">
          <cell r="A666" t="str">
            <v>GBP_LIBOR_6M_EOD</v>
          </cell>
          <cell r="C666">
            <v>60517</v>
          </cell>
          <cell r="E666">
            <v>1.9491330479231701E-2</v>
          </cell>
        </row>
        <row r="667">
          <cell r="A667" t="str">
            <v>GBP_LIBOR_6M_EOD</v>
          </cell>
          <cell r="C667">
            <v>64171</v>
          </cell>
          <cell r="E667">
            <v>1.94749871793089E-2</v>
          </cell>
        </row>
        <row r="668">
          <cell r="A668" t="str">
            <v>GBP_LIBOR_EOD</v>
          </cell>
          <cell r="C668">
            <v>42255</v>
          </cell>
          <cell r="E668">
            <v>4.8124682740251102E-3</v>
          </cell>
        </row>
        <row r="669">
          <cell r="A669" t="str">
            <v>GBP_LIBOR_EOD</v>
          </cell>
          <cell r="C669">
            <v>42261</v>
          </cell>
          <cell r="E669">
            <v>4.8547739905004401E-3</v>
          </cell>
        </row>
        <row r="670">
          <cell r="A670" t="str">
            <v>GBP_LIBOR_EOD</v>
          </cell>
          <cell r="C670">
            <v>42354</v>
          </cell>
          <cell r="E670">
            <v>5.8029111787666603E-3</v>
          </cell>
        </row>
        <row r="671">
          <cell r="A671" t="str">
            <v>GBP_LIBOR_EOD</v>
          </cell>
          <cell r="C671">
            <v>42445</v>
          </cell>
          <cell r="E671">
            <v>6.1762864764851903E-3</v>
          </cell>
        </row>
        <row r="672">
          <cell r="A672" t="str">
            <v>GBP_LIBOR_EOD</v>
          </cell>
          <cell r="C672">
            <v>42536</v>
          </cell>
          <cell r="E672">
            <v>6.5621845208632297E-3</v>
          </cell>
        </row>
        <row r="673">
          <cell r="A673" t="str">
            <v>GBP_LIBOR_EOD</v>
          </cell>
          <cell r="C673">
            <v>42634</v>
          </cell>
          <cell r="E673">
            <v>7.0238206711790898E-3</v>
          </cell>
        </row>
        <row r="674">
          <cell r="A674" t="str">
            <v>GBP_LIBOR_EOD</v>
          </cell>
          <cell r="C674">
            <v>42725</v>
          </cell>
          <cell r="E674">
            <v>7.4690297530756499E-3</v>
          </cell>
        </row>
        <row r="675">
          <cell r="A675" t="str">
            <v>GBP_LIBOR_EOD</v>
          </cell>
          <cell r="C675">
            <v>42809</v>
          </cell>
          <cell r="E675">
            <v>7.9279819052111202E-3</v>
          </cell>
        </row>
        <row r="676">
          <cell r="A676" t="str">
            <v>GBP_LIBOR_EOD</v>
          </cell>
          <cell r="C676">
            <v>42907</v>
          </cell>
          <cell r="E676">
            <v>8.4816134051433796E-3</v>
          </cell>
        </row>
        <row r="677">
          <cell r="A677" t="str">
            <v>GBP_LIBOR_EOD</v>
          </cell>
          <cell r="C677">
            <v>42998</v>
          </cell>
          <cell r="E677">
            <v>8.9949691245912802E-3</v>
          </cell>
        </row>
        <row r="678">
          <cell r="A678" t="str">
            <v>GBP_LIBOR_EOD</v>
          </cell>
          <cell r="C678">
            <v>43350</v>
          </cell>
          <cell r="E678">
            <v>1.20025342563256E-2</v>
          </cell>
        </row>
        <row r="679">
          <cell r="A679" t="str">
            <v>GBP_LIBOR_EOD</v>
          </cell>
          <cell r="C679">
            <v>43717</v>
          </cell>
          <cell r="E679">
            <v>1.3687897048816599E-2</v>
          </cell>
        </row>
        <row r="680">
          <cell r="A680" t="str">
            <v>GBP_LIBOR_EOD</v>
          </cell>
          <cell r="C680">
            <v>44081</v>
          </cell>
          <cell r="E680">
            <v>1.5079515612139299E-2</v>
          </cell>
        </row>
        <row r="681">
          <cell r="A681" t="str">
            <v>GBP_LIBOR_EOD</v>
          </cell>
          <cell r="C681">
            <v>44446</v>
          </cell>
          <cell r="E681">
            <v>1.62317319457587E-2</v>
          </cell>
        </row>
        <row r="682">
          <cell r="A682" t="str">
            <v>GBP_LIBOR_EOD</v>
          </cell>
          <cell r="C682">
            <v>44811</v>
          </cell>
          <cell r="E682">
            <v>1.71363952686104E-2</v>
          </cell>
        </row>
        <row r="683">
          <cell r="A683" t="str">
            <v>GBP_LIBOR_EOD</v>
          </cell>
          <cell r="C683">
            <v>45176</v>
          </cell>
          <cell r="E683">
            <v>1.7867938938624199E-2</v>
          </cell>
        </row>
        <row r="684">
          <cell r="A684" t="str">
            <v>GBP_LIBOR_EOD</v>
          </cell>
          <cell r="C684">
            <v>45544</v>
          </cell>
          <cell r="E684">
            <v>1.8476129992516101E-2</v>
          </cell>
        </row>
        <row r="685">
          <cell r="A685" t="str">
            <v>GBP_LIBOR_EOD</v>
          </cell>
          <cell r="C685">
            <v>45908</v>
          </cell>
          <cell r="E685">
            <v>1.8985983463085401E-2</v>
          </cell>
        </row>
        <row r="686">
          <cell r="A686" t="str">
            <v>GBP_LIBOR_EOD</v>
          </cell>
          <cell r="C686">
            <v>46637</v>
          </cell>
          <cell r="E686">
            <v>1.98467723199185E-2</v>
          </cell>
        </row>
        <row r="687">
          <cell r="A687" t="str">
            <v>GBP_LIBOR_EOD</v>
          </cell>
          <cell r="C687">
            <v>47735</v>
          </cell>
          <cell r="E687">
            <v>2.0713172030410301E-2</v>
          </cell>
        </row>
        <row r="688">
          <cell r="A688" t="str">
            <v>GBP_LIBOR_EOD</v>
          </cell>
          <cell r="C688">
            <v>49559</v>
          </cell>
          <cell r="E688">
            <v>2.1286033222350401E-2</v>
          </cell>
        </row>
        <row r="689">
          <cell r="A689" t="str">
            <v>GBP_LIBOR_EOD</v>
          </cell>
          <cell r="C689">
            <v>51386</v>
          </cell>
          <cell r="E689">
            <v>2.1114301969044999E-2</v>
          </cell>
        </row>
        <row r="690">
          <cell r="A690" t="str">
            <v>GBP_LIBOR_EOD</v>
          </cell>
          <cell r="C690">
            <v>53212</v>
          </cell>
          <cell r="E690">
            <v>2.0883887867537799E-2</v>
          </cell>
        </row>
        <row r="691">
          <cell r="A691" t="str">
            <v>GBP_LIBOR_EOD</v>
          </cell>
          <cell r="C691">
            <v>56864</v>
          </cell>
          <cell r="E691">
            <v>2.0091271254485898E-2</v>
          </cell>
        </row>
        <row r="692">
          <cell r="A692" t="str">
            <v>GBP_LIBOR_EOD</v>
          </cell>
          <cell r="C692">
            <v>60517</v>
          </cell>
          <cell r="E692">
            <v>1.9483727475662498E-2</v>
          </cell>
        </row>
        <row r="693">
          <cell r="A693" t="str">
            <v>GBP_LIBOR_EOD</v>
          </cell>
          <cell r="C693">
            <v>64171</v>
          </cell>
          <cell r="E693">
            <v>1.9466871801585999E-2</v>
          </cell>
        </row>
        <row r="694">
          <cell r="A694" t="str">
            <v>GBP_SONIA_EOD</v>
          </cell>
          <cell r="C694">
            <v>42255</v>
          </cell>
          <cell r="E694">
            <v>4.5909711272593299E-3</v>
          </cell>
        </row>
        <row r="695">
          <cell r="A695" t="str">
            <v>GBP_SONIA_EOD</v>
          </cell>
          <cell r="C695">
            <v>42261</v>
          </cell>
          <cell r="E695">
            <v>4.6017969313674398E-3</v>
          </cell>
        </row>
        <row r="696">
          <cell r="A696" t="str">
            <v>GBP_SONIA_EOD</v>
          </cell>
          <cell r="C696">
            <v>42268</v>
          </cell>
          <cell r="E696">
            <v>4.6145915890849999E-3</v>
          </cell>
        </row>
        <row r="697">
          <cell r="A697" t="str">
            <v>GBP_SONIA_EOD</v>
          </cell>
          <cell r="C697">
            <v>42284</v>
          </cell>
          <cell r="E697">
            <v>4.5889677982197804E-3</v>
          </cell>
        </row>
        <row r="698">
          <cell r="A698" t="str">
            <v>GBP_SONIA_EOD</v>
          </cell>
          <cell r="C698">
            <v>42317</v>
          </cell>
          <cell r="E698">
            <v>4.6381429574699198E-3</v>
          </cell>
        </row>
        <row r="699">
          <cell r="A699" t="str">
            <v>GBP_SONIA_EOD</v>
          </cell>
          <cell r="C699">
            <v>42345</v>
          </cell>
          <cell r="E699">
            <v>4.7078610146844696E-3</v>
          </cell>
        </row>
        <row r="700">
          <cell r="A700" t="str">
            <v>GBP_SONIA_EOD</v>
          </cell>
          <cell r="C700">
            <v>42376</v>
          </cell>
          <cell r="E700">
            <v>4.7610846511488896E-3</v>
          </cell>
        </row>
        <row r="701">
          <cell r="A701" t="str">
            <v>GBP_SONIA_EOD</v>
          </cell>
          <cell r="C701">
            <v>42408</v>
          </cell>
          <cell r="E701">
            <v>4.8176004778363399E-3</v>
          </cell>
        </row>
        <row r="702">
          <cell r="A702" t="str">
            <v>GBP_SONIA_EOD</v>
          </cell>
          <cell r="C702">
            <v>42436</v>
          </cell>
          <cell r="E702">
            <v>4.9213317699068901E-3</v>
          </cell>
        </row>
        <row r="703">
          <cell r="A703" t="str">
            <v>GBP_SONIA_EOD</v>
          </cell>
          <cell r="C703">
            <v>42467</v>
          </cell>
          <cell r="E703">
            <v>5.0202640464928599E-3</v>
          </cell>
        </row>
        <row r="704">
          <cell r="A704" t="str">
            <v>GBP_SONIA_EOD</v>
          </cell>
          <cell r="C704">
            <v>42499</v>
          </cell>
          <cell r="E704">
            <v>5.1172015603998299E-3</v>
          </cell>
        </row>
        <row r="705">
          <cell r="A705" t="str">
            <v>GBP_SONIA_EOD</v>
          </cell>
          <cell r="C705">
            <v>42528</v>
          </cell>
          <cell r="E705">
            <v>5.2421719082221801E-3</v>
          </cell>
        </row>
        <row r="706">
          <cell r="A706" t="str">
            <v>GBP_SONIA_EOD</v>
          </cell>
          <cell r="C706">
            <v>42558</v>
          </cell>
          <cell r="E706">
            <v>5.3251733831015903E-3</v>
          </cell>
        </row>
        <row r="707">
          <cell r="A707" t="str">
            <v>GBP_SONIA_EOD</v>
          </cell>
          <cell r="C707">
            <v>42590</v>
          </cell>
          <cell r="E707">
            <v>5.46506328359619E-3</v>
          </cell>
        </row>
        <row r="708">
          <cell r="A708" t="str">
            <v>GBP_SONIA_EOD</v>
          </cell>
          <cell r="C708">
            <v>42620</v>
          </cell>
          <cell r="E708">
            <v>5.5831754981760804E-3</v>
          </cell>
        </row>
        <row r="709">
          <cell r="A709" t="str">
            <v>GBP_SONIA_EOD</v>
          </cell>
          <cell r="C709">
            <v>42711</v>
          </cell>
          <cell r="E709">
            <v>5.9592159802441596E-3</v>
          </cell>
        </row>
        <row r="710">
          <cell r="A710" t="str">
            <v>GBP_SONIA_EOD</v>
          </cell>
          <cell r="C710">
            <v>42801</v>
          </cell>
          <cell r="E710">
            <v>6.3646413500277801E-3</v>
          </cell>
        </row>
        <row r="711">
          <cell r="A711" t="str">
            <v>GBP_SONIA_EOD</v>
          </cell>
          <cell r="C711">
            <v>42893</v>
          </cell>
          <cell r="E711">
            <v>6.8219283572925303E-3</v>
          </cell>
        </row>
        <row r="712">
          <cell r="A712" t="str">
            <v>GBP_SONIA_EOD</v>
          </cell>
          <cell r="C712">
            <v>42985</v>
          </cell>
          <cell r="E712">
            <v>7.28446776351558E-3</v>
          </cell>
        </row>
        <row r="713">
          <cell r="A713" t="str">
            <v>GBP_SONIA_EOD</v>
          </cell>
          <cell r="C713">
            <v>43350</v>
          </cell>
          <cell r="E713">
            <v>9.0299913194997992E-3</v>
          </cell>
        </row>
        <row r="714">
          <cell r="A714" t="str">
            <v>GBP_SONIA_EOD</v>
          </cell>
          <cell r="C714">
            <v>43717</v>
          </cell>
          <cell r="E714">
            <v>1.05406581355309E-2</v>
          </cell>
        </row>
        <row r="715">
          <cell r="A715" t="str">
            <v>GBP_SONIA_EOD</v>
          </cell>
          <cell r="C715">
            <v>44081</v>
          </cell>
          <cell r="E715">
            <v>1.18367084053408E-2</v>
          </cell>
        </row>
        <row r="716">
          <cell r="A716" t="str">
            <v>GBP_SONIA_EOD</v>
          </cell>
          <cell r="C716">
            <v>44446</v>
          </cell>
          <cell r="E716">
            <v>1.29345755845991E-2</v>
          </cell>
        </row>
        <row r="717">
          <cell r="A717" t="str">
            <v>GBP_SONIA_EOD</v>
          </cell>
          <cell r="C717">
            <v>44811</v>
          </cell>
          <cell r="E717">
            <v>1.38107579692993E-2</v>
          </cell>
        </row>
        <row r="718">
          <cell r="A718" t="str">
            <v>GBP_SONIA_EOD</v>
          </cell>
          <cell r="C718">
            <v>45176</v>
          </cell>
          <cell r="E718">
            <v>1.4553323220761E-2</v>
          </cell>
        </row>
        <row r="719">
          <cell r="A719" t="str">
            <v>GBP_SONIA_EOD</v>
          </cell>
          <cell r="C719">
            <v>45544</v>
          </cell>
          <cell r="E719">
            <v>1.5172731043951899E-2</v>
          </cell>
        </row>
        <row r="720">
          <cell r="A720" t="str">
            <v>GBP_SONIA_EOD</v>
          </cell>
          <cell r="C720">
            <v>45908</v>
          </cell>
          <cell r="E720">
            <v>1.5734426938501099E-2</v>
          </cell>
        </row>
        <row r="721">
          <cell r="A721" t="str">
            <v>GBP_SONIA_EOD</v>
          </cell>
          <cell r="C721">
            <v>46637</v>
          </cell>
          <cell r="E721">
            <v>1.6740851415591101E-2</v>
          </cell>
        </row>
        <row r="722">
          <cell r="A722" t="str">
            <v>GBP_SONIA_EOD</v>
          </cell>
          <cell r="C722">
            <v>47735</v>
          </cell>
          <cell r="E722">
            <v>1.7924539322138801E-2</v>
          </cell>
        </row>
        <row r="723">
          <cell r="A723" t="str">
            <v>GBP_SONIA_EOD</v>
          </cell>
          <cell r="C723">
            <v>49559</v>
          </cell>
          <cell r="E723">
            <v>1.8899754700256701E-2</v>
          </cell>
        </row>
        <row r="724">
          <cell r="A724" t="str">
            <v>GBP_SONIA_EOD</v>
          </cell>
          <cell r="C724">
            <v>51386</v>
          </cell>
          <cell r="E724">
            <v>1.9015564542960901E-2</v>
          </cell>
        </row>
        <row r="725">
          <cell r="A725" t="str">
            <v>GBP_SONIA_EOD</v>
          </cell>
          <cell r="C725">
            <v>53212</v>
          </cell>
          <cell r="E725">
            <v>1.8984582476073399E-2</v>
          </cell>
        </row>
        <row r="726">
          <cell r="A726" t="str">
            <v>GBP_SONIA_EOD</v>
          </cell>
          <cell r="C726">
            <v>56864</v>
          </cell>
          <cell r="E726">
            <v>1.8482631380746E-2</v>
          </cell>
        </row>
        <row r="727">
          <cell r="A727" t="str">
            <v>GBP_SONIA_EOD</v>
          </cell>
          <cell r="C727">
            <v>60517</v>
          </cell>
          <cell r="E727">
            <v>1.8055157707631601E-2</v>
          </cell>
        </row>
        <row r="728">
          <cell r="A728" t="str">
            <v>GBP_SONIA_EOD</v>
          </cell>
          <cell r="C728">
            <v>64171</v>
          </cell>
          <cell r="E728">
            <v>1.8143003567921499E-2</v>
          </cell>
        </row>
        <row r="729">
          <cell r="A729" t="str">
            <v>HKD_HIBOR_3M_EOD</v>
          </cell>
          <cell r="C729">
            <v>42345</v>
          </cell>
          <cell r="E729">
            <v>3.9889158602223803E-3</v>
          </cell>
        </row>
        <row r="730">
          <cell r="A730" t="str">
            <v>HKD_HIBOR_3M_EOD</v>
          </cell>
          <cell r="C730">
            <v>42436</v>
          </cell>
          <cell r="E730">
            <v>4.8923632094806197E-3</v>
          </cell>
        </row>
        <row r="731">
          <cell r="A731" t="str">
            <v>HKD_HIBOR_3M_EOD</v>
          </cell>
          <cell r="C731">
            <v>42528</v>
          </cell>
          <cell r="E731">
            <v>5.7320291115256798E-3</v>
          </cell>
        </row>
        <row r="732">
          <cell r="A732" t="str">
            <v>HKD_HIBOR_3M_EOD</v>
          </cell>
          <cell r="C732">
            <v>42620</v>
          </cell>
          <cell r="E732">
            <v>6.6010823242401298E-3</v>
          </cell>
        </row>
        <row r="733">
          <cell r="A733" t="str">
            <v>HKD_HIBOR_3M_EOD</v>
          </cell>
          <cell r="C733">
            <v>42985</v>
          </cell>
          <cell r="E733">
            <v>9.6410472802120305E-3</v>
          </cell>
        </row>
        <row r="734">
          <cell r="A734" t="str">
            <v>HKD_HIBOR_3M_EOD</v>
          </cell>
          <cell r="C734">
            <v>43350</v>
          </cell>
          <cell r="E734">
            <v>1.21549346924704E-2</v>
          </cell>
        </row>
        <row r="735">
          <cell r="A735" t="str">
            <v>HKD_HIBOR_3M_EOD</v>
          </cell>
          <cell r="C735">
            <v>43717</v>
          </cell>
          <cell r="E735">
            <v>1.4328121205343901E-2</v>
          </cell>
        </row>
        <row r="736">
          <cell r="A736" t="str">
            <v>HKD_HIBOR_3M_EOD</v>
          </cell>
          <cell r="C736">
            <v>44081</v>
          </cell>
          <cell r="E736">
            <v>1.6108788637863601E-2</v>
          </cell>
        </row>
        <row r="737">
          <cell r="A737" t="str">
            <v>HKD_HIBOR_3M_EOD</v>
          </cell>
          <cell r="C737">
            <v>44811</v>
          </cell>
          <cell r="E737">
            <v>1.88054602025234E-2</v>
          </cell>
        </row>
        <row r="738">
          <cell r="A738" t="str">
            <v>HKD_HIBOR_3M_EOD</v>
          </cell>
          <cell r="C738">
            <v>45908</v>
          </cell>
          <cell r="E738">
            <v>2.1232034160481202E-2</v>
          </cell>
        </row>
        <row r="739">
          <cell r="A739" t="str">
            <v>HKD_HIBOR_3M_EOD</v>
          </cell>
          <cell r="C739">
            <v>46637</v>
          </cell>
          <cell r="E739">
            <v>2.1982785538146199E-2</v>
          </cell>
        </row>
        <row r="740">
          <cell r="A740" t="str">
            <v>HKD_HIBOR_3M_EOD</v>
          </cell>
          <cell r="C740">
            <v>47735</v>
          </cell>
          <cell r="E740">
            <v>2.2918222585160401E-2</v>
          </cell>
        </row>
        <row r="741">
          <cell r="A741" t="str">
            <v>HKD_HIBOR_6M_EOD</v>
          </cell>
          <cell r="C741">
            <v>42436</v>
          </cell>
          <cell r="E741">
            <v>5.6004728747527203E-3</v>
          </cell>
        </row>
        <row r="742">
          <cell r="A742" t="str">
            <v>HKD_HIBOR_6M_EOD</v>
          </cell>
          <cell r="C742">
            <v>42620</v>
          </cell>
          <cell r="E742">
            <v>8.0944835725596902E-3</v>
          </cell>
        </row>
        <row r="743">
          <cell r="A743" t="str">
            <v>HKD_HIBOR_6M_EOD</v>
          </cell>
          <cell r="C743">
            <v>42985</v>
          </cell>
          <cell r="E743">
            <v>1.10354474340817E-2</v>
          </cell>
        </row>
        <row r="744">
          <cell r="A744" t="str">
            <v>HKD_HIBOR_6M_EOD</v>
          </cell>
          <cell r="C744">
            <v>43350</v>
          </cell>
          <cell r="E744">
            <v>1.3447319478281899E-2</v>
          </cell>
        </row>
        <row r="745">
          <cell r="A745" t="str">
            <v>HKD_HIBOR_6M_EOD</v>
          </cell>
          <cell r="C745">
            <v>43717</v>
          </cell>
          <cell r="E745">
            <v>1.55174181702944E-2</v>
          </cell>
        </row>
        <row r="746">
          <cell r="A746" t="str">
            <v>HKD_HIBOR_6M_EOD</v>
          </cell>
          <cell r="C746">
            <v>44081</v>
          </cell>
          <cell r="E746">
            <v>1.7195467381946598E-2</v>
          </cell>
        </row>
        <row r="747">
          <cell r="A747" t="str">
            <v>HKD_HIBOR_6M_EOD</v>
          </cell>
          <cell r="C747">
            <v>44811</v>
          </cell>
          <cell r="E747">
            <v>1.9787970938285101E-2</v>
          </cell>
        </row>
        <row r="748">
          <cell r="A748" t="str">
            <v>HKD_HIBOR_6M_EOD</v>
          </cell>
          <cell r="C748">
            <v>45908</v>
          </cell>
          <cell r="E748">
            <v>2.22154230950341E-2</v>
          </cell>
        </row>
        <row r="749">
          <cell r="A749" t="str">
            <v>HKD_HIBOR_6M_EOD</v>
          </cell>
          <cell r="C749">
            <v>46637</v>
          </cell>
          <cell r="E749">
            <v>2.3080189631711299E-2</v>
          </cell>
        </row>
        <row r="750">
          <cell r="A750" t="str">
            <v>HKD_HIBOR_6M_EOD</v>
          </cell>
          <cell r="C750">
            <v>47735</v>
          </cell>
          <cell r="E750">
            <v>2.40138894048589E-2</v>
          </cell>
        </row>
        <row r="751">
          <cell r="A751" t="str">
            <v>HKD_HIBOR_EOD</v>
          </cell>
          <cell r="C751">
            <v>42255</v>
          </cell>
          <cell r="E751">
            <v>4.9579966325413E-4</v>
          </cell>
        </row>
        <row r="752">
          <cell r="A752" t="str">
            <v>HKD_HIBOR_EOD</v>
          </cell>
          <cell r="C752">
            <v>42261</v>
          </cell>
          <cell r="E752">
            <v>9.6569105759579995E-4</v>
          </cell>
        </row>
        <row r="753">
          <cell r="A753" t="str">
            <v>HKD_HIBOR_EOD</v>
          </cell>
          <cell r="C753">
            <v>42284</v>
          </cell>
          <cell r="E753">
            <v>2.4430547020938801E-3</v>
          </cell>
        </row>
        <row r="754">
          <cell r="A754" t="str">
            <v>HKD_HIBOR_EOD</v>
          </cell>
          <cell r="C754">
            <v>42317</v>
          </cell>
          <cell r="E754">
            <v>3.2083115133277598E-3</v>
          </cell>
        </row>
        <row r="755">
          <cell r="A755" t="str">
            <v>HKD_HIBOR_EOD</v>
          </cell>
          <cell r="C755">
            <v>42345</v>
          </cell>
          <cell r="E755">
            <v>3.9889158602233101E-3</v>
          </cell>
        </row>
        <row r="756">
          <cell r="A756" t="str">
            <v>HKD_HIBOR_EOD</v>
          </cell>
          <cell r="C756">
            <v>42436</v>
          </cell>
          <cell r="E756">
            <v>5.6004728747527203E-3</v>
          </cell>
        </row>
        <row r="757">
          <cell r="A757" t="str">
            <v>HKD_HIBOR_EOD</v>
          </cell>
          <cell r="C757">
            <v>42620</v>
          </cell>
          <cell r="E757">
            <v>6.5970483998140398E-3</v>
          </cell>
        </row>
        <row r="758">
          <cell r="A758" t="str">
            <v>HKD_HIBOR_EOD</v>
          </cell>
          <cell r="C758">
            <v>42985</v>
          </cell>
          <cell r="E758">
            <v>9.6405488085636992E-3</v>
          </cell>
        </row>
        <row r="759">
          <cell r="A759" t="str">
            <v>HKD_HIBOR_EOD</v>
          </cell>
          <cell r="C759">
            <v>43350</v>
          </cell>
          <cell r="E759">
            <v>1.21546023691756E-2</v>
          </cell>
        </row>
        <row r="760">
          <cell r="A760" t="str">
            <v>HKD_HIBOR_EOD</v>
          </cell>
          <cell r="C760">
            <v>43717</v>
          </cell>
          <cell r="E760">
            <v>1.4327268688187801E-2</v>
          </cell>
        </row>
        <row r="761">
          <cell r="A761" t="str">
            <v>HKD_HIBOR_EOD</v>
          </cell>
          <cell r="C761">
            <v>44081</v>
          </cell>
          <cell r="E761">
            <v>1.61074939221433E-2</v>
          </cell>
        </row>
        <row r="762">
          <cell r="A762" t="str">
            <v>HKD_HIBOR_EOD</v>
          </cell>
          <cell r="C762">
            <v>44811</v>
          </cell>
          <cell r="E762">
            <v>1.8804698703702601E-2</v>
          </cell>
        </row>
        <row r="763">
          <cell r="A763" t="str">
            <v>HKD_HIBOR_EOD</v>
          </cell>
          <cell r="C763">
            <v>45908</v>
          </cell>
          <cell r="E763">
            <v>2.12306869682168E-2</v>
          </cell>
        </row>
        <row r="764">
          <cell r="A764" t="str">
            <v>HKD_HIBOR_EOD</v>
          </cell>
          <cell r="C764">
            <v>46637</v>
          </cell>
          <cell r="E764">
            <v>2.19817834867134E-2</v>
          </cell>
        </row>
        <row r="765">
          <cell r="A765" t="str">
            <v>HKD_HIBOR_EOD</v>
          </cell>
          <cell r="C765">
            <v>47735</v>
          </cell>
          <cell r="E765">
            <v>2.2917421806129899E-2</v>
          </cell>
        </row>
        <row r="766">
          <cell r="A766" t="str">
            <v>HUF_BUBOR_3M_EOD</v>
          </cell>
          <cell r="C766">
            <v>42347</v>
          </cell>
          <cell r="E766">
            <v>1.37652415017983E-2</v>
          </cell>
        </row>
        <row r="767">
          <cell r="A767" t="str">
            <v>HUF_BUBOR_3M_EOD</v>
          </cell>
          <cell r="C767">
            <v>42438</v>
          </cell>
          <cell r="E767">
            <v>1.39151507168668E-2</v>
          </cell>
        </row>
        <row r="768">
          <cell r="A768" t="str">
            <v>HUF_BUBOR_3M_EOD</v>
          </cell>
          <cell r="C768">
            <v>42530</v>
          </cell>
          <cell r="E768">
            <v>1.40503174187091E-2</v>
          </cell>
        </row>
        <row r="769">
          <cell r="A769" t="str">
            <v>HUF_BUBOR_3M_EOD</v>
          </cell>
          <cell r="C769">
            <v>42622</v>
          </cell>
          <cell r="E769">
            <v>1.42062924602194E-2</v>
          </cell>
        </row>
        <row r="770">
          <cell r="A770" t="str">
            <v>HUF_BUBOR_3M_EOD</v>
          </cell>
          <cell r="C770">
            <v>42989</v>
          </cell>
          <cell r="E770">
            <v>1.5663624709281801E-2</v>
          </cell>
        </row>
        <row r="771">
          <cell r="A771" t="str">
            <v>HUF_BUBOR_3M_EOD</v>
          </cell>
          <cell r="C771">
            <v>43353</v>
          </cell>
          <cell r="E771">
            <v>1.7638659995914199E-2</v>
          </cell>
        </row>
        <row r="772">
          <cell r="A772" t="str">
            <v>HUF_BUBOR_3M_EOD</v>
          </cell>
          <cell r="C772">
            <v>43717</v>
          </cell>
          <cell r="E772">
            <v>1.9965357148028599E-2</v>
          </cell>
        </row>
        <row r="773">
          <cell r="A773" t="str">
            <v>HUF_BUBOR_3M_EOD</v>
          </cell>
          <cell r="C773">
            <v>44083</v>
          </cell>
          <cell r="E773">
            <v>2.2597756704488599E-2</v>
          </cell>
        </row>
        <row r="774">
          <cell r="A774" t="str">
            <v>HUF_BUBOR_3M_EOD</v>
          </cell>
          <cell r="C774">
            <v>44448</v>
          </cell>
          <cell r="E774">
            <v>2.5310180474399799E-2</v>
          </cell>
        </row>
        <row r="775">
          <cell r="A775" t="str">
            <v>HUF_BUBOR_3M_EOD</v>
          </cell>
          <cell r="C775">
            <v>44813</v>
          </cell>
          <cell r="E775">
            <v>2.7790187069627801E-2</v>
          </cell>
        </row>
        <row r="776">
          <cell r="A776" t="str">
            <v>HUF_BUBOR_3M_EOD</v>
          </cell>
          <cell r="C776">
            <v>45180</v>
          </cell>
          <cell r="E776">
            <v>2.9987694936079601E-2</v>
          </cell>
        </row>
        <row r="777">
          <cell r="A777" t="str">
            <v>HUF_BUBOR_3M_EOD</v>
          </cell>
          <cell r="C777">
            <v>45544</v>
          </cell>
          <cell r="E777">
            <v>3.1781958399057897E-2</v>
          </cell>
        </row>
        <row r="778">
          <cell r="A778" t="str">
            <v>HUF_BUBOR_3M_EOD</v>
          </cell>
          <cell r="C778">
            <v>45909</v>
          </cell>
          <cell r="E778">
            <v>3.3082556250053803E-2</v>
          </cell>
        </row>
        <row r="779">
          <cell r="A779" t="str">
            <v>HUF_BUBOR_3M_EOD</v>
          </cell>
          <cell r="C779">
            <v>46639</v>
          </cell>
          <cell r="E779">
            <v>3.4155155978912E-2</v>
          </cell>
        </row>
        <row r="780">
          <cell r="A780" t="str">
            <v>HUF_BUBOR_3M_EOD</v>
          </cell>
          <cell r="C780">
            <v>47735</v>
          </cell>
          <cell r="E780">
            <v>3.4586876712926901E-2</v>
          </cell>
        </row>
        <row r="781">
          <cell r="A781" t="str">
            <v>HUF_BUBOR_3M_EOD</v>
          </cell>
          <cell r="C781">
            <v>49562</v>
          </cell>
          <cell r="E781">
            <v>3.4832014794492001E-2</v>
          </cell>
        </row>
        <row r="782">
          <cell r="A782" t="str">
            <v>HUF_BUBOR_6M_EOD</v>
          </cell>
          <cell r="C782">
            <v>42438</v>
          </cell>
          <cell r="E782">
            <v>1.3842395936979E-2</v>
          </cell>
        </row>
        <row r="783">
          <cell r="A783" t="str">
            <v>HUF_BUBOR_6M_EOD</v>
          </cell>
          <cell r="C783">
            <v>42622</v>
          </cell>
          <cell r="E783">
            <v>1.4169302708979601E-2</v>
          </cell>
        </row>
        <row r="784">
          <cell r="A784" t="str">
            <v>HUF_BUBOR_6M_EOD</v>
          </cell>
          <cell r="C784">
            <v>42803</v>
          </cell>
          <cell r="E784">
            <v>1.47528820930297E-2</v>
          </cell>
        </row>
        <row r="785">
          <cell r="A785" t="str">
            <v>HUF_BUBOR_6M_EOD</v>
          </cell>
          <cell r="C785">
            <v>42989</v>
          </cell>
          <cell r="E785">
            <v>1.5485284701759699E-2</v>
          </cell>
        </row>
        <row r="786">
          <cell r="A786" t="str">
            <v>HUF_BUBOR_6M_EOD</v>
          </cell>
          <cell r="C786">
            <v>43353</v>
          </cell>
          <cell r="E786">
            <v>1.7380210005939801E-2</v>
          </cell>
        </row>
        <row r="787">
          <cell r="A787" t="str">
            <v>HUF_BUBOR_6M_EOD</v>
          </cell>
          <cell r="C787">
            <v>43717</v>
          </cell>
          <cell r="E787">
            <v>1.9645466658483601E-2</v>
          </cell>
        </row>
        <row r="788">
          <cell r="A788" t="str">
            <v>HUF_BUBOR_6M_EOD</v>
          </cell>
          <cell r="C788">
            <v>44083</v>
          </cell>
          <cell r="E788">
            <v>2.2248154207308999E-2</v>
          </cell>
        </row>
        <row r="789">
          <cell r="A789" t="str">
            <v>HUF_BUBOR_6M_EOD</v>
          </cell>
          <cell r="C789">
            <v>44448</v>
          </cell>
          <cell r="E789">
            <v>2.4940825197586201E-2</v>
          </cell>
        </row>
        <row r="790">
          <cell r="A790" t="str">
            <v>HUF_BUBOR_6M_EOD</v>
          </cell>
          <cell r="C790">
            <v>44813</v>
          </cell>
          <cell r="E790">
            <v>2.7411340122568299E-2</v>
          </cell>
        </row>
        <row r="791">
          <cell r="A791" t="str">
            <v>HUF_BUBOR_6M_EOD</v>
          </cell>
          <cell r="C791">
            <v>45180</v>
          </cell>
          <cell r="E791">
            <v>2.9598965626459701E-2</v>
          </cell>
        </row>
        <row r="792">
          <cell r="A792" t="str">
            <v>HUF_BUBOR_6M_EOD</v>
          </cell>
          <cell r="C792">
            <v>45544</v>
          </cell>
          <cell r="E792">
            <v>3.1383793946669701E-2</v>
          </cell>
        </row>
        <row r="793">
          <cell r="A793" t="str">
            <v>HUF_BUBOR_6M_EOD</v>
          </cell>
          <cell r="C793">
            <v>45909</v>
          </cell>
          <cell r="E793">
            <v>3.2685182300524203E-2</v>
          </cell>
        </row>
        <row r="794">
          <cell r="A794" t="str">
            <v>HUF_BUBOR_6M_EOD</v>
          </cell>
          <cell r="C794">
            <v>46639</v>
          </cell>
          <cell r="E794">
            <v>3.3758968537659702E-2</v>
          </cell>
        </row>
        <row r="795">
          <cell r="A795" t="str">
            <v>HUF_BUBOR_6M_EOD</v>
          </cell>
          <cell r="C795">
            <v>47735</v>
          </cell>
          <cell r="E795">
            <v>3.4204097618184798E-2</v>
          </cell>
        </row>
        <row r="796">
          <cell r="A796" t="str">
            <v>HUF_BUBOR_6M_EOD</v>
          </cell>
          <cell r="C796">
            <v>49562</v>
          </cell>
          <cell r="E796">
            <v>3.4489381979193802E-2</v>
          </cell>
        </row>
        <row r="797">
          <cell r="A797" t="str">
            <v>HUF_BUBOR_EOD</v>
          </cell>
          <cell r="C797">
            <v>42255</v>
          </cell>
          <cell r="E797">
            <v>9.4290448753654599E-3</v>
          </cell>
        </row>
        <row r="798">
          <cell r="A798" t="str">
            <v>HUF_BUBOR_EOD</v>
          </cell>
          <cell r="C798">
            <v>42256</v>
          </cell>
          <cell r="E798">
            <v>9.4290448754123096E-3</v>
          </cell>
        </row>
        <row r="799">
          <cell r="A799" t="str">
            <v>HUF_BUBOR_EOD</v>
          </cell>
          <cell r="C799">
            <v>42263</v>
          </cell>
          <cell r="E799">
            <v>1.2582104651526999E-2</v>
          </cell>
        </row>
        <row r="800">
          <cell r="A800" t="str">
            <v>HUF_BUBOR_EOD</v>
          </cell>
          <cell r="C800">
            <v>42286</v>
          </cell>
          <cell r="E800">
            <v>1.34141339460836E-2</v>
          </cell>
        </row>
        <row r="801">
          <cell r="A801" t="str">
            <v>HUF_BUBOR_EOD</v>
          </cell>
          <cell r="C801">
            <v>42317</v>
          </cell>
          <cell r="E801">
            <v>1.3537175933410899E-2</v>
          </cell>
        </row>
        <row r="802">
          <cell r="A802" t="str">
            <v>HUF_BUBOR_EOD</v>
          </cell>
          <cell r="C802">
            <v>42347</v>
          </cell>
          <cell r="E802">
            <v>1.3671989961444799E-2</v>
          </cell>
        </row>
        <row r="803">
          <cell r="A803" t="str">
            <v>HUF_BUBOR_EOD</v>
          </cell>
          <cell r="C803">
            <v>42438</v>
          </cell>
          <cell r="E803">
            <v>1.3868018144840601E-2</v>
          </cell>
        </row>
        <row r="804">
          <cell r="A804" t="str">
            <v>HUF_BUBOR_EOD</v>
          </cell>
          <cell r="C804">
            <v>42530</v>
          </cell>
          <cell r="E804">
            <v>1.40188957040251E-2</v>
          </cell>
        </row>
        <row r="805">
          <cell r="A805" t="str">
            <v>HUF_BUBOR_EOD</v>
          </cell>
          <cell r="C805">
            <v>42622</v>
          </cell>
          <cell r="E805">
            <v>1.4182726174206701E-2</v>
          </cell>
        </row>
        <row r="806">
          <cell r="A806" t="str">
            <v>HUF_BUBOR_EOD</v>
          </cell>
          <cell r="C806">
            <v>42989</v>
          </cell>
          <cell r="E806">
            <v>1.54725213544105E-2</v>
          </cell>
        </row>
        <row r="807">
          <cell r="A807" t="str">
            <v>HUF_BUBOR_EOD</v>
          </cell>
          <cell r="C807">
            <v>43353</v>
          </cell>
          <cell r="E807">
            <v>1.7374511586719401E-2</v>
          </cell>
        </row>
        <row r="808">
          <cell r="A808" t="str">
            <v>HUF_BUBOR_EOD</v>
          </cell>
          <cell r="C808">
            <v>43717</v>
          </cell>
          <cell r="E808">
            <v>1.96447340005158E-2</v>
          </cell>
        </row>
        <row r="809">
          <cell r="A809" t="str">
            <v>HUF_BUBOR_EOD</v>
          </cell>
          <cell r="C809">
            <v>44083</v>
          </cell>
          <cell r="E809">
            <v>2.22475682757696E-2</v>
          </cell>
        </row>
        <row r="810">
          <cell r="A810" t="str">
            <v>HUF_BUBOR_EOD</v>
          </cell>
          <cell r="C810">
            <v>44448</v>
          </cell>
          <cell r="E810">
            <v>2.4940336817856699E-2</v>
          </cell>
        </row>
        <row r="811">
          <cell r="A811" t="str">
            <v>HUF_BUBOR_EOD</v>
          </cell>
          <cell r="C811">
            <v>44813</v>
          </cell>
          <cell r="E811">
            <v>2.7410921452872401E-2</v>
          </cell>
        </row>
        <row r="812">
          <cell r="A812" t="str">
            <v>HUF_BUBOR_EOD</v>
          </cell>
          <cell r="C812">
            <v>45180</v>
          </cell>
          <cell r="E812">
            <v>2.9598599505068698E-2</v>
          </cell>
        </row>
        <row r="813">
          <cell r="A813" t="str">
            <v>HUF_BUBOR_EOD</v>
          </cell>
          <cell r="C813">
            <v>45544</v>
          </cell>
          <cell r="E813">
            <v>3.1381707693351198E-2</v>
          </cell>
        </row>
        <row r="814">
          <cell r="A814" t="str">
            <v>HUF_BUBOR_EOD</v>
          </cell>
          <cell r="C814">
            <v>45909</v>
          </cell>
          <cell r="E814">
            <v>3.2681555614400802E-2</v>
          </cell>
        </row>
        <row r="815">
          <cell r="A815" t="str">
            <v>HUF_BUBOR_EOD</v>
          </cell>
          <cell r="C815">
            <v>46639</v>
          </cell>
          <cell r="E815">
            <v>3.37559468309898E-2</v>
          </cell>
        </row>
        <row r="816">
          <cell r="A816" t="str">
            <v>HUF_BUBOR_EOD</v>
          </cell>
          <cell r="C816">
            <v>47735</v>
          </cell>
          <cell r="E816">
            <v>3.42015627233936E-2</v>
          </cell>
        </row>
        <row r="817">
          <cell r="A817" t="str">
            <v>HUF_BUBOR_EOD</v>
          </cell>
          <cell r="C817">
            <v>49562</v>
          </cell>
          <cell r="E817">
            <v>3.4487665141174899E-2</v>
          </cell>
        </row>
        <row r="818">
          <cell r="A818" t="str">
            <v>JPY_LIBOR_1M_EOD</v>
          </cell>
          <cell r="C818">
            <v>42286</v>
          </cell>
          <cell r="E818">
            <v>5.3734924473344001E-4</v>
          </cell>
        </row>
        <row r="819">
          <cell r="A819" t="str">
            <v>JPY_LIBOR_1M_EOD</v>
          </cell>
          <cell r="C819">
            <v>42317</v>
          </cell>
          <cell r="E819">
            <v>6.0015992456052998E-4</v>
          </cell>
        </row>
        <row r="820">
          <cell r="A820" t="str">
            <v>JPY_LIBOR_1M_EOD</v>
          </cell>
          <cell r="C820">
            <v>42347</v>
          </cell>
          <cell r="E820">
            <v>5.7600649729132997E-4</v>
          </cell>
        </row>
        <row r="821">
          <cell r="A821" t="str">
            <v>JPY_LIBOR_1M_EOD</v>
          </cell>
          <cell r="C821">
            <v>42438</v>
          </cell>
          <cell r="E821">
            <v>5.8860540913300999E-4</v>
          </cell>
        </row>
        <row r="822">
          <cell r="A822" t="str">
            <v>JPY_LIBOR_1M_EOD</v>
          </cell>
          <cell r="C822">
            <v>42530</v>
          </cell>
          <cell r="E822">
            <v>6.0157955234298004E-4</v>
          </cell>
        </row>
        <row r="823">
          <cell r="A823" t="str">
            <v>JPY_LIBOR_1M_EOD</v>
          </cell>
          <cell r="C823">
            <v>42622</v>
          </cell>
          <cell r="E823">
            <v>5.8258385803219002E-4</v>
          </cell>
        </row>
        <row r="824">
          <cell r="A824" t="str">
            <v>JPY_LIBOR_1M_EOD</v>
          </cell>
          <cell r="C824">
            <v>42989</v>
          </cell>
          <cell r="E824">
            <v>5.6236798960674001E-4</v>
          </cell>
        </row>
        <row r="825">
          <cell r="A825" t="str">
            <v>JPY_LIBOR_1M_EOD</v>
          </cell>
          <cell r="C825">
            <v>43353</v>
          </cell>
          <cell r="E825">
            <v>6.7570050013569002E-4</v>
          </cell>
        </row>
        <row r="826">
          <cell r="A826" t="str">
            <v>JPY_LIBOR_1M_EOD</v>
          </cell>
          <cell r="C826">
            <v>43717</v>
          </cell>
          <cell r="E826">
            <v>9.869658683782001E-4</v>
          </cell>
        </row>
        <row r="827">
          <cell r="A827" t="str">
            <v>JPY_LIBOR_1M_EOD</v>
          </cell>
          <cell r="C827">
            <v>44083</v>
          </cell>
          <cell r="E827">
            <v>1.44969478964667E-3</v>
          </cell>
        </row>
        <row r="828">
          <cell r="A828" t="str">
            <v>JPY_LIBOR_1M_EOD</v>
          </cell>
          <cell r="C828">
            <v>44448</v>
          </cell>
          <cell r="E828">
            <v>1.9952409318037302E-3</v>
          </cell>
        </row>
        <row r="829">
          <cell r="A829" t="str">
            <v>JPY_LIBOR_1M_EOD</v>
          </cell>
          <cell r="C829">
            <v>44813</v>
          </cell>
          <cell r="E829">
            <v>2.58815550423743E-3</v>
          </cell>
        </row>
        <row r="830">
          <cell r="A830" t="str">
            <v>JPY_LIBOR_1M_EOD</v>
          </cell>
          <cell r="C830">
            <v>45180</v>
          </cell>
          <cell r="E830">
            <v>3.2315805305327002E-3</v>
          </cell>
        </row>
        <row r="831">
          <cell r="A831" t="str">
            <v>JPY_LIBOR_1M_EOD</v>
          </cell>
          <cell r="C831">
            <v>45544</v>
          </cell>
          <cell r="E831">
            <v>3.8564200783429399E-3</v>
          </cell>
        </row>
        <row r="832">
          <cell r="A832" t="str">
            <v>JPY_LIBOR_1M_EOD</v>
          </cell>
          <cell r="C832">
            <v>45909</v>
          </cell>
          <cell r="E832">
            <v>4.5435900998265603E-3</v>
          </cell>
        </row>
        <row r="833">
          <cell r="A833" t="str">
            <v>JPY_LIBOR_1M_EOD</v>
          </cell>
          <cell r="C833">
            <v>46639</v>
          </cell>
          <cell r="E833">
            <v>5.9897247792961E-3</v>
          </cell>
        </row>
        <row r="834">
          <cell r="A834" t="str">
            <v>JPY_LIBOR_1M_EOD</v>
          </cell>
          <cell r="C834">
            <v>47735</v>
          </cell>
          <cell r="E834">
            <v>8.2546773580553599E-3</v>
          </cell>
        </row>
        <row r="835">
          <cell r="A835" t="str">
            <v>JPY_LIBOR_1M_EOD</v>
          </cell>
          <cell r="C835">
            <v>49562</v>
          </cell>
          <cell r="E835">
            <v>1.12565133755661E-2</v>
          </cell>
        </row>
        <row r="836">
          <cell r="A836" t="str">
            <v>JPY_LIBOR_1M_EOD</v>
          </cell>
          <cell r="C836">
            <v>51389</v>
          </cell>
          <cell r="E836">
            <v>1.2977792760431E-2</v>
          </cell>
        </row>
        <row r="837">
          <cell r="A837" t="str">
            <v>JPY_LIBOR_1M_EOD</v>
          </cell>
          <cell r="C837">
            <v>53216</v>
          </cell>
          <cell r="E837">
            <v>1.3967741561275801E-2</v>
          </cell>
        </row>
        <row r="838">
          <cell r="A838" t="str">
            <v>JPY_LIBOR_1M_EOD</v>
          </cell>
          <cell r="C838">
            <v>56866</v>
          </cell>
          <cell r="E838">
            <v>1.5443840564277E-2</v>
          </cell>
        </row>
        <row r="839">
          <cell r="A839" t="str">
            <v>JPY_LIBOR_3M_EOD</v>
          </cell>
          <cell r="C839">
            <v>42347</v>
          </cell>
          <cell r="E839">
            <v>8.8340548724082004E-4</v>
          </cell>
        </row>
        <row r="840">
          <cell r="A840" t="str">
            <v>JPY_LIBOR_3M_EOD</v>
          </cell>
          <cell r="C840">
            <v>42381</v>
          </cell>
          <cell r="E840">
            <v>9.0508805575259998E-4</v>
          </cell>
        </row>
        <row r="841">
          <cell r="A841" t="str">
            <v>JPY_LIBOR_3M_EOD</v>
          </cell>
          <cell r="C841">
            <v>42409</v>
          </cell>
          <cell r="E841">
            <v>9.0061221242718995E-4</v>
          </cell>
        </row>
        <row r="842">
          <cell r="A842" t="str">
            <v>JPY_LIBOR_3M_EOD</v>
          </cell>
          <cell r="C842">
            <v>42438</v>
          </cell>
          <cell r="E842">
            <v>8.7267712993944005E-4</v>
          </cell>
        </row>
        <row r="843">
          <cell r="A843" t="str">
            <v>JPY_LIBOR_3M_EOD</v>
          </cell>
          <cell r="C843">
            <v>42471</v>
          </cell>
          <cell r="E843">
            <v>8.9780416565804998E-4</v>
          </cell>
        </row>
        <row r="844">
          <cell r="A844" t="str">
            <v>JPY_LIBOR_3M_EOD</v>
          </cell>
          <cell r="C844">
            <v>42499</v>
          </cell>
          <cell r="E844">
            <v>8.9097768965348996E-4</v>
          </cell>
        </row>
        <row r="845">
          <cell r="A845" t="str">
            <v>JPY_LIBOR_3M_EOD</v>
          </cell>
          <cell r="C845">
            <v>42530</v>
          </cell>
          <cell r="E845">
            <v>8.6902207577619001E-4</v>
          </cell>
        </row>
        <row r="846">
          <cell r="A846" t="str">
            <v>JPY_LIBOR_3M_EOD</v>
          </cell>
          <cell r="C846">
            <v>42562</v>
          </cell>
          <cell r="E846">
            <v>8.8339718459964998E-4</v>
          </cell>
        </row>
        <row r="847">
          <cell r="A847" t="str">
            <v>JPY_LIBOR_3M_EOD</v>
          </cell>
          <cell r="C847">
            <v>42591</v>
          </cell>
          <cell r="E847">
            <v>8.7606999857571001E-4</v>
          </cell>
        </row>
        <row r="848">
          <cell r="A848" t="str">
            <v>JPY_LIBOR_3M_EOD</v>
          </cell>
          <cell r="C848">
            <v>42622</v>
          </cell>
          <cell r="E848">
            <v>8.5769135912902995E-4</v>
          </cell>
        </row>
        <row r="849">
          <cell r="A849" t="str">
            <v>JPY_LIBOR_3M_EOD</v>
          </cell>
          <cell r="C849">
            <v>42989</v>
          </cell>
          <cell r="E849">
            <v>8.2501867770955E-4</v>
          </cell>
        </row>
        <row r="850">
          <cell r="A850" t="str">
            <v>JPY_LIBOR_3M_EOD</v>
          </cell>
          <cell r="C850">
            <v>43353</v>
          </cell>
          <cell r="E850">
            <v>9.3767416022822998E-4</v>
          </cell>
        </row>
        <row r="851">
          <cell r="A851" t="str">
            <v>JPY_LIBOR_3M_EOD</v>
          </cell>
          <cell r="C851">
            <v>43717</v>
          </cell>
          <cell r="E851">
            <v>1.24859685254342E-3</v>
          </cell>
        </row>
        <row r="852">
          <cell r="A852" t="str">
            <v>JPY_LIBOR_3M_EOD</v>
          </cell>
          <cell r="C852">
            <v>44083</v>
          </cell>
          <cell r="E852">
            <v>1.71174982725091E-3</v>
          </cell>
        </row>
        <row r="853">
          <cell r="A853" t="str">
            <v>JPY_LIBOR_3M_EOD</v>
          </cell>
          <cell r="C853">
            <v>44448</v>
          </cell>
          <cell r="E853">
            <v>2.2573278090225802E-3</v>
          </cell>
        </row>
        <row r="854">
          <cell r="A854" t="str">
            <v>JPY_LIBOR_3M_EOD</v>
          </cell>
          <cell r="C854">
            <v>44813</v>
          </cell>
          <cell r="E854">
            <v>2.8504017975148998E-3</v>
          </cell>
        </row>
        <row r="855">
          <cell r="A855" t="str">
            <v>JPY_LIBOR_3M_EOD</v>
          </cell>
          <cell r="C855">
            <v>45180</v>
          </cell>
          <cell r="E855">
            <v>3.4812020979037499E-3</v>
          </cell>
        </row>
        <row r="856">
          <cell r="A856" t="str">
            <v>JPY_LIBOR_3M_EOD</v>
          </cell>
          <cell r="C856">
            <v>45544</v>
          </cell>
          <cell r="E856">
            <v>4.1184921526964203E-3</v>
          </cell>
        </row>
        <row r="857">
          <cell r="A857" t="str">
            <v>JPY_LIBOR_3M_EOD</v>
          </cell>
          <cell r="C857">
            <v>45909</v>
          </cell>
          <cell r="E857">
            <v>4.8058155205382104E-3</v>
          </cell>
        </row>
        <row r="858">
          <cell r="A858" t="str">
            <v>JPY_LIBOR_3M_EOD</v>
          </cell>
          <cell r="C858">
            <v>46639</v>
          </cell>
          <cell r="E858">
            <v>6.2748780239482204E-3</v>
          </cell>
        </row>
        <row r="859">
          <cell r="A859" t="str">
            <v>JPY_LIBOR_3M_EOD</v>
          </cell>
          <cell r="C859">
            <v>47735</v>
          </cell>
          <cell r="E859">
            <v>8.5158762539373108E-3</v>
          </cell>
        </row>
        <row r="860">
          <cell r="A860" t="str">
            <v>JPY_LIBOR_3M_EOD</v>
          </cell>
          <cell r="C860">
            <v>49562</v>
          </cell>
          <cell r="E860">
            <v>1.14904429874205E-2</v>
          </cell>
        </row>
        <row r="861">
          <cell r="A861" t="str">
            <v>JPY_LIBOR_3M_EOD</v>
          </cell>
          <cell r="C861">
            <v>51389</v>
          </cell>
          <cell r="E861">
            <v>1.3197663400188801E-2</v>
          </cell>
        </row>
        <row r="862">
          <cell r="A862" t="str">
            <v>JPY_LIBOR_3M_EOD</v>
          </cell>
          <cell r="C862">
            <v>53216</v>
          </cell>
          <cell r="E862">
            <v>1.4172536953536201E-2</v>
          </cell>
        </row>
        <row r="863">
          <cell r="A863" t="str">
            <v>JPY_LIBOR_3M_EOD</v>
          </cell>
          <cell r="C863">
            <v>56866</v>
          </cell>
          <cell r="E863">
            <v>1.5649554116566301E-2</v>
          </cell>
        </row>
        <row r="864">
          <cell r="A864" t="str">
            <v>JPY_LIBOR_6M_EOD</v>
          </cell>
          <cell r="C864">
            <v>42438</v>
          </cell>
          <cell r="E864">
            <v>1.3263363162006299E-3</v>
          </cell>
        </row>
        <row r="865">
          <cell r="A865" t="str">
            <v>JPY_LIBOR_6M_EOD</v>
          </cell>
          <cell r="C865">
            <v>42471</v>
          </cell>
          <cell r="E865">
            <v>1.2865087591898701E-3</v>
          </cell>
        </row>
        <row r="866">
          <cell r="A866" t="str">
            <v>JPY_LIBOR_6M_EOD</v>
          </cell>
          <cell r="C866">
            <v>42499</v>
          </cell>
          <cell r="E866">
            <v>1.26341121897555E-3</v>
          </cell>
        </row>
        <row r="867">
          <cell r="A867" t="str">
            <v>JPY_LIBOR_6M_EOD</v>
          </cell>
          <cell r="C867">
            <v>42530</v>
          </cell>
          <cell r="E867">
            <v>1.24497656688369E-3</v>
          </cell>
        </row>
        <row r="868">
          <cell r="A868" t="str">
            <v>JPY_LIBOR_6M_EOD</v>
          </cell>
          <cell r="C868">
            <v>42562</v>
          </cell>
          <cell r="E868">
            <v>1.2321348750944201E-3</v>
          </cell>
        </row>
        <row r="869">
          <cell r="A869" t="str">
            <v>JPY_LIBOR_6M_EOD</v>
          </cell>
          <cell r="C869">
            <v>42591</v>
          </cell>
          <cell r="E869">
            <v>1.21902544077796E-3</v>
          </cell>
        </row>
        <row r="870">
          <cell r="A870" t="str">
            <v>JPY_LIBOR_6M_EOD</v>
          </cell>
          <cell r="C870">
            <v>42622</v>
          </cell>
          <cell r="E870">
            <v>1.2016504306575E-3</v>
          </cell>
        </row>
        <row r="871">
          <cell r="A871" t="str">
            <v>JPY_LIBOR_6M_EOD</v>
          </cell>
          <cell r="C871">
            <v>42989</v>
          </cell>
          <cell r="E871">
            <v>1.1501272390926299E-3</v>
          </cell>
        </row>
        <row r="872">
          <cell r="A872" t="str">
            <v>JPY_LIBOR_6M_EOD</v>
          </cell>
          <cell r="C872">
            <v>43353</v>
          </cell>
          <cell r="E872">
            <v>1.2880504810375199E-3</v>
          </cell>
        </row>
        <row r="873">
          <cell r="A873" t="str">
            <v>JPY_LIBOR_6M_EOD</v>
          </cell>
          <cell r="C873">
            <v>43717</v>
          </cell>
          <cell r="E873">
            <v>1.62316838312029E-3</v>
          </cell>
        </row>
        <row r="874">
          <cell r="A874" t="str">
            <v>JPY_LIBOR_6M_EOD</v>
          </cell>
          <cell r="C874">
            <v>44083</v>
          </cell>
          <cell r="E874">
            <v>2.1111972961964098E-3</v>
          </cell>
        </row>
        <row r="875">
          <cell r="A875" t="str">
            <v>JPY_LIBOR_6M_EOD</v>
          </cell>
          <cell r="C875">
            <v>44448</v>
          </cell>
          <cell r="E875">
            <v>2.6816478280216102E-3</v>
          </cell>
        </row>
        <row r="876">
          <cell r="A876" t="str">
            <v>JPY_LIBOR_6M_EOD</v>
          </cell>
          <cell r="C876">
            <v>44813</v>
          </cell>
          <cell r="E876">
            <v>3.29962210689248E-3</v>
          </cell>
        </row>
        <row r="877">
          <cell r="A877" t="str">
            <v>JPY_LIBOR_6M_EOD</v>
          </cell>
          <cell r="C877">
            <v>45180</v>
          </cell>
          <cell r="E877">
            <v>3.9553658918020599E-3</v>
          </cell>
        </row>
        <row r="878">
          <cell r="A878" t="str">
            <v>JPY_LIBOR_6M_EOD</v>
          </cell>
          <cell r="C878">
            <v>45544</v>
          </cell>
          <cell r="E878">
            <v>4.6174396083244898E-3</v>
          </cell>
        </row>
        <row r="879">
          <cell r="A879" t="str">
            <v>JPY_LIBOR_6M_EOD</v>
          </cell>
          <cell r="C879">
            <v>45909</v>
          </cell>
          <cell r="E879">
            <v>5.3297878449641298E-3</v>
          </cell>
        </row>
        <row r="880">
          <cell r="A880" t="str">
            <v>JPY_LIBOR_6M_EOD</v>
          </cell>
          <cell r="C880">
            <v>46639</v>
          </cell>
          <cell r="E880">
            <v>6.7876779047355198E-3</v>
          </cell>
        </row>
        <row r="881">
          <cell r="A881" t="str">
            <v>JPY_LIBOR_6M_EOD</v>
          </cell>
          <cell r="C881">
            <v>47735</v>
          </cell>
          <cell r="E881">
            <v>9.0121729112027007E-3</v>
          </cell>
        </row>
        <row r="882">
          <cell r="A882" t="str">
            <v>JPY_LIBOR_6M_EOD</v>
          </cell>
          <cell r="C882">
            <v>49562</v>
          </cell>
          <cell r="E882">
            <v>1.19574892412394E-2</v>
          </cell>
        </row>
        <row r="883">
          <cell r="A883" t="str">
            <v>JPY_LIBOR_6M_EOD</v>
          </cell>
          <cell r="C883">
            <v>51389</v>
          </cell>
          <cell r="E883">
            <v>1.36206706976698E-2</v>
          </cell>
        </row>
        <row r="884">
          <cell r="A884" t="str">
            <v>JPY_LIBOR_6M_EOD</v>
          </cell>
          <cell r="C884">
            <v>53216</v>
          </cell>
          <cell r="E884">
            <v>1.4550650009851099E-2</v>
          </cell>
        </row>
        <row r="885">
          <cell r="A885" t="str">
            <v>JPY_LIBOR_6M_EOD</v>
          </cell>
          <cell r="C885">
            <v>56866</v>
          </cell>
          <cell r="E885">
            <v>1.60309277907572E-2</v>
          </cell>
        </row>
        <row r="886">
          <cell r="A886" t="str">
            <v>JPY_LIBOR_EOD</v>
          </cell>
          <cell r="C886">
            <v>42255</v>
          </cell>
          <cell r="E886">
            <v>3.2586374339122002E-4</v>
          </cell>
        </row>
        <row r="887">
          <cell r="A887" t="str">
            <v>JPY_LIBOR_EOD</v>
          </cell>
          <cell r="C887">
            <v>42256</v>
          </cell>
          <cell r="E887">
            <v>3.2586374341707998E-4</v>
          </cell>
        </row>
        <row r="888">
          <cell r="A888" t="str">
            <v>JPY_LIBOR_EOD</v>
          </cell>
          <cell r="C888">
            <v>42263</v>
          </cell>
          <cell r="E888">
            <v>3.5969293165944002E-4</v>
          </cell>
        </row>
        <row r="889">
          <cell r="A889" t="str">
            <v>JPY_LIBOR_EOD</v>
          </cell>
          <cell r="C889">
            <v>42286</v>
          </cell>
          <cell r="E889">
            <v>5.2413140090149001E-4</v>
          </cell>
        </row>
        <row r="890">
          <cell r="A890" t="str">
            <v>JPY_LIBOR_EOD</v>
          </cell>
          <cell r="C890">
            <v>42317</v>
          </cell>
          <cell r="E890">
            <v>7.6758026945623003E-4</v>
          </cell>
        </row>
        <row r="891">
          <cell r="A891" t="str">
            <v>JPY_LIBOR_EOD</v>
          </cell>
          <cell r="C891">
            <v>42347</v>
          </cell>
          <cell r="E891">
            <v>8.7141534221150995E-4</v>
          </cell>
        </row>
        <row r="892">
          <cell r="A892" t="str">
            <v>JPY_LIBOR_EOD</v>
          </cell>
          <cell r="C892">
            <v>42438</v>
          </cell>
          <cell r="E892">
            <v>1.31546161432241E-3</v>
          </cell>
        </row>
        <row r="893">
          <cell r="A893" t="str">
            <v>JPY_LIBOR_EOD</v>
          </cell>
          <cell r="C893">
            <v>42622</v>
          </cell>
          <cell r="E893">
            <v>1.20728077256238E-3</v>
          </cell>
        </row>
        <row r="894">
          <cell r="A894" t="str">
            <v>JPY_LIBOR_EOD</v>
          </cell>
          <cell r="C894">
            <v>42989</v>
          </cell>
          <cell r="E894">
            <v>1.1473700866714001E-3</v>
          </cell>
        </row>
        <row r="895">
          <cell r="A895" t="str">
            <v>JPY_LIBOR_EOD</v>
          </cell>
          <cell r="C895">
            <v>43353</v>
          </cell>
          <cell r="E895">
            <v>1.2865106333184999E-3</v>
          </cell>
        </row>
        <row r="896">
          <cell r="A896" t="str">
            <v>JPY_LIBOR_EOD</v>
          </cell>
          <cell r="C896">
            <v>43717</v>
          </cell>
          <cell r="E896">
            <v>1.62354020979546E-3</v>
          </cell>
        </row>
        <row r="897">
          <cell r="A897" t="str">
            <v>JPY_LIBOR_EOD</v>
          </cell>
          <cell r="C897">
            <v>44083</v>
          </cell>
          <cell r="E897">
            <v>2.1125370940419399E-3</v>
          </cell>
        </row>
        <row r="898">
          <cell r="A898" t="str">
            <v>JPY_LIBOR_EOD</v>
          </cell>
          <cell r="C898">
            <v>44448</v>
          </cell>
          <cell r="E898">
            <v>2.68448041027366E-3</v>
          </cell>
        </row>
        <row r="899">
          <cell r="A899" t="str">
            <v>JPY_LIBOR_EOD</v>
          </cell>
          <cell r="C899">
            <v>44813</v>
          </cell>
          <cell r="E899">
            <v>3.3045221124394799E-3</v>
          </cell>
        </row>
        <row r="900">
          <cell r="A900" t="str">
            <v>JPY_LIBOR_EOD</v>
          </cell>
          <cell r="C900">
            <v>45180</v>
          </cell>
          <cell r="E900">
            <v>3.9629997889405397E-3</v>
          </cell>
        </row>
        <row r="901">
          <cell r="A901" t="str">
            <v>JPY_LIBOR_EOD</v>
          </cell>
          <cell r="C901">
            <v>45544</v>
          </cell>
          <cell r="E901">
            <v>4.6288815977463703E-3</v>
          </cell>
        </row>
        <row r="902">
          <cell r="A902" t="str">
            <v>JPY_LIBOR_EOD</v>
          </cell>
          <cell r="C902">
            <v>45909</v>
          </cell>
          <cell r="E902">
            <v>5.3456546052978501E-3</v>
          </cell>
        </row>
        <row r="903">
          <cell r="A903" t="str">
            <v>JPY_LIBOR_EOD</v>
          </cell>
          <cell r="C903">
            <v>46639</v>
          </cell>
          <cell r="E903">
            <v>6.8142659269699703E-3</v>
          </cell>
        </row>
        <row r="904">
          <cell r="A904" t="str">
            <v>JPY_LIBOR_EOD</v>
          </cell>
          <cell r="C904">
            <v>47735</v>
          </cell>
          <cell r="E904">
            <v>9.0581643527178398E-3</v>
          </cell>
        </row>
        <row r="905">
          <cell r="A905" t="str">
            <v>JPY_LIBOR_EOD</v>
          </cell>
          <cell r="C905">
            <v>49562</v>
          </cell>
          <cell r="E905">
            <v>1.20345672945143E-2</v>
          </cell>
        </row>
        <row r="906">
          <cell r="A906" t="str">
            <v>JPY_LIBOR_EOD</v>
          </cell>
          <cell r="C906">
            <v>51389</v>
          </cell>
          <cell r="E906">
            <v>1.37153550983279E-2</v>
          </cell>
        </row>
        <row r="907">
          <cell r="A907" t="str">
            <v>JPY_LIBOR_EOD</v>
          </cell>
          <cell r="C907">
            <v>53216</v>
          </cell>
          <cell r="E907">
            <v>1.4654020590298E-2</v>
          </cell>
        </row>
        <row r="908">
          <cell r="A908" t="str">
            <v>JPY_LIBOR_EOD</v>
          </cell>
          <cell r="C908">
            <v>56866</v>
          </cell>
          <cell r="E908">
            <v>1.6163835827097801E-2</v>
          </cell>
        </row>
        <row r="909">
          <cell r="A909" t="str">
            <v>JPY_TONA_EOD</v>
          </cell>
          <cell r="C909">
            <v>42255</v>
          </cell>
          <cell r="E909">
            <v>7.4999922944803002E-4</v>
          </cell>
        </row>
        <row r="910">
          <cell r="A910" t="str">
            <v>JPY_TONA_EOD</v>
          </cell>
          <cell r="C910">
            <v>42256</v>
          </cell>
          <cell r="E910">
            <v>7.4999922945587997E-4</v>
          </cell>
        </row>
        <row r="911">
          <cell r="A911" t="str">
            <v>JPY_TONA_EOD</v>
          </cell>
          <cell r="C911">
            <v>42263</v>
          </cell>
          <cell r="E911">
            <v>7.2588486211681998E-4</v>
          </cell>
        </row>
        <row r="912">
          <cell r="A912" t="str">
            <v>JPY_TONA_EOD</v>
          </cell>
          <cell r="C912">
            <v>42271</v>
          </cell>
          <cell r="E912">
            <v>7.1617013864115002E-4</v>
          </cell>
        </row>
        <row r="913">
          <cell r="A913" t="str">
            <v>JPY_TONA_EOD</v>
          </cell>
          <cell r="C913">
            <v>42277</v>
          </cell>
          <cell r="E913">
            <v>7.0814212678301999E-4</v>
          </cell>
        </row>
        <row r="914">
          <cell r="A914" t="str">
            <v>JPY_TONA_EOD</v>
          </cell>
          <cell r="C914">
            <v>42286</v>
          </cell>
          <cell r="E914">
            <v>7.4435362640731004E-4</v>
          </cell>
        </row>
        <row r="915">
          <cell r="A915" t="str">
            <v>JPY_TONA_EOD</v>
          </cell>
          <cell r="C915">
            <v>42317</v>
          </cell>
          <cell r="E915">
            <v>7.141334504077E-4</v>
          </cell>
        </row>
        <row r="916">
          <cell r="A916" t="str">
            <v>JPY_TONA_EOD</v>
          </cell>
          <cell r="C916">
            <v>42347</v>
          </cell>
          <cell r="E916">
            <v>7.0101549060287E-4</v>
          </cell>
        </row>
        <row r="917">
          <cell r="A917" t="str">
            <v>JPY_TONA_EOD</v>
          </cell>
          <cell r="C917">
            <v>42381</v>
          </cell>
          <cell r="E917">
            <v>6.9480071734039995E-4</v>
          </cell>
        </row>
        <row r="918">
          <cell r="A918" t="str">
            <v>JPY_TONA_EOD</v>
          </cell>
          <cell r="C918">
            <v>42409</v>
          </cell>
          <cell r="E918">
            <v>6.8870208126562999E-4</v>
          </cell>
        </row>
        <row r="919">
          <cell r="A919" t="str">
            <v>JPY_TONA_EOD</v>
          </cell>
          <cell r="C919">
            <v>42438</v>
          </cell>
          <cell r="E919">
            <v>6.6383726771577004E-4</v>
          </cell>
        </row>
        <row r="920">
          <cell r="A920" t="str">
            <v>JPY_TONA_EOD</v>
          </cell>
          <cell r="C920">
            <v>42471</v>
          </cell>
          <cell r="E920">
            <v>6.4089432404584997E-4</v>
          </cell>
        </row>
        <row r="921">
          <cell r="A921" t="str">
            <v>JPY_TONA_EOD</v>
          </cell>
          <cell r="C921">
            <v>42499</v>
          </cell>
          <cell r="E921">
            <v>6.2281805092838003E-4</v>
          </cell>
        </row>
        <row r="922">
          <cell r="A922" t="str">
            <v>JPY_TONA_EOD</v>
          </cell>
          <cell r="C922">
            <v>42530</v>
          </cell>
          <cell r="E922">
            <v>6.2576028132881002E-4</v>
          </cell>
        </row>
        <row r="923">
          <cell r="A923" t="str">
            <v>JPY_TONA_EOD</v>
          </cell>
          <cell r="C923">
            <v>42562</v>
          </cell>
          <cell r="E923">
            <v>6.2068412054907E-4</v>
          </cell>
        </row>
        <row r="924">
          <cell r="A924" t="str">
            <v>JPY_TONA_EOD</v>
          </cell>
          <cell r="C924">
            <v>42591</v>
          </cell>
          <cell r="E924">
            <v>5.8085549277459003E-4</v>
          </cell>
        </row>
        <row r="925">
          <cell r="A925" t="str">
            <v>JPY_TONA_EOD</v>
          </cell>
          <cell r="C925">
            <v>42622</v>
          </cell>
          <cell r="E925">
            <v>5.7081299363833998E-4</v>
          </cell>
        </row>
        <row r="926">
          <cell r="A926" t="str">
            <v>JPY_TONA_EOD</v>
          </cell>
          <cell r="C926">
            <v>42803</v>
          </cell>
          <cell r="E926">
            <v>5.0465302690047001E-4</v>
          </cell>
        </row>
        <row r="927">
          <cell r="A927" t="str">
            <v>JPY_TONA_EOD</v>
          </cell>
          <cell r="C927">
            <v>42989</v>
          </cell>
          <cell r="E927">
            <v>4.8019776881560002E-4</v>
          </cell>
        </row>
        <row r="928">
          <cell r="A928" t="str">
            <v>JPY_TONA_EOD</v>
          </cell>
          <cell r="C928">
            <v>43353</v>
          </cell>
          <cell r="E928">
            <v>5.2652754050805004E-4</v>
          </cell>
        </row>
        <row r="929">
          <cell r="A929" t="str">
            <v>JPY_TONA_EOD</v>
          </cell>
          <cell r="C929">
            <v>43717</v>
          </cell>
          <cell r="E929">
            <v>7.8431108733124997E-4</v>
          </cell>
        </row>
        <row r="930">
          <cell r="A930" t="str">
            <v>JPY_TONA_EOD</v>
          </cell>
          <cell r="C930">
            <v>44083</v>
          </cell>
          <cell r="E930">
            <v>1.18370814798648E-3</v>
          </cell>
        </row>
        <row r="931">
          <cell r="A931" t="str">
            <v>JPY_TONA_EOD</v>
          </cell>
          <cell r="C931">
            <v>44448</v>
          </cell>
          <cell r="E931">
            <v>1.65773123024906E-3</v>
          </cell>
        </row>
        <row r="932">
          <cell r="A932" t="str">
            <v>JPY_TONA_EOD</v>
          </cell>
          <cell r="C932">
            <v>44813</v>
          </cell>
          <cell r="E932">
            <v>2.1843571282190201E-3</v>
          </cell>
        </row>
        <row r="933">
          <cell r="A933" t="str">
            <v>JPY_TONA_EOD</v>
          </cell>
          <cell r="C933">
            <v>45180</v>
          </cell>
          <cell r="E933">
            <v>2.7514664293513198E-3</v>
          </cell>
        </row>
        <row r="934">
          <cell r="A934" t="str">
            <v>JPY_TONA_EOD</v>
          </cell>
          <cell r="C934">
            <v>45544</v>
          </cell>
          <cell r="E934">
            <v>3.33289933995541E-3</v>
          </cell>
        </row>
        <row r="935">
          <cell r="A935" t="str">
            <v>JPY_TONA_EOD</v>
          </cell>
          <cell r="C935">
            <v>45909</v>
          </cell>
          <cell r="E935">
            <v>3.96553206026601E-3</v>
          </cell>
        </row>
        <row r="936">
          <cell r="A936" t="str">
            <v>JPY_TONA_EOD</v>
          </cell>
          <cell r="C936">
            <v>46639</v>
          </cell>
          <cell r="E936">
            <v>5.3074518020688501E-3</v>
          </cell>
        </row>
        <row r="937">
          <cell r="A937" t="str">
            <v>JPY_TONA_EOD</v>
          </cell>
          <cell r="C937">
            <v>47735</v>
          </cell>
          <cell r="E937">
            <v>7.5145614085858903E-3</v>
          </cell>
        </row>
        <row r="938">
          <cell r="A938" t="str">
            <v>JPY_TONA_EOD</v>
          </cell>
          <cell r="C938">
            <v>49562</v>
          </cell>
          <cell r="E938">
            <v>1.0451323067586501E-2</v>
          </cell>
        </row>
        <row r="939">
          <cell r="A939" t="str">
            <v>JPY_TONA_EOD</v>
          </cell>
          <cell r="C939">
            <v>51389</v>
          </cell>
          <cell r="E939">
            <v>1.21120369599137E-2</v>
          </cell>
        </row>
        <row r="940">
          <cell r="A940" t="str">
            <v>JPY_TONA_EOD</v>
          </cell>
          <cell r="C940">
            <v>53216</v>
          </cell>
          <cell r="E940">
            <v>1.30414162231581E-2</v>
          </cell>
        </row>
        <row r="941">
          <cell r="A941" t="str">
            <v>JPY_TONA_EOD</v>
          </cell>
          <cell r="C941">
            <v>56866</v>
          </cell>
          <cell r="E941">
            <v>1.43282647659498E-2</v>
          </cell>
        </row>
        <row r="942">
          <cell r="A942" t="str">
            <v>MXN_TIIE_EOD</v>
          </cell>
          <cell r="C942">
            <v>42339</v>
          </cell>
          <cell r="E942">
            <v>3.5630012539989701E-2</v>
          </cell>
        </row>
        <row r="943">
          <cell r="A943" t="str">
            <v>MXN_TIIE_EOD</v>
          </cell>
          <cell r="C943">
            <v>42423</v>
          </cell>
          <cell r="E943">
            <v>3.7456641873534403E-2</v>
          </cell>
        </row>
        <row r="944">
          <cell r="A944" t="str">
            <v>MXN_TIIE_EOD</v>
          </cell>
          <cell r="C944">
            <v>42507</v>
          </cell>
          <cell r="E944">
            <v>3.8878781499554302E-2</v>
          </cell>
        </row>
        <row r="945">
          <cell r="A945" t="str">
            <v>MXN_TIIE_EOD</v>
          </cell>
          <cell r="C945">
            <v>42619</v>
          </cell>
          <cell r="E945">
            <v>4.0715179418183402E-2</v>
          </cell>
        </row>
        <row r="946">
          <cell r="A946" t="str">
            <v>MXN_TIIE_EOD</v>
          </cell>
          <cell r="C946">
            <v>42983</v>
          </cell>
          <cell r="E946">
            <v>4.5454783884631603E-2</v>
          </cell>
        </row>
        <row r="947">
          <cell r="A947" t="str">
            <v>MXN_TIIE_EOD</v>
          </cell>
          <cell r="C947">
            <v>43347</v>
          </cell>
          <cell r="E947">
            <v>4.9880980611575303E-2</v>
          </cell>
        </row>
        <row r="948">
          <cell r="A948" t="str">
            <v>MXN_TIIE_EOD</v>
          </cell>
          <cell r="C948">
            <v>43711</v>
          </cell>
          <cell r="E948">
            <v>5.38008797240178E-2</v>
          </cell>
        </row>
        <row r="949">
          <cell r="A949" t="str">
            <v>MXN_TIIE_EOD</v>
          </cell>
          <cell r="C949">
            <v>44075</v>
          </cell>
          <cell r="E949">
            <v>5.7054776377817001E-2</v>
          </cell>
        </row>
        <row r="950">
          <cell r="A950" t="str">
            <v>MXN_TIIE_EOD</v>
          </cell>
          <cell r="C950">
            <v>44803</v>
          </cell>
          <cell r="E950">
            <v>6.2076126009565497E-2</v>
          </cell>
        </row>
        <row r="951">
          <cell r="A951" t="str">
            <v>MXN_TIIE_EOD</v>
          </cell>
          <cell r="C951">
            <v>45895</v>
          </cell>
          <cell r="E951">
            <v>6.7114880133816099E-2</v>
          </cell>
        </row>
        <row r="952">
          <cell r="A952" t="str">
            <v>MXN_TIIE_EOD</v>
          </cell>
          <cell r="C952">
            <v>47715</v>
          </cell>
          <cell r="E952">
            <v>7.2797144218140694E-2</v>
          </cell>
        </row>
        <row r="953">
          <cell r="A953" t="str">
            <v>MXN_TIIE_EOD</v>
          </cell>
          <cell r="C953">
            <v>49535</v>
          </cell>
          <cell r="E953">
            <v>7.6038656097575E-2</v>
          </cell>
        </row>
        <row r="954">
          <cell r="A954" t="str">
            <v>MXN_TIIE_EOD</v>
          </cell>
          <cell r="C954">
            <v>53175</v>
          </cell>
          <cell r="E954">
            <v>7.9175349228863698E-2</v>
          </cell>
        </row>
        <row r="955">
          <cell r="A955" t="str">
            <v>MXN_USDMXNBASIS_EOD</v>
          </cell>
          <cell r="C955">
            <v>42257</v>
          </cell>
          <cell r="E955">
            <v>2.9233229981442201E-2</v>
          </cell>
        </row>
        <row r="956">
          <cell r="A956" t="str">
            <v>MXN_USDMXNBASIS_EOD</v>
          </cell>
          <cell r="C956">
            <v>42286</v>
          </cell>
          <cell r="E956">
            <v>2.9212607562378801E-2</v>
          </cell>
        </row>
        <row r="957">
          <cell r="A957" t="str">
            <v>MXN_USDMXNBASIS_EOD</v>
          </cell>
          <cell r="C957">
            <v>42317</v>
          </cell>
          <cell r="E957">
            <v>2.9764666801424901E-2</v>
          </cell>
        </row>
        <row r="958">
          <cell r="A958" t="str">
            <v>MXN_USDMXNBASIS_EOD</v>
          </cell>
          <cell r="C958">
            <v>42347</v>
          </cell>
          <cell r="E958">
            <v>2.9543562108838801E-2</v>
          </cell>
        </row>
        <row r="959">
          <cell r="A959" t="str">
            <v>MXN_USDMXNBASIS_EOD</v>
          </cell>
          <cell r="C959">
            <v>42438</v>
          </cell>
          <cell r="E959">
            <v>3.1376813687575798E-2</v>
          </cell>
        </row>
        <row r="960">
          <cell r="A960" t="str">
            <v>MXN_USDMXNBASIS_EOD</v>
          </cell>
          <cell r="C960">
            <v>42530</v>
          </cell>
          <cell r="E960">
            <v>3.2794993304687201E-2</v>
          </cell>
        </row>
        <row r="961">
          <cell r="A961" t="str">
            <v>MXN_USDMXNBASIS_EOD</v>
          </cell>
          <cell r="C961">
            <v>42622</v>
          </cell>
          <cell r="E961">
            <v>3.4070573957460201E-2</v>
          </cell>
        </row>
        <row r="962">
          <cell r="A962" t="str">
            <v>MXN_USDMXNBASIS_EOD</v>
          </cell>
          <cell r="C962">
            <v>42803</v>
          </cell>
          <cell r="E962">
            <v>3.6639293877653203E-2</v>
          </cell>
        </row>
        <row r="963">
          <cell r="A963" t="str">
            <v>MXN_USDMXNBASIS_EOD</v>
          </cell>
          <cell r="C963">
            <v>42984</v>
          </cell>
          <cell r="E963">
            <v>3.8085163234619399E-2</v>
          </cell>
        </row>
        <row r="964">
          <cell r="A964" t="str">
            <v>MXN_USDMXNBASIS_EOD</v>
          </cell>
          <cell r="C964">
            <v>43348</v>
          </cell>
          <cell r="E964">
            <v>4.1317983113996502E-2</v>
          </cell>
        </row>
        <row r="965">
          <cell r="A965" t="str">
            <v>MXN_USDMXNBASIS_EOD</v>
          </cell>
          <cell r="C965">
            <v>43712</v>
          </cell>
          <cell r="E965">
            <v>4.39819073297281E-2</v>
          </cell>
        </row>
        <row r="966">
          <cell r="A966" t="str">
            <v>MXN_USDMXNBASIS_EOD</v>
          </cell>
          <cell r="C966">
            <v>44076</v>
          </cell>
          <cell r="E966">
            <v>4.5833007814681498E-2</v>
          </cell>
        </row>
        <row r="967">
          <cell r="A967" t="str">
            <v>MXN_USDMXNBASIS_EOD</v>
          </cell>
          <cell r="C967">
            <v>44804</v>
          </cell>
          <cell r="E967">
            <v>4.96498059867298E-2</v>
          </cell>
        </row>
        <row r="968">
          <cell r="A968" t="str">
            <v>MXN_USDMXNBASIS_EOD</v>
          </cell>
          <cell r="C968">
            <v>45896</v>
          </cell>
          <cell r="E968">
            <v>5.3781298444605503E-2</v>
          </cell>
        </row>
        <row r="969">
          <cell r="A969" t="str">
            <v>MXN_USDMXNBASIS_EOD</v>
          </cell>
          <cell r="C969">
            <v>47716</v>
          </cell>
          <cell r="E969">
            <v>5.8503087466144597E-2</v>
          </cell>
        </row>
        <row r="970">
          <cell r="A970" t="str">
            <v>MXN_USDMXNBASIS_EOD</v>
          </cell>
          <cell r="C970">
            <v>49536</v>
          </cell>
          <cell r="E970">
            <v>6.0224839785613903E-2</v>
          </cell>
        </row>
        <row r="971">
          <cell r="A971" t="str">
            <v>MXN_USDMXNBASIS_EOD</v>
          </cell>
          <cell r="C971">
            <v>53176</v>
          </cell>
          <cell r="E971">
            <v>5.9630732350696103E-2</v>
          </cell>
        </row>
        <row r="972">
          <cell r="A972" t="str">
            <v>NOK_NIBOR_3M_EOD</v>
          </cell>
          <cell r="C972">
            <v>42347</v>
          </cell>
          <cell r="E972">
            <v>1.1743901648536699E-2</v>
          </cell>
        </row>
        <row r="973">
          <cell r="A973" t="str">
            <v>NOK_NIBOR_3M_EOD</v>
          </cell>
          <cell r="C973">
            <v>42445</v>
          </cell>
          <cell r="E973">
            <v>1.08180259991502E-2</v>
          </cell>
        </row>
        <row r="974">
          <cell r="A974" t="str">
            <v>NOK_NIBOR_3M_EOD</v>
          </cell>
          <cell r="C974">
            <v>42536</v>
          </cell>
          <cell r="E974">
            <v>1.01540934733598E-2</v>
          </cell>
        </row>
        <row r="975">
          <cell r="A975" t="str">
            <v>NOK_NIBOR_3M_EOD</v>
          </cell>
          <cell r="C975">
            <v>42634</v>
          </cell>
          <cell r="E975">
            <v>9.7423462326470898E-3</v>
          </cell>
        </row>
        <row r="976">
          <cell r="A976" t="str">
            <v>NOK_NIBOR_3M_EOD</v>
          </cell>
          <cell r="C976">
            <v>42725</v>
          </cell>
          <cell r="E976">
            <v>9.5135668352444892E-3</v>
          </cell>
        </row>
        <row r="977">
          <cell r="A977" t="str">
            <v>NOK_NIBOR_3M_EOD</v>
          </cell>
          <cell r="C977">
            <v>42989</v>
          </cell>
          <cell r="E977">
            <v>9.3888867468700701E-3</v>
          </cell>
        </row>
        <row r="978">
          <cell r="A978" t="str">
            <v>NOK_NIBOR_3M_EOD</v>
          </cell>
          <cell r="C978">
            <v>43353</v>
          </cell>
          <cell r="E978">
            <v>1.0276650670042501E-2</v>
          </cell>
        </row>
        <row r="979">
          <cell r="A979" t="str">
            <v>NOK_NIBOR_3M_EOD</v>
          </cell>
          <cell r="C979">
            <v>43717</v>
          </cell>
          <cell r="E979">
            <v>1.1611624288743801E-2</v>
          </cell>
        </row>
        <row r="980">
          <cell r="A980" t="str">
            <v>NOK_NIBOR_3M_EOD</v>
          </cell>
          <cell r="C980">
            <v>44083</v>
          </cell>
          <cell r="E980">
            <v>1.31869707183082E-2</v>
          </cell>
        </row>
        <row r="981">
          <cell r="A981" t="str">
            <v>NOK_NIBOR_3M_EOD</v>
          </cell>
          <cell r="C981">
            <v>44448</v>
          </cell>
          <cell r="E981">
            <v>1.4778022021757599E-2</v>
          </cell>
        </row>
        <row r="982">
          <cell r="A982" t="str">
            <v>NOK_NIBOR_3M_EOD</v>
          </cell>
          <cell r="C982">
            <v>44813</v>
          </cell>
          <cell r="E982">
            <v>1.62667241007779E-2</v>
          </cell>
        </row>
        <row r="983">
          <cell r="A983" t="str">
            <v>NOK_NIBOR_3M_EOD</v>
          </cell>
          <cell r="C983">
            <v>45180</v>
          </cell>
          <cell r="E983">
            <v>1.75690548423473E-2</v>
          </cell>
        </row>
        <row r="984">
          <cell r="A984" t="str">
            <v>NOK_NIBOR_3M_EOD</v>
          </cell>
          <cell r="C984">
            <v>45544</v>
          </cell>
          <cell r="E984">
            <v>1.8686744845705001E-2</v>
          </cell>
        </row>
        <row r="985">
          <cell r="A985" t="str">
            <v>NOK_NIBOR_3M_EOD</v>
          </cell>
          <cell r="C985">
            <v>45909</v>
          </cell>
          <cell r="E985">
            <v>1.9628443643224299E-2</v>
          </cell>
        </row>
        <row r="986">
          <cell r="A986" t="str">
            <v>NOK_NIBOR_3M_EOD</v>
          </cell>
          <cell r="C986">
            <v>46639</v>
          </cell>
          <cell r="E986">
            <v>2.0831514274776902E-2</v>
          </cell>
        </row>
        <row r="987">
          <cell r="A987" t="str">
            <v>NOK_NIBOR_3M_EOD</v>
          </cell>
          <cell r="C987">
            <v>47735</v>
          </cell>
          <cell r="E987">
            <v>2.1558311130060199E-2</v>
          </cell>
        </row>
        <row r="988">
          <cell r="A988" t="str">
            <v>NOK_NIBOR_3M_EOD</v>
          </cell>
          <cell r="C988">
            <v>49562</v>
          </cell>
          <cell r="E988">
            <v>2.2383365997022401E-2</v>
          </cell>
        </row>
        <row r="989">
          <cell r="A989" t="str">
            <v>NOK_NIBOR_3M_EOD</v>
          </cell>
          <cell r="C989">
            <v>51389</v>
          </cell>
          <cell r="E989">
            <v>2.24681478500449E-2</v>
          </cell>
        </row>
        <row r="990">
          <cell r="A990" t="str">
            <v>NOK_NIBOR_3M_EOD</v>
          </cell>
          <cell r="C990">
            <v>53216</v>
          </cell>
          <cell r="E990">
            <v>2.2325886345825802E-2</v>
          </cell>
        </row>
        <row r="991">
          <cell r="A991" t="str">
            <v>NOK_NIBOR_6M_EOD</v>
          </cell>
          <cell r="C991">
            <v>42438</v>
          </cell>
          <cell r="E991">
            <v>1.1928344558042999E-2</v>
          </cell>
        </row>
        <row r="992">
          <cell r="A992" t="str">
            <v>NOK_NIBOR_6M_EOD</v>
          </cell>
          <cell r="C992">
            <v>42622</v>
          </cell>
          <cell r="E992">
            <v>1.05243244868989E-2</v>
          </cell>
        </row>
        <row r="993">
          <cell r="A993" t="str">
            <v>NOK_NIBOR_6M_EOD</v>
          </cell>
          <cell r="C993">
            <v>42989</v>
          </cell>
          <cell r="E993">
            <v>1.015552071245E-2</v>
          </cell>
        </row>
        <row r="994">
          <cell r="A994" t="str">
            <v>NOK_NIBOR_6M_EOD</v>
          </cell>
          <cell r="C994">
            <v>43353</v>
          </cell>
          <cell r="E994">
            <v>1.09800088450748E-2</v>
          </cell>
        </row>
        <row r="995">
          <cell r="A995" t="str">
            <v>NOK_NIBOR_6M_EOD</v>
          </cell>
          <cell r="C995">
            <v>43717</v>
          </cell>
          <cell r="E995">
            <v>1.2283921629946799E-2</v>
          </cell>
        </row>
        <row r="996">
          <cell r="A996" t="str">
            <v>NOK_NIBOR_6M_EOD</v>
          </cell>
          <cell r="C996">
            <v>44083</v>
          </cell>
          <cell r="E996">
            <v>1.38485230033956E-2</v>
          </cell>
        </row>
        <row r="997">
          <cell r="A997" t="str">
            <v>NOK_NIBOR_6M_EOD</v>
          </cell>
          <cell r="C997">
            <v>44448</v>
          </cell>
          <cell r="E997">
            <v>1.5439339869434601E-2</v>
          </cell>
        </row>
        <row r="998">
          <cell r="A998" t="str">
            <v>NOK_NIBOR_6M_EOD</v>
          </cell>
          <cell r="C998">
            <v>44813</v>
          </cell>
          <cell r="E998">
            <v>1.69277305295975E-2</v>
          </cell>
        </row>
        <row r="999">
          <cell r="A999" t="str">
            <v>NOK_NIBOR_6M_EOD</v>
          </cell>
          <cell r="C999">
            <v>45180</v>
          </cell>
          <cell r="E999">
            <v>1.82297529265542E-2</v>
          </cell>
        </row>
        <row r="1000">
          <cell r="A1000" t="str">
            <v>NOK_NIBOR_6M_EOD</v>
          </cell>
          <cell r="C1000">
            <v>45544</v>
          </cell>
          <cell r="E1000">
            <v>1.9341810961641299E-2</v>
          </cell>
        </row>
      </sheetData>
      <sheetData sheetId="12">
        <row r="2">
          <cell r="A2" t="str">
            <v>AUD_AONIA_EOD</v>
          </cell>
          <cell r="F2">
            <v>0.99994520848172697</v>
          </cell>
        </row>
        <row r="3">
          <cell r="A3" t="str">
            <v>AUD_AONIA_EOD</v>
          </cell>
          <cell r="F3">
            <v>0.99956181490888496</v>
          </cell>
        </row>
        <row r="4">
          <cell r="A4" t="str">
            <v>AUD_AONIA_EOD</v>
          </cell>
          <cell r="F4">
            <v>0.99830743726683602</v>
          </cell>
        </row>
        <row r="5">
          <cell r="A5" t="str">
            <v>AUD_AONIA_EOD</v>
          </cell>
          <cell r="F5">
            <v>0.99661075640427099</v>
          </cell>
        </row>
        <row r="6">
          <cell r="A6" t="str">
            <v>AUD_AONIA_EOD</v>
          </cell>
          <cell r="F6">
            <v>0.99514002446699301</v>
          </cell>
        </row>
        <row r="7">
          <cell r="A7" t="str">
            <v>AUD_AONIA_EOD</v>
          </cell>
          <cell r="F7">
            <v>0.993607719834395</v>
          </cell>
        </row>
        <row r="8">
          <cell r="A8" t="str">
            <v>AUD_AONIA_EOD</v>
          </cell>
          <cell r="F8">
            <v>0.99207788139041997</v>
          </cell>
        </row>
        <row r="9">
          <cell r="A9" t="str">
            <v>AUD_AONIA_EOD</v>
          </cell>
          <cell r="F9">
            <v>0.99070502485660505</v>
          </cell>
        </row>
        <row r="10">
          <cell r="A10" t="str">
            <v>AUD_AONIA_EOD</v>
          </cell>
          <cell r="F10">
            <v>0.98650415691257098</v>
          </cell>
        </row>
        <row r="11">
          <cell r="A11" t="str">
            <v>AUD_AONIA_EOD</v>
          </cell>
          <cell r="F11">
            <v>0.98235877938606297</v>
          </cell>
        </row>
        <row r="12">
          <cell r="A12" t="str">
            <v>AUD_AONIA_EOD</v>
          </cell>
          <cell r="F12">
            <v>0.97407775972008603</v>
          </cell>
        </row>
        <row r="13">
          <cell r="A13" t="str">
            <v>AUD_AONIA_EOD</v>
          </cell>
          <cell r="F13">
            <v>0.96522662470814702</v>
          </cell>
        </row>
        <row r="14">
          <cell r="A14" t="str">
            <v>AUD_AONIA_EOD</v>
          </cell>
          <cell r="F14">
            <v>0.945510463316105</v>
          </cell>
        </row>
        <row r="15">
          <cell r="A15" t="str">
            <v>AUD_AONIA_EOD</v>
          </cell>
          <cell r="F15">
            <v>0.92321956112268999</v>
          </cell>
        </row>
        <row r="16">
          <cell r="A16" t="str">
            <v>AUD_AONIA_EOD</v>
          </cell>
          <cell r="F16">
            <v>0.89831988737671298</v>
          </cell>
        </row>
        <row r="17">
          <cell r="A17" t="str">
            <v>AUD_AONIA_EOD</v>
          </cell>
          <cell r="F17">
            <v>0.84288161340121004</v>
          </cell>
        </row>
        <row r="18">
          <cell r="A18" t="str">
            <v>AUD_AONIA_EOD</v>
          </cell>
          <cell r="F18">
            <v>0.75857145762266798</v>
          </cell>
        </row>
        <row r="19">
          <cell r="A19" t="str">
            <v>AUD_AONIA_EOD</v>
          </cell>
          <cell r="F19">
            <v>0.70458856033897599</v>
          </cell>
        </row>
        <row r="20">
          <cell r="A20" t="str">
            <v>AUD_AONIA_EOD</v>
          </cell>
          <cell r="F20">
            <v>0.62951104986626105</v>
          </cell>
        </row>
        <row r="21">
          <cell r="A21" t="str">
            <v>AUD_AONIA_EOD</v>
          </cell>
          <cell r="F21">
            <v>0.52249191888557101</v>
          </cell>
        </row>
        <row r="22">
          <cell r="A22" t="str">
            <v>AUD_AONIA_EOD</v>
          </cell>
          <cell r="F22">
            <v>0.44150970406508999</v>
          </cell>
        </row>
        <row r="23">
          <cell r="A23" t="str">
            <v>AUD_AONIA_EOD</v>
          </cell>
          <cell r="F23">
            <v>0.37853643751156402</v>
          </cell>
        </row>
        <row r="24">
          <cell r="A24" t="str">
            <v>AUD_AONIA_EOD</v>
          </cell>
          <cell r="F24">
            <v>0.28731235646192099</v>
          </cell>
        </row>
        <row r="25">
          <cell r="A25" t="str">
            <v>AUD_BBSW_3M_EOD</v>
          </cell>
          <cell r="F25">
            <v>0.99465597234365899</v>
          </cell>
        </row>
        <row r="26">
          <cell r="A26" t="str">
            <v>AUD_BBSW_3M_EOD</v>
          </cell>
          <cell r="F26">
            <v>0.98958477458981198</v>
          </cell>
        </row>
        <row r="27">
          <cell r="A27" t="str">
            <v>AUD_BBSW_3M_EOD</v>
          </cell>
          <cell r="F27">
            <v>0.98495063494685198</v>
          </cell>
        </row>
        <row r="28">
          <cell r="A28" t="str">
            <v>AUD_BBSW_3M_EOD</v>
          </cell>
          <cell r="F28">
            <v>0.98041726926718697</v>
          </cell>
        </row>
        <row r="29">
          <cell r="A29" t="str">
            <v>AUD_BBSW_3M_EOD</v>
          </cell>
          <cell r="F29">
            <v>0.97588805747476104</v>
          </cell>
        </row>
        <row r="30">
          <cell r="A30" t="str">
            <v>AUD_BBSW_3M_EOD</v>
          </cell>
          <cell r="F30">
            <v>0.97126816509462599</v>
          </cell>
        </row>
        <row r="31">
          <cell r="A31" t="str">
            <v>AUD_BBSW_3M_EOD</v>
          </cell>
          <cell r="F31">
            <v>0.96653655033433505</v>
          </cell>
        </row>
        <row r="32">
          <cell r="A32" t="str">
            <v>AUD_BBSW_3M_EOD</v>
          </cell>
          <cell r="F32">
            <v>0.96140859459377503</v>
          </cell>
        </row>
        <row r="33">
          <cell r="A33" t="str">
            <v>AUD_BBSW_3M_EOD</v>
          </cell>
          <cell r="F33">
            <v>0.93988176260525202</v>
          </cell>
        </row>
        <row r="34">
          <cell r="A34" t="str">
            <v>AUD_BBSW_3M_EOD</v>
          </cell>
          <cell r="F34">
            <v>0.91560822919900298</v>
          </cell>
        </row>
        <row r="35">
          <cell r="A35" t="str">
            <v>AUD_BBSW_3M_EOD</v>
          </cell>
          <cell r="F35">
            <v>0.88890461553635103</v>
          </cell>
        </row>
        <row r="36">
          <cell r="A36" t="str">
            <v>AUD_BBSW_3M_EOD</v>
          </cell>
          <cell r="F36">
            <v>0.83054283188060796</v>
          </cell>
        </row>
        <row r="37">
          <cell r="A37" t="str">
            <v>AUD_BBSW_3M_EOD</v>
          </cell>
          <cell r="F37">
            <v>0.74269411944772001</v>
          </cell>
        </row>
        <row r="38">
          <cell r="A38" t="str">
            <v>AUD_BBSW_3M_EOD</v>
          </cell>
          <cell r="F38">
            <v>0.68675720718852795</v>
          </cell>
        </row>
        <row r="39">
          <cell r="A39" t="str">
            <v>AUD_BBSW_3M_EOD</v>
          </cell>
          <cell r="F39">
            <v>0.60961384665769303</v>
          </cell>
        </row>
        <row r="40">
          <cell r="A40" t="str">
            <v>AUD_BBSW_3M_EOD</v>
          </cell>
          <cell r="F40">
            <v>0.50040978814491099</v>
          </cell>
        </row>
        <row r="41">
          <cell r="A41" t="str">
            <v>AUD_BBSW_3M_EOD</v>
          </cell>
          <cell r="F41">
            <v>0.41794006697103703</v>
          </cell>
        </row>
        <row r="42">
          <cell r="A42" t="str">
            <v>AUD_BBSW_3M_EOD</v>
          </cell>
          <cell r="F42">
            <v>0.35480477805021998</v>
          </cell>
        </row>
        <row r="43">
          <cell r="A43" t="str">
            <v>AUD_BBSW_3M_EOD</v>
          </cell>
          <cell r="F43">
            <v>0.26352326765060402</v>
          </cell>
        </row>
        <row r="44">
          <cell r="A44" t="str">
            <v>AUD_BBSW_6M_EOD</v>
          </cell>
          <cell r="F44">
            <v>0.98907599436687299</v>
          </cell>
        </row>
        <row r="45">
          <cell r="A45" t="str">
            <v>AUD_BBSW_6M_EOD</v>
          </cell>
          <cell r="F45">
            <v>0.979194454179655</v>
          </cell>
        </row>
        <row r="46">
          <cell r="A46" t="str">
            <v>AUD_BBSW_6M_EOD</v>
          </cell>
          <cell r="F46">
            <v>0.95914889307811302</v>
          </cell>
        </row>
        <row r="47">
          <cell r="A47" t="str">
            <v>AUD_BBSW_6M_EOD</v>
          </cell>
          <cell r="F47">
            <v>0.93683276425477402</v>
          </cell>
        </row>
        <row r="48">
          <cell r="A48" t="str">
            <v>AUD_BBSW_6M_EOD</v>
          </cell>
          <cell r="F48">
            <v>0.91199960651904599</v>
          </cell>
        </row>
        <row r="49">
          <cell r="A49" t="str">
            <v>AUD_BBSW_6M_EOD</v>
          </cell>
          <cell r="F49">
            <v>0.88480069095963298</v>
          </cell>
        </row>
        <row r="50">
          <cell r="A50" t="str">
            <v>AUD_BBSW_6M_EOD</v>
          </cell>
          <cell r="F50">
            <v>0.82597174469849299</v>
          </cell>
        </row>
        <row r="51">
          <cell r="A51" t="str">
            <v>AUD_BBSW_6M_EOD</v>
          </cell>
          <cell r="F51">
            <v>0.73781820953257804</v>
          </cell>
        </row>
        <row r="52">
          <cell r="A52" t="str">
            <v>AUD_BBSW_6M_EOD</v>
          </cell>
          <cell r="F52">
            <v>0.68226021088407196</v>
          </cell>
        </row>
        <row r="53">
          <cell r="A53" t="str">
            <v>AUD_BBSW_6M_EOD</v>
          </cell>
          <cell r="F53">
            <v>0.605654499029874</v>
          </cell>
        </row>
        <row r="54">
          <cell r="A54" t="str">
            <v>AUD_BBSW_6M_EOD</v>
          </cell>
          <cell r="F54">
            <v>0.49708054724020101</v>
          </cell>
        </row>
        <row r="55">
          <cell r="A55" t="str">
            <v>AUD_BBSW_6M_EOD</v>
          </cell>
          <cell r="F55">
            <v>0.41549930307440802</v>
          </cell>
        </row>
        <row r="56">
          <cell r="A56" t="str">
            <v>AUD_BBSW_6M_EOD</v>
          </cell>
          <cell r="F56">
            <v>0.352973621298175</v>
          </cell>
        </row>
        <row r="57">
          <cell r="A57" t="str">
            <v>AUD_BBSW_6M_EOD</v>
          </cell>
          <cell r="F57">
            <v>0.26132594034811002</v>
          </cell>
        </row>
        <row r="58">
          <cell r="A58" t="str">
            <v>AUD_BBSW_EOD</v>
          </cell>
          <cell r="F58">
            <v>0.99994520848172697</v>
          </cell>
        </row>
        <row r="59">
          <cell r="A59" t="str">
            <v>AUD_BBSW_EOD</v>
          </cell>
          <cell r="F59">
            <v>0.99961440476378005</v>
          </cell>
        </row>
        <row r="60">
          <cell r="A60" t="str">
            <v>AUD_BBSW_EOD</v>
          </cell>
          <cell r="F60">
            <v>0.99831380695346095</v>
          </cell>
        </row>
        <row r="61">
          <cell r="A61" t="str">
            <v>AUD_BBSW_EOD</v>
          </cell>
          <cell r="F61">
            <v>0.99637986531946998</v>
          </cell>
        </row>
        <row r="62">
          <cell r="A62" t="str">
            <v>AUD_BBSW_EOD</v>
          </cell>
          <cell r="F62">
            <v>0.99465597234365899</v>
          </cell>
        </row>
        <row r="63">
          <cell r="A63" t="str">
            <v>AUD_BBSW_EOD</v>
          </cell>
          <cell r="F63">
            <v>0.989568600188098</v>
          </cell>
        </row>
        <row r="64">
          <cell r="A64" t="str">
            <v>AUD_BBSW_EOD</v>
          </cell>
          <cell r="F64">
            <v>0.98493453628838901</v>
          </cell>
        </row>
        <row r="65">
          <cell r="A65" t="str">
            <v>AUD_BBSW_EOD</v>
          </cell>
          <cell r="F65">
            <v>0.98040124470483803</v>
          </cell>
        </row>
        <row r="66">
          <cell r="A66" t="str">
            <v>AUD_BBSW_EOD</v>
          </cell>
          <cell r="F66">
            <v>0.97587210694079196</v>
          </cell>
        </row>
        <row r="67">
          <cell r="A67" t="str">
            <v>AUD_BBSW_EOD</v>
          </cell>
          <cell r="F67">
            <v>0.97125229007120695</v>
          </cell>
        </row>
        <row r="68">
          <cell r="A68" t="str">
            <v>AUD_BBSW_EOD</v>
          </cell>
          <cell r="F68">
            <v>0.966520752647406</v>
          </cell>
        </row>
        <row r="69">
          <cell r="A69" t="str">
            <v>AUD_BBSW_EOD</v>
          </cell>
          <cell r="F69">
            <v>0.96140913294194597</v>
          </cell>
        </row>
        <row r="70">
          <cell r="A70" t="str">
            <v>AUD_BBSW_EOD</v>
          </cell>
          <cell r="F70">
            <v>0.93987170024327504</v>
          </cell>
        </row>
        <row r="71">
          <cell r="A71" t="str">
            <v>AUD_BBSW_EOD</v>
          </cell>
          <cell r="F71">
            <v>0.91181609541470898</v>
          </cell>
        </row>
        <row r="72">
          <cell r="A72" t="str">
            <v>AUD_BBSW_EOD</v>
          </cell>
          <cell r="F72">
            <v>0.88457085511828104</v>
          </cell>
        </row>
        <row r="73">
          <cell r="A73" t="str">
            <v>AUD_BBSW_EOD</v>
          </cell>
          <cell r="F73">
            <v>0.82560069839796302</v>
          </cell>
        </row>
        <row r="74">
          <cell r="A74" t="str">
            <v>AUD_BBSW_EOD</v>
          </cell>
          <cell r="F74">
            <v>0.73722671079313495</v>
          </cell>
        </row>
        <row r="75">
          <cell r="A75" t="str">
            <v>AUD_BBSW_EOD</v>
          </cell>
          <cell r="F75">
            <v>0.68151901179066199</v>
          </cell>
        </row>
        <row r="76">
          <cell r="A76" t="str">
            <v>AUD_BBSW_EOD</v>
          </cell>
          <cell r="F76">
            <v>0.60472910940503</v>
          </cell>
        </row>
        <row r="77">
          <cell r="A77" t="str">
            <v>AUD_BBSW_EOD</v>
          </cell>
          <cell r="F77">
            <v>0.49594211620770001</v>
          </cell>
        </row>
        <row r="78">
          <cell r="A78" t="str">
            <v>AUD_BBSW_EOD</v>
          </cell>
          <cell r="F78">
            <v>0.41443513950826699</v>
          </cell>
        </row>
        <row r="79">
          <cell r="A79" t="str">
            <v>AUD_BBSW_EOD</v>
          </cell>
          <cell r="F79">
            <v>0.35216832870829801</v>
          </cell>
        </row>
        <row r="80">
          <cell r="A80" t="str">
            <v>AUD_BBSW_EOD</v>
          </cell>
          <cell r="F80">
            <v>0.26118761092734399</v>
          </cell>
        </row>
        <row r="81">
          <cell r="A81" t="str">
            <v>CAD_CDOR_1M_EOD</v>
          </cell>
          <cell r="F81">
            <v>0.99936341265713202</v>
          </cell>
        </row>
        <row r="82">
          <cell r="A82" t="str">
            <v>CAD_CDOR_1M_EOD</v>
          </cell>
          <cell r="F82">
            <v>0.99875626947977603</v>
          </cell>
        </row>
        <row r="83">
          <cell r="A83" t="str">
            <v>CAD_CDOR_1M_EOD</v>
          </cell>
          <cell r="F83">
            <v>0.99824190619497999</v>
          </cell>
        </row>
        <row r="84">
          <cell r="A84" t="str">
            <v>CAD_CDOR_1M_EOD</v>
          </cell>
          <cell r="F84">
            <v>0.99673364653584295</v>
          </cell>
        </row>
        <row r="85">
          <cell r="A85" t="str">
            <v>CAD_CDOR_1M_EOD</v>
          </cell>
          <cell r="F85">
            <v>0.99518686034578396</v>
          </cell>
        </row>
        <row r="86">
          <cell r="A86" t="str">
            <v>CAD_CDOR_1M_EOD</v>
          </cell>
          <cell r="F86">
            <v>0.99308904129679998</v>
          </cell>
        </row>
        <row r="87">
          <cell r="A87" t="str">
            <v>CAD_CDOR_1M_EOD</v>
          </cell>
          <cell r="F87">
            <v>0.98648100608508005</v>
          </cell>
        </row>
        <row r="88">
          <cell r="A88" t="str">
            <v>CAD_CDOR_1M_EOD</v>
          </cell>
          <cell r="F88">
            <v>0.97649399148534199</v>
          </cell>
        </row>
        <row r="89">
          <cell r="A89" t="str">
            <v>CAD_CDOR_1M_EOD</v>
          </cell>
          <cell r="F89">
            <v>0.96395543473170198</v>
          </cell>
        </row>
        <row r="90">
          <cell r="A90" t="str">
            <v>CAD_CDOR_1M_EOD</v>
          </cell>
          <cell r="F90">
            <v>0.94828591552689601</v>
          </cell>
        </row>
        <row r="91">
          <cell r="A91" t="str">
            <v>CAD_CDOR_1M_EOD</v>
          </cell>
          <cell r="F91">
            <v>0.92856948985714705</v>
          </cell>
        </row>
        <row r="92">
          <cell r="A92" t="str">
            <v>CAD_CDOR_1M_EOD</v>
          </cell>
          <cell r="F92">
            <v>0.90569620120849503</v>
          </cell>
        </row>
        <row r="93">
          <cell r="A93" t="str">
            <v>CAD_CDOR_1M_EOD</v>
          </cell>
          <cell r="F93">
            <v>0.88119989883129901</v>
          </cell>
        </row>
        <row r="94">
          <cell r="A94" t="str">
            <v>CAD_CDOR_1M_EOD</v>
          </cell>
          <cell r="F94">
            <v>0.85546998150783404</v>
          </cell>
        </row>
        <row r="95">
          <cell r="A95" t="str">
            <v>CAD_CDOR_1M_EOD</v>
          </cell>
          <cell r="F95">
            <v>0.82941742627745396</v>
          </cell>
        </row>
        <row r="96">
          <cell r="A96" t="str">
            <v>CAD_CDOR_1M_EOD</v>
          </cell>
          <cell r="F96">
            <v>0.77601050390394999</v>
          </cell>
        </row>
        <row r="97">
          <cell r="A97" t="str">
            <v>CAD_CDOR_1M_EOD</v>
          </cell>
          <cell r="F97">
            <v>0.70038771576534298</v>
          </cell>
        </row>
        <row r="98">
          <cell r="A98" t="str">
            <v>CAD_CDOR_1M_EOD</v>
          </cell>
          <cell r="F98">
            <v>0.60070220224243598</v>
          </cell>
        </row>
        <row r="99">
          <cell r="A99" t="str">
            <v>CAD_CDOR_1M_EOD</v>
          </cell>
          <cell r="F99">
            <v>0.52520557629189302</v>
          </cell>
        </row>
        <row r="100">
          <cell r="A100" t="str">
            <v>CAD_CDOR_1M_EOD</v>
          </cell>
          <cell r="F100">
            <v>0.458280586507118</v>
          </cell>
        </row>
        <row r="101">
          <cell r="A101" t="str">
            <v>CAD_CDOR_3M_EOD</v>
          </cell>
          <cell r="F101">
            <v>0.99811564771776395</v>
          </cell>
        </row>
        <row r="102">
          <cell r="A102" t="str">
            <v>CAD_CDOR_3M_EOD</v>
          </cell>
          <cell r="F102">
            <v>0.996394344935847</v>
          </cell>
        </row>
        <row r="103">
          <cell r="A103" t="str">
            <v>CAD_CDOR_3M_EOD</v>
          </cell>
          <cell r="F103">
            <v>0.99482114299162305</v>
          </cell>
        </row>
        <row r="104">
          <cell r="A104" t="str">
            <v>CAD_CDOR_3M_EOD</v>
          </cell>
          <cell r="F104">
            <v>0.99309136861460001</v>
          </cell>
        </row>
        <row r="105">
          <cell r="A105" t="str">
            <v>CAD_CDOR_3M_EOD</v>
          </cell>
          <cell r="F105">
            <v>0.99138591323126402</v>
          </cell>
        </row>
        <row r="106">
          <cell r="A106" t="str">
            <v>CAD_CDOR_3M_EOD</v>
          </cell>
          <cell r="F106">
            <v>0.98552372899363305</v>
          </cell>
        </row>
        <row r="107">
          <cell r="A107" t="str">
            <v>CAD_CDOR_3M_EOD</v>
          </cell>
          <cell r="F107">
            <v>0.97496746439320203</v>
          </cell>
        </row>
        <row r="108">
          <cell r="A108" t="str">
            <v>CAD_CDOR_3M_EOD</v>
          </cell>
          <cell r="F108">
            <v>0.96172034109790905</v>
          </cell>
        </row>
        <row r="109">
          <cell r="A109" t="str">
            <v>CAD_CDOR_3M_EOD</v>
          </cell>
          <cell r="F109">
            <v>0.94530127558836397</v>
          </cell>
        </row>
        <row r="110">
          <cell r="A110" t="str">
            <v>CAD_CDOR_3M_EOD</v>
          </cell>
          <cell r="F110">
            <v>0.92519723754458205</v>
          </cell>
        </row>
        <row r="111">
          <cell r="A111" t="str">
            <v>CAD_CDOR_3M_EOD</v>
          </cell>
          <cell r="F111">
            <v>0.90193191909755699</v>
          </cell>
        </row>
        <row r="112">
          <cell r="A112" t="str">
            <v>CAD_CDOR_3M_EOD</v>
          </cell>
          <cell r="F112">
            <v>0.87706328856313298</v>
          </cell>
        </row>
        <row r="113">
          <cell r="A113" t="str">
            <v>CAD_CDOR_3M_EOD</v>
          </cell>
          <cell r="F113">
            <v>0.85115967134875004</v>
          </cell>
        </row>
        <row r="114">
          <cell r="A114" t="str">
            <v>CAD_CDOR_3M_EOD</v>
          </cell>
          <cell r="F114">
            <v>0.82513078814178398</v>
          </cell>
        </row>
        <row r="115">
          <cell r="A115" t="str">
            <v>CAD_CDOR_3M_EOD</v>
          </cell>
          <cell r="F115">
            <v>0.77157678611608005</v>
          </cell>
        </row>
        <row r="116">
          <cell r="A116" t="str">
            <v>CAD_CDOR_3M_EOD</v>
          </cell>
          <cell r="F116">
            <v>0.69635755244877395</v>
          </cell>
        </row>
        <row r="117">
          <cell r="A117" t="str">
            <v>CAD_CDOR_3M_EOD</v>
          </cell>
          <cell r="F117">
            <v>0.59770810959712395</v>
          </cell>
        </row>
        <row r="118">
          <cell r="A118" t="str">
            <v>CAD_CDOR_3M_EOD</v>
          </cell>
          <cell r="F118">
            <v>0.52174503446481102</v>
          </cell>
        </row>
        <row r="119">
          <cell r="A119" t="str">
            <v>CAD_CDOR_3M_EOD</v>
          </cell>
          <cell r="F119">
            <v>0.45648097626624901</v>
          </cell>
        </row>
        <row r="120">
          <cell r="A120" t="str">
            <v>CAD_CDOR_EOD</v>
          </cell>
          <cell r="F120">
            <v>0.99998595910125898</v>
          </cell>
        </row>
        <row r="121">
          <cell r="A121" t="str">
            <v>CAD_CDOR_EOD</v>
          </cell>
          <cell r="F121">
            <v>0.99987826082992604</v>
          </cell>
        </row>
        <row r="122">
          <cell r="A122" t="str">
            <v>CAD_CDOR_EOD</v>
          </cell>
          <cell r="F122">
            <v>0.99936990915725799</v>
          </cell>
        </row>
        <row r="123">
          <cell r="A123" t="str">
            <v>CAD_CDOR_EOD</v>
          </cell>
          <cell r="F123">
            <v>0.99871701388931</v>
          </cell>
        </row>
        <row r="124">
          <cell r="A124" t="str">
            <v>CAD_CDOR_EOD</v>
          </cell>
          <cell r="F124">
            <v>0.99812209597961898</v>
          </cell>
        </row>
        <row r="125">
          <cell r="A125" t="str">
            <v>CAD_CDOR_EOD</v>
          </cell>
          <cell r="F125">
            <v>0.996388124576572</v>
          </cell>
        </row>
        <row r="126">
          <cell r="A126" t="str">
            <v>CAD_CDOR_EOD</v>
          </cell>
          <cell r="F126">
            <v>0.99481493245364006</v>
          </cell>
        </row>
        <row r="127">
          <cell r="A127" t="str">
            <v>CAD_CDOR_EOD</v>
          </cell>
          <cell r="F127">
            <v>0.99308516887537301</v>
          </cell>
        </row>
        <row r="128">
          <cell r="A128" t="str">
            <v>CAD_CDOR_EOD</v>
          </cell>
          <cell r="F128">
            <v>0.99137972413897102</v>
          </cell>
        </row>
        <row r="129">
          <cell r="A129" t="str">
            <v>CAD_CDOR_EOD</v>
          </cell>
          <cell r="F129">
            <v>0.98552847753843098</v>
          </cell>
        </row>
        <row r="130">
          <cell r="A130" t="str">
            <v>CAD_CDOR_EOD</v>
          </cell>
          <cell r="F130">
            <v>0.974962605284457</v>
          </cell>
        </row>
        <row r="131">
          <cell r="A131" t="str">
            <v>CAD_CDOR_EOD</v>
          </cell>
          <cell r="F131">
            <v>0.96168907956024596</v>
          </cell>
        </row>
        <row r="132">
          <cell r="A132" t="str">
            <v>CAD_CDOR_EOD</v>
          </cell>
          <cell r="F132">
            <v>0.94522708964888602</v>
          </cell>
        </row>
        <row r="133">
          <cell r="A133" t="str">
            <v>CAD_CDOR_EOD</v>
          </cell>
          <cell r="F133">
            <v>0.92505572495984201</v>
          </cell>
        </row>
        <row r="134">
          <cell r="A134" t="str">
            <v>CAD_CDOR_EOD</v>
          </cell>
          <cell r="F134">
            <v>0.90169459806372398</v>
          </cell>
        </row>
        <row r="135">
          <cell r="A135" t="str">
            <v>CAD_CDOR_EOD</v>
          </cell>
          <cell r="F135">
            <v>0.87670851162365704</v>
          </cell>
        </row>
        <row r="136">
          <cell r="A136" t="str">
            <v>CAD_CDOR_EOD</v>
          </cell>
          <cell r="F136">
            <v>0.85067013931263302</v>
          </cell>
        </row>
        <row r="137">
          <cell r="A137" t="str">
            <v>CAD_CDOR_EOD</v>
          </cell>
          <cell r="F137">
            <v>0.82450248825360695</v>
          </cell>
        </row>
        <row r="138">
          <cell r="A138" t="str">
            <v>CAD_CDOR_EOD</v>
          </cell>
          <cell r="F138">
            <v>0.77065421272499801</v>
          </cell>
        </row>
        <row r="139">
          <cell r="A139" t="str">
            <v>CAD_CDOR_EOD</v>
          </cell>
          <cell r="F139">
            <v>0.69502325811043997</v>
          </cell>
        </row>
        <row r="140">
          <cell r="A140" t="str">
            <v>CAD_CDOR_EOD</v>
          </cell>
          <cell r="F140">
            <v>0.596046073913712</v>
          </cell>
        </row>
        <row r="141">
          <cell r="A141" t="str">
            <v>CAD_CDOR_EOD</v>
          </cell>
          <cell r="F141">
            <v>0.52009889305407198</v>
          </cell>
        </row>
        <row r="142">
          <cell r="A142" t="str">
            <v>CAD_CDOR_EOD</v>
          </cell>
          <cell r="F142">
            <v>0.45488813289301</v>
          </cell>
        </row>
        <row r="143">
          <cell r="A143" t="str">
            <v>CAD_CORRA_EOD</v>
          </cell>
          <cell r="F143">
            <v>0.99998595910125898</v>
          </cell>
        </row>
        <row r="144">
          <cell r="A144" t="str">
            <v>CAD_CORRA_EOD</v>
          </cell>
          <cell r="F144">
            <v>0.999894872787505</v>
          </cell>
        </row>
        <row r="145">
          <cell r="A145" t="str">
            <v>CAD_CORRA_EOD</v>
          </cell>
          <cell r="F145">
            <v>0.99960145487039898</v>
          </cell>
        </row>
        <row r="146">
          <cell r="A146" t="str">
            <v>CAD_CORRA_EOD</v>
          </cell>
          <cell r="F146">
            <v>0.99921086347746302</v>
          </cell>
        </row>
        <row r="147">
          <cell r="A147" t="str">
            <v>CAD_CORRA_EOD</v>
          </cell>
          <cell r="F147">
            <v>0.99887609373333996</v>
          </cell>
        </row>
        <row r="148">
          <cell r="A148" t="str">
            <v>CAD_CORRA_EOD</v>
          </cell>
          <cell r="F148">
            <v>0.99854744891061198</v>
          </cell>
        </row>
        <row r="149">
          <cell r="A149" t="str">
            <v>CAD_CORRA_EOD</v>
          </cell>
          <cell r="F149">
            <v>0.99822644141774497</v>
          </cell>
        </row>
        <row r="150">
          <cell r="A150" t="str">
            <v>CAD_CORRA_EOD</v>
          </cell>
          <cell r="F150">
            <v>0.99793584344960895</v>
          </cell>
        </row>
        <row r="151">
          <cell r="A151" t="str">
            <v>CAD_CORRA_EOD</v>
          </cell>
          <cell r="F151">
            <v>0.99762814015576495</v>
          </cell>
        </row>
        <row r="152">
          <cell r="A152" t="str">
            <v>CAD_CORRA_EOD</v>
          </cell>
          <cell r="F152">
            <v>0.99732580427930295</v>
          </cell>
        </row>
        <row r="153">
          <cell r="A153" t="str">
            <v>CAD_CORRA_EOD</v>
          </cell>
          <cell r="F153">
            <v>0.99702956158208</v>
          </cell>
        </row>
        <row r="154">
          <cell r="A154" t="str">
            <v>CAD_CORRA_EOD</v>
          </cell>
          <cell r="F154">
            <v>0.99672347835042396</v>
          </cell>
        </row>
        <row r="155">
          <cell r="A155" t="str">
            <v>CAD_CORRA_EOD</v>
          </cell>
          <cell r="F155">
            <v>0.99640565519187396</v>
          </cell>
        </row>
        <row r="156">
          <cell r="A156" t="str">
            <v>CAD_CORRA_EOD</v>
          </cell>
          <cell r="F156">
            <v>0.99608558812832604</v>
          </cell>
        </row>
        <row r="157">
          <cell r="A157" t="str">
            <v>CAD_CORRA_EOD</v>
          </cell>
          <cell r="F157">
            <v>0.99385394364291502</v>
          </cell>
        </row>
        <row r="158">
          <cell r="A158" t="str">
            <v>CAD_CORRA_EOD</v>
          </cell>
          <cell r="F158">
            <v>0.99088209414327999</v>
          </cell>
        </row>
        <row r="159">
          <cell r="A159" t="str">
            <v>CAD_CORRA_EOD</v>
          </cell>
          <cell r="F159">
            <v>0.98294548370562596</v>
          </cell>
        </row>
        <row r="160">
          <cell r="A160" t="str">
            <v>CAD_CORRA_EOD</v>
          </cell>
          <cell r="F160">
            <v>0.97246133416758096</v>
          </cell>
        </row>
        <row r="161">
          <cell r="A161" t="str">
            <v>CAD_CORRA_EOD</v>
          </cell>
          <cell r="F161">
            <v>0.95866240372777001</v>
          </cell>
        </row>
        <row r="162">
          <cell r="A162" t="str">
            <v>CAD_CORRA_EOD</v>
          </cell>
          <cell r="F162">
            <v>0.91968404560579298</v>
          </cell>
        </row>
        <row r="163">
          <cell r="A163" t="str">
            <v>CAD_CORRA_EOD</v>
          </cell>
          <cell r="F163">
            <v>0.84838790976224898</v>
          </cell>
        </row>
        <row r="164">
          <cell r="A164" t="str">
            <v>CAD_CORRA_EOD</v>
          </cell>
          <cell r="F164">
            <v>0.79687592994656198</v>
          </cell>
        </row>
        <row r="165">
          <cell r="A165" t="str">
            <v>CAD_CORRA_EOD</v>
          </cell>
          <cell r="F165">
            <v>0.72556717988763897</v>
          </cell>
        </row>
        <row r="166">
          <cell r="A166" t="str">
            <v>CAD_CORRA_EOD</v>
          </cell>
          <cell r="F166">
            <v>0.63095879718730996</v>
          </cell>
        </row>
        <row r="167">
          <cell r="A167" t="str">
            <v>CAD_CORRA_EOD</v>
          </cell>
          <cell r="F167">
            <v>0.49472070376409999</v>
          </cell>
        </row>
        <row r="168">
          <cell r="A168" t="str">
            <v>CHF_LIBOR_12M_EOD</v>
          </cell>
          <cell r="F168">
            <v>1.0057676521782799</v>
          </cell>
        </row>
        <row r="169">
          <cell r="A169" t="str">
            <v>CHF_LIBOR_12M_EOD</v>
          </cell>
          <cell r="F169">
            <v>1.01065249833695</v>
          </cell>
        </row>
        <row r="170">
          <cell r="A170" t="str">
            <v>CHF_LIBOR_12M_EOD</v>
          </cell>
          <cell r="F170">
            <v>1.0136555396442</v>
          </cell>
        </row>
        <row r="171">
          <cell r="A171" t="str">
            <v>CHF_LIBOR_12M_EOD</v>
          </cell>
          <cell r="F171">
            <v>1.01421711069086</v>
          </cell>
        </row>
        <row r="172">
          <cell r="A172" t="str">
            <v>CHF_LIBOR_12M_EOD</v>
          </cell>
          <cell r="F172">
            <v>1.0115298250100799</v>
          </cell>
        </row>
        <row r="173">
          <cell r="A173" t="str">
            <v>CHF_LIBOR_12M_EOD</v>
          </cell>
          <cell r="F173">
            <v>1.00526559185164</v>
          </cell>
        </row>
        <row r="174">
          <cell r="A174" t="str">
            <v>CHF_LIBOR_12M_EOD</v>
          </cell>
          <cell r="F174">
            <v>0.99680419427614597</v>
          </cell>
        </row>
        <row r="175">
          <cell r="A175" t="str">
            <v>CHF_LIBOR_12M_EOD</v>
          </cell>
          <cell r="F175">
            <v>0.98714334377189705</v>
          </cell>
        </row>
        <row r="176">
          <cell r="A176" t="str">
            <v>CHF_LIBOR_12M_EOD</v>
          </cell>
          <cell r="F176">
            <v>0.976615274088241</v>
          </cell>
        </row>
        <row r="177">
          <cell r="A177" t="str">
            <v>CHF_LIBOR_12M_EOD</v>
          </cell>
          <cell r="F177">
            <v>0.96588904109241303</v>
          </cell>
        </row>
        <row r="178">
          <cell r="A178" t="str">
            <v>CHF_LIBOR_12M_EOD</v>
          </cell>
          <cell r="F178">
            <v>0.942649310139406</v>
          </cell>
        </row>
        <row r="179">
          <cell r="A179" t="str">
            <v>CHF_LIBOR_12M_EOD</v>
          </cell>
          <cell r="F179">
            <v>0.90803021055914401</v>
          </cell>
        </row>
        <row r="180">
          <cell r="A180" t="str">
            <v>CHF_LIBOR_12M_EOD</v>
          </cell>
          <cell r="F180">
            <v>0.85428831422586504</v>
          </cell>
        </row>
        <row r="181">
          <cell r="A181" t="str">
            <v>CHF_LIBOR_12M_EOD</v>
          </cell>
          <cell r="F181">
            <v>0.80756793923569303</v>
          </cell>
        </row>
        <row r="182">
          <cell r="A182" t="str">
            <v>CHF_LIBOR_12M_EOD</v>
          </cell>
          <cell r="F182">
            <v>0.76988753925345899</v>
          </cell>
        </row>
        <row r="183">
          <cell r="A183" t="str">
            <v>CHF_LIBOR_12M_EOD</v>
          </cell>
          <cell r="F183">
            <v>0.68806329382966702</v>
          </cell>
        </row>
        <row r="184">
          <cell r="A184" t="str">
            <v>CHF_LIBOR_3M_EOD</v>
          </cell>
          <cell r="F184">
            <v>1.00188676501948</v>
          </cell>
        </row>
        <row r="185">
          <cell r="A185" t="str">
            <v>CHF_LIBOR_3M_EOD</v>
          </cell>
          <cell r="F185">
            <v>1.0039630785449101</v>
          </cell>
        </row>
        <row r="186">
          <cell r="A186" t="str">
            <v>CHF_LIBOR_3M_EOD</v>
          </cell>
          <cell r="F186">
            <v>1.00594751036749</v>
          </cell>
        </row>
        <row r="187">
          <cell r="A187" t="str">
            <v>CHF_LIBOR_3M_EOD</v>
          </cell>
          <cell r="F187">
            <v>1.00809007752272</v>
          </cell>
        </row>
        <row r="188">
          <cell r="A188" t="str">
            <v>CHF_LIBOR_3M_EOD</v>
          </cell>
          <cell r="F188">
            <v>1.0100560393749201</v>
          </cell>
        </row>
        <row r="189">
          <cell r="A189" t="str">
            <v>CHF_LIBOR_3M_EOD</v>
          </cell>
          <cell r="F189">
            <v>1.0153035273948601</v>
          </cell>
        </row>
        <row r="190">
          <cell r="A190" t="str">
            <v>CHF_LIBOR_3M_EOD</v>
          </cell>
          <cell r="F190">
            <v>1.02109914560807</v>
          </cell>
        </row>
        <row r="191">
          <cell r="A191" t="str">
            <v>CHF_LIBOR_3M_EOD</v>
          </cell>
          <cell r="F191">
            <v>1.0244470152792</v>
          </cell>
        </row>
        <row r="192">
          <cell r="A192" t="str">
            <v>CHF_LIBOR_3M_EOD</v>
          </cell>
          <cell r="F192">
            <v>1.02454167938773</v>
          </cell>
        </row>
        <row r="193">
          <cell r="A193" t="str">
            <v>CHF_LIBOR_3M_EOD</v>
          </cell>
          <cell r="F193">
            <v>1.02093574072636</v>
          </cell>
        </row>
        <row r="194">
          <cell r="A194" t="str">
            <v>CHF_LIBOR_3M_EOD</v>
          </cell>
          <cell r="F194">
            <v>1.0149316013529199</v>
          </cell>
        </row>
        <row r="195">
          <cell r="A195" t="str">
            <v>CHF_LIBOR_3M_EOD</v>
          </cell>
          <cell r="F195">
            <v>1.00747529133419</v>
          </cell>
        </row>
        <row r="196">
          <cell r="A196" t="str">
            <v>CHF_LIBOR_3M_EOD</v>
          </cell>
          <cell r="F196">
            <v>0.99923649400338599</v>
          </cell>
        </row>
        <row r="197">
          <cell r="A197" t="str">
            <v>CHF_LIBOR_3M_EOD</v>
          </cell>
          <cell r="F197">
            <v>0.99025469692157098</v>
          </cell>
        </row>
        <row r="198">
          <cell r="A198" t="str">
            <v>CHF_LIBOR_3M_EOD</v>
          </cell>
          <cell r="F198">
            <v>0.97033085457105295</v>
          </cell>
        </row>
        <row r="199">
          <cell r="A199" t="str">
            <v>CHF_LIBOR_3M_EOD</v>
          </cell>
          <cell r="F199">
            <v>0.93887997966991499</v>
          </cell>
        </row>
        <row r="200">
          <cell r="A200" t="str">
            <v>CHF_LIBOR_3M_EOD</v>
          </cell>
          <cell r="F200">
            <v>0.88943057231391798</v>
          </cell>
        </row>
        <row r="201">
          <cell r="A201" t="str">
            <v>CHF_LIBOR_3M_EOD</v>
          </cell>
          <cell r="F201">
            <v>0.84703949152678704</v>
          </cell>
        </row>
        <row r="202">
          <cell r="A202" t="str">
            <v>CHF_LIBOR_3M_EOD</v>
          </cell>
          <cell r="F202">
            <v>0.81333875580525605</v>
          </cell>
        </row>
        <row r="203">
          <cell r="A203" t="str">
            <v>CHF_LIBOR_3M_EOD</v>
          </cell>
          <cell r="F203">
            <v>0.75989951242570497</v>
          </cell>
        </row>
        <row r="204">
          <cell r="A204" t="str">
            <v>CHF_LIBOR_6M_EOD</v>
          </cell>
          <cell r="F204">
            <v>1.0034464396310701</v>
          </cell>
        </row>
        <row r="205">
          <cell r="A205" t="str">
            <v>CHF_LIBOR_6M_EOD</v>
          </cell>
          <cell r="F205">
            <v>1.0069164415079099</v>
          </cell>
        </row>
        <row r="206">
          <cell r="A206" t="str">
            <v>CHF_LIBOR_6M_EOD</v>
          </cell>
          <cell r="F206">
            <v>1.01021610616625</v>
          </cell>
        </row>
        <row r="207">
          <cell r="A207" t="str">
            <v>CHF_LIBOR_6M_EOD</v>
          </cell>
          <cell r="F207">
            <v>1.0133612287878699</v>
          </cell>
        </row>
        <row r="208">
          <cell r="A208" t="str">
            <v>CHF_LIBOR_6M_EOD</v>
          </cell>
          <cell r="F208">
            <v>1.0177993513777399</v>
          </cell>
        </row>
        <row r="209">
          <cell r="A209" t="str">
            <v>CHF_LIBOR_6M_EOD</v>
          </cell>
          <cell r="F209">
            <v>1.01963613573324</v>
          </cell>
        </row>
        <row r="210">
          <cell r="A210" t="str">
            <v>CHF_LIBOR_6M_EOD</v>
          </cell>
          <cell r="F210">
            <v>1.01827982748813</v>
          </cell>
        </row>
        <row r="211">
          <cell r="A211" t="str">
            <v>CHF_LIBOR_6M_EOD</v>
          </cell>
          <cell r="F211">
            <v>1.0133064531949101</v>
          </cell>
        </row>
        <row r="212">
          <cell r="A212" t="str">
            <v>CHF_LIBOR_6M_EOD</v>
          </cell>
          <cell r="F212">
            <v>1.00591963101786</v>
          </cell>
        </row>
        <row r="213">
          <cell r="A213" t="str">
            <v>CHF_LIBOR_6M_EOD</v>
          </cell>
          <cell r="F213">
            <v>0.997258292955717</v>
          </cell>
        </row>
        <row r="214">
          <cell r="A214" t="str">
            <v>CHF_LIBOR_6M_EOD</v>
          </cell>
          <cell r="F214">
            <v>0.98808253810806301</v>
          </cell>
        </row>
        <row r="215">
          <cell r="A215" t="str">
            <v>CHF_LIBOR_6M_EOD</v>
          </cell>
          <cell r="F215">
            <v>0.97823556012452395</v>
          </cell>
        </row>
        <row r="216">
          <cell r="A216" t="str">
            <v>CHF_LIBOR_6M_EOD</v>
          </cell>
          <cell r="F216">
            <v>0.95740017083149598</v>
          </cell>
        </row>
        <row r="217">
          <cell r="A217" t="str">
            <v>CHF_LIBOR_6M_EOD</v>
          </cell>
          <cell r="F217">
            <v>0.92579344979855405</v>
          </cell>
        </row>
        <row r="218">
          <cell r="A218" t="str">
            <v>CHF_LIBOR_6M_EOD</v>
          </cell>
          <cell r="F218">
            <v>0.87661657964061701</v>
          </cell>
        </row>
        <row r="219">
          <cell r="A219" t="str">
            <v>CHF_LIBOR_6M_EOD</v>
          </cell>
          <cell r="F219">
            <v>0.83400604779785803</v>
          </cell>
        </row>
        <row r="220">
          <cell r="A220" t="str">
            <v>CHF_LIBOR_6M_EOD</v>
          </cell>
          <cell r="F220">
            <v>0.80023940291225704</v>
          </cell>
        </row>
        <row r="221">
          <cell r="A221" t="str">
            <v>CHF_LIBOR_6M_EOD</v>
          </cell>
          <cell r="F221">
            <v>0.74338923282432801</v>
          </cell>
        </row>
        <row r="222">
          <cell r="A222" t="str">
            <v>CHF_LIBOR_EOD</v>
          </cell>
          <cell r="F222">
            <v>1.00002166713612</v>
          </cell>
        </row>
        <row r="223">
          <cell r="A223" t="str">
            <v>CHF_LIBOR_EOD</v>
          </cell>
          <cell r="F223">
            <v>1.0000433347417099</v>
          </cell>
        </row>
        <row r="224">
          <cell r="A224" t="str">
            <v>CHF_LIBOR_EOD</v>
          </cell>
          <cell r="F224">
            <v>1.00020008832222</v>
          </cell>
        </row>
        <row r="225">
          <cell r="A225" t="str">
            <v>CHF_LIBOR_EOD</v>
          </cell>
          <cell r="F225">
            <v>1.00070296477932</v>
          </cell>
        </row>
        <row r="226">
          <cell r="A226" t="str">
            <v>CHF_LIBOR_EOD</v>
          </cell>
          <cell r="F226">
            <v>1.0013379256048001</v>
          </cell>
        </row>
        <row r="227">
          <cell r="A227" t="str">
            <v>CHF_LIBOR_EOD</v>
          </cell>
          <cell r="F227">
            <v>1.0018895667408201</v>
          </cell>
        </row>
        <row r="228">
          <cell r="A228" t="str">
            <v>CHF_LIBOR_EOD</v>
          </cell>
          <cell r="F228">
            <v>1.00395080701392</v>
          </cell>
        </row>
        <row r="229">
          <cell r="A229" t="str">
            <v>CHF_LIBOR_EOD</v>
          </cell>
          <cell r="F229">
            <v>1.00593521458061</v>
          </cell>
        </row>
        <row r="230">
          <cell r="A230" t="str">
            <v>CHF_LIBOR_EOD</v>
          </cell>
          <cell r="F230">
            <v>1.0080777555470499</v>
          </cell>
        </row>
        <row r="231">
          <cell r="A231" t="str">
            <v>CHF_LIBOR_EOD</v>
          </cell>
          <cell r="F231">
            <v>1.0100436933691099</v>
          </cell>
        </row>
        <row r="232">
          <cell r="A232" t="str">
            <v>CHF_LIBOR_EOD</v>
          </cell>
          <cell r="F232">
            <v>1.0133747085405</v>
          </cell>
        </row>
        <row r="233">
          <cell r="A233" t="str">
            <v>CHF_LIBOR_EOD</v>
          </cell>
          <cell r="F233">
            <v>1.01780741690359</v>
          </cell>
        </row>
        <row r="234">
          <cell r="A234" t="str">
            <v>CHF_LIBOR_EOD</v>
          </cell>
          <cell r="F234">
            <v>1.01963622039218</v>
          </cell>
        </row>
        <row r="235">
          <cell r="A235" t="str">
            <v>CHF_LIBOR_EOD</v>
          </cell>
          <cell r="F235">
            <v>1.0182629222052499</v>
          </cell>
        </row>
        <row r="236">
          <cell r="A236" t="str">
            <v>CHF_LIBOR_EOD</v>
          </cell>
          <cell r="F236">
            <v>1.0132588964588001</v>
          </cell>
        </row>
        <row r="237">
          <cell r="A237" t="str">
            <v>CHF_LIBOR_EOD</v>
          </cell>
          <cell r="F237">
            <v>1.0058265316596799</v>
          </cell>
        </row>
        <row r="238">
          <cell r="A238" t="str">
            <v>CHF_LIBOR_EOD</v>
          </cell>
          <cell r="F238">
            <v>0.99710759433710705</v>
          </cell>
        </row>
        <row r="239">
          <cell r="A239" t="str">
            <v>CHF_LIBOR_EOD</v>
          </cell>
          <cell r="F239">
            <v>0.98787482040733399</v>
          </cell>
        </row>
        <row r="240">
          <cell r="A240" t="str">
            <v>CHF_LIBOR_EOD</v>
          </cell>
          <cell r="F240">
            <v>0.97796395091128596</v>
          </cell>
        </row>
        <row r="241">
          <cell r="A241" t="str">
            <v>CHF_LIBOR_EOD</v>
          </cell>
          <cell r="F241">
            <v>0.95700243438341104</v>
          </cell>
        </row>
        <row r="242">
          <cell r="A242" t="str">
            <v>CHF_LIBOR_EOD</v>
          </cell>
          <cell r="F242">
            <v>0.92525094789142603</v>
          </cell>
        </row>
        <row r="243">
          <cell r="A243" t="str">
            <v>CHF_LIBOR_EOD</v>
          </cell>
          <cell r="F243">
            <v>0.87591642565433303</v>
          </cell>
        </row>
        <row r="244">
          <cell r="A244" t="str">
            <v>CHF_LIBOR_EOD</v>
          </cell>
          <cell r="F244">
            <v>0.83321658211483496</v>
          </cell>
        </row>
        <row r="245">
          <cell r="A245" t="str">
            <v>CHF_LIBOR_EOD</v>
          </cell>
          <cell r="F245">
            <v>0.79943311294428598</v>
          </cell>
        </row>
        <row r="246">
          <cell r="A246" t="str">
            <v>CHF_LIBOR_EOD</v>
          </cell>
          <cell r="F246">
            <v>0.742655479085778</v>
          </cell>
        </row>
        <row r="247">
          <cell r="A247" t="str">
            <v>CHF_TOIS_EOD</v>
          </cell>
          <cell r="F247">
            <v>1.0000147224389699</v>
          </cell>
        </row>
        <row r="248">
          <cell r="A248" t="str">
            <v>CHF_TOIS_EOD</v>
          </cell>
          <cell r="F248">
            <v>1.0000294450946901</v>
          </cell>
        </row>
        <row r="249">
          <cell r="A249" t="str">
            <v>CHF_TOIS_EOD</v>
          </cell>
          <cell r="F249">
            <v>1.0004766373083001</v>
          </cell>
        </row>
        <row r="250">
          <cell r="A250" t="str">
            <v>CHF_TOIS_EOD</v>
          </cell>
          <cell r="F250">
            <v>1.0009540810608299</v>
          </cell>
        </row>
        <row r="251">
          <cell r="A251" t="str">
            <v>CHF_TOIS_EOD</v>
          </cell>
          <cell r="F251">
            <v>1.00141409480016</v>
          </cell>
        </row>
        <row r="252">
          <cell r="A252" t="str">
            <v>CHF_TOIS_EOD</v>
          </cell>
          <cell r="F252">
            <v>1.00192754115877</v>
          </cell>
        </row>
        <row r="253">
          <cell r="A253" t="str">
            <v>CHF_TOIS_EOD</v>
          </cell>
          <cell r="F253">
            <v>1.00239063889402</v>
          </cell>
        </row>
        <row r="254">
          <cell r="A254" t="str">
            <v>CHF_TOIS_EOD</v>
          </cell>
          <cell r="F254">
            <v>1.00288838039358</v>
          </cell>
        </row>
        <row r="255">
          <cell r="A255" t="str">
            <v>CHF_TOIS_EOD</v>
          </cell>
          <cell r="F255">
            <v>1.0034413314450701</v>
          </cell>
        </row>
        <row r="256">
          <cell r="A256" t="str">
            <v>CHF_TOIS_EOD</v>
          </cell>
          <cell r="F256">
            <v>1.0039077918727699</v>
          </cell>
        </row>
        <row r="257">
          <cell r="A257" t="str">
            <v>CHF_TOIS_EOD</v>
          </cell>
          <cell r="F257">
            <v>1.0044511156346201</v>
          </cell>
        </row>
        <row r="258">
          <cell r="A258" t="str">
            <v>CHF_TOIS_EOD</v>
          </cell>
          <cell r="F258">
            <v>1.0049410946950099</v>
          </cell>
        </row>
        <row r="259">
          <cell r="A259" t="str">
            <v>CHF_TOIS_EOD</v>
          </cell>
          <cell r="F259">
            <v>1.00540437879558</v>
          </cell>
        </row>
        <row r="260">
          <cell r="A260" t="str">
            <v>CHF_TOIS_EOD</v>
          </cell>
          <cell r="F260">
            <v>1.0060384287933399</v>
          </cell>
        </row>
        <row r="261">
          <cell r="A261" t="str">
            <v>CHF_TOIS_EOD</v>
          </cell>
          <cell r="F261">
            <v>1.0075473858924799</v>
          </cell>
        </row>
        <row r="262">
          <cell r="A262" t="str">
            <v>CHF_TOIS_EOD</v>
          </cell>
          <cell r="F262">
            <v>1.0090261756707599</v>
          </cell>
        </row>
        <row r="263">
          <cell r="A263" t="str">
            <v>CHF_TOIS_EOD</v>
          </cell>
          <cell r="F263">
            <v>1.0104772668704001</v>
          </cell>
        </row>
        <row r="264">
          <cell r="A264" t="str">
            <v>CHF_TOIS_EOD</v>
          </cell>
          <cell r="F264">
            <v>1.0120484626691799</v>
          </cell>
        </row>
        <row r="265">
          <cell r="A265" t="str">
            <v>CHF_TOIS_EOD</v>
          </cell>
          <cell r="F265">
            <v>1.01650450922036</v>
          </cell>
        </row>
        <row r="266">
          <cell r="A266" t="str">
            <v>CHF_TOIS_EOD</v>
          </cell>
          <cell r="F266">
            <v>1.0191540109758399</v>
          </cell>
        </row>
        <row r="267">
          <cell r="A267" t="str">
            <v>CHF_TOIS_EOD</v>
          </cell>
          <cell r="F267">
            <v>1.02055368060518</v>
          </cell>
        </row>
        <row r="268">
          <cell r="A268" t="str">
            <v>CHF_TOIS_EOD</v>
          </cell>
          <cell r="F268">
            <v>1.0173386001142799</v>
          </cell>
        </row>
        <row r="269">
          <cell r="A269" t="str">
            <v>CHF_TOIS_EOD</v>
          </cell>
          <cell r="F269">
            <v>1.0122833577710599</v>
          </cell>
        </row>
        <row r="270">
          <cell r="A270" t="str">
            <v>CHF_TOIS_EOD</v>
          </cell>
          <cell r="F270">
            <v>1.0057929188461501</v>
          </cell>
        </row>
        <row r="271">
          <cell r="A271" t="str">
            <v>CHF_TOIS_EOD</v>
          </cell>
          <cell r="F271">
            <v>0.99748786622095698</v>
          </cell>
        </row>
        <row r="272">
          <cell r="A272" t="str">
            <v>CHF_TOIS_EOD</v>
          </cell>
          <cell r="F272">
            <v>0.99003969723181695</v>
          </cell>
        </row>
        <row r="273">
          <cell r="A273" t="str">
            <v>CHF_TOIS_EOD</v>
          </cell>
          <cell r="F273">
            <v>0.97008122074726599</v>
          </cell>
        </row>
        <row r="274">
          <cell r="A274" t="str">
            <v>CHF_TOIS_EOD</v>
          </cell>
          <cell r="F274">
            <v>0.93994539219629503</v>
          </cell>
        </row>
        <row r="275">
          <cell r="A275" t="str">
            <v>CHF_TOIS_EOD</v>
          </cell>
          <cell r="F275">
            <v>0.89148160239719398</v>
          </cell>
        </row>
        <row r="276">
          <cell r="A276" t="str">
            <v>CHF_TOIS_EOD</v>
          </cell>
          <cell r="F276">
            <v>0.85278454695680805</v>
          </cell>
        </row>
        <row r="277">
          <cell r="A277" t="str">
            <v>CHF_TOIS_EOD</v>
          </cell>
          <cell r="F277">
            <v>0.82131241517301301</v>
          </cell>
        </row>
        <row r="278">
          <cell r="A278" t="str">
            <v>CHF_TOIS_EOD</v>
          </cell>
          <cell r="F278">
            <v>0.77687678386732295</v>
          </cell>
        </row>
        <row r="279">
          <cell r="A279" t="str">
            <v>CZK_PRIBOR_3M_EOD</v>
          </cell>
          <cell r="F279">
            <v>0.99919980060422897</v>
          </cell>
        </row>
        <row r="280">
          <cell r="A280" t="str">
            <v>CZK_PRIBOR_3M_EOD</v>
          </cell>
          <cell r="F280">
            <v>0.99856876062355704</v>
          </cell>
        </row>
        <row r="281">
          <cell r="A281" t="str">
            <v>CZK_PRIBOR_3M_EOD</v>
          </cell>
          <cell r="F281">
            <v>0.99807138838168097</v>
          </cell>
        </row>
        <row r="282">
          <cell r="A282" t="str">
            <v>CZK_PRIBOR_3M_EOD</v>
          </cell>
          <cell r="F282">
            <v>0.99761885738331801</v>
          </cell>
        </row>
        <row r="283">
          <cell r="A283" t="str">
            <v>CZK_PRIBOR_3M_EOD</v>
          </cell>
          <cell r="F283">
            <v>0.99616673701423697</v>
          </cell>
        </row>
        <row r="284">
          <cell r="A284" t="str">
            <v>CZK_PRIBOR_3M_EOD</v>
          </cell>
          <cell r="F284">
            <v>0.99258104252686097</v>
          </cell>
        </row>
        <row r="285">
          <cell r="A285" t="str">
            <v>CZK_PRIBOR_3M_EOD</v>
          </cell>
          <cell r="F285">
            <v>0.98615278333934997</v>
          </cell>
        </row>
        <row r="286">
          <cell r="A286" t="str">
            <v>CZK_PRIBOR_3M_EOD</v>
          </cell>
          <cell r="F286">
            <v>0.97802807906198796</v>
          </cell>
        </row>
        <row r="287">
          <cell r="A287" t="str">
            <v>CZK_PRIBOR_3M_EOD</v>
          </cell>
          <cell r="F287">
            <v>0.96743990718516504</v>
          </cell>
        </row>
        <row r="288">
          <cell r="A288" t="str">
            <v>CZK_PRIBOR_3M_EOD</v>
          </cell>
          <cell r="F288">
            <v>0.95560435406928002</v>
          </cell>
        </row>
        <row r="289">
          <cell r="A289" t="str">
            <v>CZK_PRIBOR_3M_EOD</v>
          </cell>
          <cell r="F289">
            <v>0.94179270552621697</v>
          </cell>
        </row>
        <row r="290">
          <cell r="A290" t="str">
            <v>CZK_PRIBOR_3M_EOD</v>
          </cell>
          <cell r="F290">
            <v>0.92687544515326603</v>
          </cell>
        </row>
        <row r="291">
          <cell r="A291" t="str">
            <v>CZK_PRIBOR_3M_EOD</v>
          </cell>
          <cell r="F291">
            <v>0.909900074605693</v>
          </cell>
        </row>
        <row r="292">
          <cell r="A292" t="str">
            <v>CZK_PRIBOR_3M_EOD</v>
          </cell>
          <cell r="F292">
            <v>0.87699528520946601</v>
          </cell>
        </row>
        <row r="293">
          <cell r="A293" t="str">
            <v>CZK_PRIBOR_3M_EOD</v>
          </cell>
          <cell r="F293">
            <v>0.82529799635693701</v>
          </cell>
        </row>
        <row r="294">
          <cell r="A294" t="str">
            <v>CZK_PRIBOR_3M_EOD</v>
          </cell>
          <cell r="F294">
            <v>0.74587997884993196</v>
          </cell>
        </row>
        <row r="295">
          <cell r="A295" t="str">
            <v>CZK_PRIBOR_3M_EOD</v>
          </cell>
          <cell r="F295">
            <v>0.69422753147211602</v>
          </cell>
        </row>
        <row r="296">
          <cell r="A296" t="str">
            <v>CZK_PRIBOR_3M_EOD</v>
          </cell>
          <cell r="F296">
            <v>0.64469150881756498</v>
          </cell>
        </row>
        <row r="297">
          <cell r="A297" t="str">
            <v>CZK_PRIBOR_6M_EOD</v>
          </cell>
          <cell r="F297">
            <v>0.99801061064528995</v>
          </cell>
        </row>
        <row r="298">
          <cell r="A298" t="str">
            <v>CZK_PRIBOR_6M_EOD</v>
          </cell>
          <cell r="F298">
            <v>0.99681707578245804</v>
          </cell>
        </row>
        <row r="299">
          <cell r="A299" t="str">
            <v>CZK_PRIBOR_6M_EOD</v>
          </cell>
          <cell r="F299">
            <v>0.99581627793359695</v>
          </cell>
        </row>
        <row r="300">
          <cell r="A300" t="str">
            <v>CZK_PRIBOR_6M_EOD</v>
          </cell>
          <cell r="F300">
            <v>0.99463154892266004</v>
          </cell>
        </row>
        <row r="301">
          <cell r="A301" t="str">
            <v>CZK_PRIBOR_6M_EOD</v>
          </cell>
          <cell r="F301">
            <v>0.98999132459975003</v>
          </cell>
        </row>
        <row r="302">
          <cell r="A302" t="str">
            <v>CZK_PRIBOR_6M_EOD</v>
          </cell>
          <cell r="F302">
            <v>0.98244152382263505</v>
          </cell>
        </row>
        <row r="303">
          <cell r="A303" t="str">
            <v>CZK_PRIBOR_6M_EOD</v>
          </cell>
          <cell r="F303">
            <v>0.97302014390508296</v>
          </cell>
        </row>
        <row r="304">
          <cell r="A304" t="str">
            <v>CZK_PRIBOR_6M_EOD</v>
          </cell>
          <cell r="F304">
            <v>0.96107940122692903</v>
          </cell>
        </row>
        <row r="305">
          <cell r="A305" t="str">
            <v>CZK_PRIBOR_6M_EOD</v>
          </cell>
          <cell r="F305">
            <v>0.94771290180437795</v>
          </cell>
        </row>
        <row r="306">
          <cell r="A306" t="str">
            <v>CZK_PRIBOR_6M_EOD</v>
          </cell>
          <cell r="F306">
            <v>0.932562377331147</v>
          </cell>
        </row>
        <row r="307">
          <cell r="A307" t="str">
            <v>CZK_PRIBOR_6M_EOD</v>
          </cell>
          <cell r="F307">
            <v>0.91605377302282598</v>
          </cell>
        </row>
        <row r="308">
          <cell r="A308" t="str">
            <v>CZK_PRIBOR_6M_EOD</v>
          </cell>
          <cell r="F308">
            <v>0.89850525348254695</v>
          </cell>
        </row>
        <row r="309">
          <cell r="A309" t="str">
            <v>CZK_PRIBOR_6M_EOD</v>
          </cell>
          <cell r="F309">
            <v>0.86345886566674401</v>
          </cell>
        </row>
        <row r="310">
          <cell r="A310" t="str">
            <v>CZK_PRIBOR_6M_EOD</v>
          </cell>
          <cell r="F310">
            <v>0.81073926823512699</v>
          </cell>
        </row>
        <row r="311">
          <cell r="A311" t="str">
            <v>CZK_PRIBOR_6M_EOD</v>
          </cell>
          <cell r="F311">
            <v>0.73101166459853395</v>
          </cell>
        </row>
        <row r="312">
          <cell r="A312" t="str">
            <v>CZK_PRIBOR_6M_EOD</v>
          </cell>
          <cell r="F312">
            <v>0.67955592540819498</v>
          </cell>
        </row>
        <row r="313">
          <cell r="A313" t="str">
            <v>CZK_PRIBOR_6M_EOD</v>
          </cell>
          <cell r="F313">
            <v>0.63023271478858101</v>
          </cell>
        </row>
        <row r="314">
          <cell r="A314" t="str">
            <v>CZK_PRIBOR_EOD</v>
          </cell>
          <cell r="F314">
            <v>0.99999611112623399</v>
          </cell>
        </row>
        <row r="315">
          <cell r="A315" t="str">
            <v>CZK_PRIBOR_EOD</v>
          </cell>
          <cell r="F315">
            <v>0.99999222226759199</v>
          </cell>
        </row>
        <row r="316">
          <cell r="A316" t="str">
            <v>CZK_PRIBOR_EOD</v>
          </cell>
          <cell r="F316">
            <v>0.99996305667843899</v>
          </cell>
        </row>
        <row r="317">
          <cell r="A317" t="str">
            <v>CZK_PRIBOR_EOD</v>
          </cell>
          <cell r="F317">
            <v>0.99981725424809897</v>
          </cell>
        </row>
        <row r="318">
          <cell r="A318" t="str">
            <v>CZK_PRIBOR_EOD</v>
          </cell>
          <cell r="F318">
            <v>0.99958572407313595</v>
          </cell>
        </row>
        <row r="319">
          <cell r="A319" t="str">
            <v>CZK_PRIBOR_EOD</v>
          </cell>
          <cell r="F319">
            <v>0.99920923081200297</v>
          </cell>
        </row>
        <row r="320">
          <cell r="A320" t="str">
            <v>CZK_PRIBOR_EOD</v>
          </cell>
          <cell r="F320">
            <v>0.99857818487572803</v>
          </cell>
        </row>
        <row r="321">
          <cell r="A321" t="str">
            <v>CZK_PRIBOR_EOD</v>
          </cell>
          <cell r="F321">
            <v>0.99808080793977105</v>
          </cell>
        </row>
        <row r="322">
          <cell r="A322" t="str">
            <v>CZK_PRIBOR_EOD</v>
          </cell>
          <cell r="F322">
            <v>0.997628272670529</v>
          </cell>
        </row>
        <row r="323">
          <cell r="A323" t="str">
            <v>CZK_PRIBOR_EOD</v>
          </cell>
          <cell r="F323">
            <v>0.99464274340972203</v>
          </cell>
        </row>
        <row r="324">
          <cell r="A324" t="str">
            <v>CZK_PRIBOR_EOD</v>
          </cell>
          <cell r="F324">
            <v>0.98999574963222203</v>
          </cell>
        </row>
        <row r="325">
          <cell r="A325" t="str">
            <v>CZK_PRIBOR_EOD</v>
          </cell>
          <cell r="F325">
            <v>0.982443656687499</v>
          </cell>
        </row>
        <row r="326">
          <cell r="A326" t="str">
            <v>CZK_PRIBOR_EOD</v>
          </cell>
          <cell r="F326">
            <v>0.97302229506156501</v>
          </cell>
        </row>
        <row r="327">
          <cell r="A327" t="str">
            <v>CZK_PRIBOR_EOD</v>
          </cell>
          <cell r="F327">
            <v>0.96108151257598795</v>
          </cell>
        </row>
        <row r="328">
          <cell r="A328" t="str">
            <v>CZK_PRIBOR_EOD</v>
          </cell>
          <cell r="F328">
            <v>0.94771498830479395</v>
          </cell>
        </row>
        <row r="329">
          <cell r="A329" t="str">
            <v>CZK_PRIBOR_EOD</v>
          </cell>
          <cell r="F329">
            <v>0.93256442735018097</v>
          </cell>
        </row>
        <row r="330">
          <cell r="A330" t="str">
            <v>CZK_PRIBOR_EOD</v>
          </cell>
          <cell r="F330">
            <v>0.91605325661485404</v>
          </cell>
        </row>
        <row r="331">
          <cell r="A331" t="str">
            <v>CZK_PRIBOR_EOD</v>
          </cell>
          <cell r="F331">
            <v>0.898504289608408</v>
          </cell>
        </row>
        <row r="332">
          <cell r="A332" t="str">
            <v>CZK_PRIBOR_EOD</v>
          </cell>
          <cell r="F332">
            <v>0.86345793496704804</v>
          </cell>
        </row>
        <row r="333">
          <cell r="A333" t="str">
            <v>CZK_PRIBOR_EOD</v>
          </cell>
          <cell r="F333">
            <v>0.81073590640174897</v>
          </cell>
        </row>
        <row r="334">
          <cell r="A334" t="str">
            <v>CZK_PRIBOR_EOD</v>
          </cell>
          <cell r="F334">
            <v>0.73101041288913804</v>
          </cell>
        </row>
        <row r="335">
          <cell r="A335" t="str">
            <v>CZK_PRIBOR_EOD</v>
          </cell>
          <cell r="F335">
            <v>0.67955540757614896</v>
          </cell>
        </row>
        <row r="336">
          <cell r="A336" t="str">
            <v>CZK_PRIBOR_EOD</v>
          </cell>
          <cell r="F336">
            <v>0.63023127293321102</v>
          </cell>
        </row>
        <row r="337">
          <cell r="A337" t="str">
            <v>DKK_CIBOR_3M_EOD</v>
          </cell>
          <cell r="F337">
            <v>1.00006458745975</v>
          </cell>
        </row>
        <row r="338">
          <cell r="A338" t="str">
            <v>DKK_CIBOR_3M_EOD</v>
          </cell>
          <cell r="F338">
            <v>0.99985872132861198</v>
          </cell>
        </row>
        <row r="339">
          <cell r="A339" t="str">
            <v>DKK_CIBOR_3M_EOD</v>
          </cell>
          <cell r="F339">
            <v>0.99957446733946698</v>
          </cell>
        </row>
        <row r="340">
          <cell r="A340" t="str">
            <v>DKK_CIBOR_3M_EOD</v>
          </cell>
          <cell r="F340">
            <v>0.99915763820090997</v>
          </cell>
        </row>
        <row r="341">
          <cell r="A341" t="str">
            <v>DKK_CIBOR_3M_EOD</v>
          </cell>
          <cell r="F341">
            <v>0.99865591762919703</v>
          </cell>
        </row>
        <row r="342">
          <cell r="A342" t="str">
            <v>DKK_CIBOR_3M_EOD</v>
          </cell>
          <cell r="F342">
            <v>0.99810862140251499</v>
          </cell>
        </row>
        <row r="343">
          <cell r="A343" t="str">
            <v>DKK_CIBOR_3M_EOD</v>
          </cell>
          <cell r="F343">
            <v>0.99732129165342798</v>
          </cell>
        </row>
        <row r="344">
          <cell r="A344" t="str">
            <v>DKK_CIBOR_3M_EOD</v>
          </cell>
          <cell r="F344">
            <v>0.99657794776973396</v>
          </cell>
        </row>
        <row r="345">
          <cell r="A345" t="str">
            <v>DKK_CIBOR_3M_EOD</v>
          </cell>
          <cell r="F345">
            <v>0.99154884275697897</v>
          </cell>
        </row>
        <row r="346">
          <cell r="A346" t="str">
            <v>DKK_CIBOR_3M_EOD</v>
          </cell>
          <cell r="F346">
            <v>0.98348426919513798</v>
          </cell>
        </row>
        <row r="347">
          <cell r="A347" t="str">
            <v>DKK_CIBOR_3M_EOD</v>
          </cell>
          <cell r="F347">
            <v>0.97205920788914701</v>
          </cell>
        </row>
        <row r="348">
          <cell r="A348" t="str">
            <v>DKK_CIBOR_3M_EOD</v>
          </cell>
          <cell r="F348">
            <v>0.95834823159765903</v>
          </cell>
        </row>
        <row r="349">
          <cell r="A349" t="str">
            <v>DKK_CIBOR_3M_EOD</v>
          </cell>
          <cell r="F349">
            <v>0.94178247836425499</v>
          </cell>
        </row>
        <row r="350">
          <cell r="A350" t="str">
            <v>DKK_CIBOR_3M_EOD</v>
          </cell>
          <cell r="F350">
            <v>0.92309175090669904</v>
          </cell>
        </row>
        <row r="351">
          <cell r="A351" t="str">
            <v>DKK_CIBOR_3M_EOD</v>
          </cell>
          <cell r="F351">
            <v>0.90314446431041195</v>
          </cell>
        </row>
        <row r="352">
          <cell r="A352" t="str">
            <v>DKK_CIBOR_3M_EOD</v>
          </cell>
          <cell r="F352">
            <v>0.882595915611321</v>
          </cell>
        </row>
        <row r="353">
          <cell r="A353" t="str">
            <v>DKK_CIBOR_3M_EOD</v>
          </cell>
          <cell r="F353">
            <v>0.84040633512284402</v>
          </cell>
        </row>
        <row r="354">
          <cell r="A354" t="str">
            <v>DKK_CIBOR_3M_EOD</v>
          </cell>
          <cell r="F354">
            <v>0.77972445398363499</v>
          </cell>
        </row>
        <row r="355">
          <cell r="A355" t="str">
            <v>DKK_CIBOR_3M_EOD</v>
          </cell>
          <cell r="F355">
            <v>0.693622012765443</v>
          </cell>
        </row>
        <row r="356">
          <cell r="A356" t="str">
            <v>DKK_CIBOR_3M_EOD</v>
          </cell>
          <cell r="F356">
            <v>0.62884172270137395</v>
          </cell>
        </row>
        <row r="357">
          <cell r="A357" t="str">
            <v>DKK_CIBOR_3M_EOD</v>
          </cell>
          <cell r="F357">
            <v>0.573461667411163</v>
          </cell>
        </row>
        <row r="358">
          <cell r="A358" t="str">
            <v>DKK_CIBOR_6M_EOD</v>
          </cell>
          <cell r="F358">
            <v>0.999119105768695</v>
          </cell>
        </row>
        <row r="359">
          <cell r="A359" t="str">
            <v>DKK_CIBOR_6M_EOD</v>
          </cell>
          <cell r="F359">
            <v>0.99768758354181597</v>
          </cell>
        </row>
        <row r="360">
          <cell r="A360" t="str">
            <v>DKK_CIBOR_6M_EOD</v>
          </cell>
          <cell r="F360">
            <v>0.99347325102214301</v>
          </cell>
        </row>
        <row r="361">
          <cell r="A361" t="str">
            <v>DKK_CIBOR_6M_EOD</v>
          </cell>
          <cell r="F361">
            <v>0.98714226506541602</v>
          </cell>
        </row>
        <row r="362">
          <cell r="A362" t="str">
            <v>DKK_CIBOR_6M_EOD</v>
          </cell>
          <cell r="F362">
            <v>0.97793225121975103</v>
          </cell>
        </row>
        <row r="363">
          <cell r="A363" t="str">
            <v>DKK_CIBOR_6M_EOD</v>
          </cell>
          <cell r="F363">
            <v>0.96544187253673597</v>
          </cell>
        </row>
        <row r="364">
          <cell r="A364" t="str">
            <v>DKK_CIBOR_6M_EOD</v>
          </cell>
          <cell r="F364">
            <v>0.95081102249824201</v>
          </cell>
        </row>
        <row r="365">
          <cell r="A365" t="str">
            <v>DKK_CIBOR_6M_EOD</v>
          </cell>
          <cell r="F365">
            <v>0.93349006819347302</v>
          </cell>
        </row>
        <row r="366">
          <cell r="A366" t="str">
            <v>DKK_CIBOR_6M_EOD</v>
          </cell>
          <cell r="F366">
            <v>0.91418920854164099</v>
          </cell>
        </row>
        <row r="367">
          <cell r="A367" t="str">
            <v>DKK_CIBOR_6M_EOD</v>
          </cell>
          <cell r="F367">
            <v>0.89382110850879604</v>
          </cell>
        </row>
        <row r="368">
          <cell r="A368" t="str">
            <v>DKK_CIBOR_6M_EOD</v>
          </cell>
          <cell r="F368">
            <v>0.87301170643653103</v>
          </cell>
        </row>
        <row r="369">
          <cell r="A369" t="str">
            <v>DKK_CIBOR_6M_EOD</v>
          </cell>
          <cell r="F369">
            <v>0.83081863783935195</v>
          </cell>
        </row>
        <row r="370">
          <cell r="A370" t="str">
            <v>DKK_CIBOR_6M_EOD</v>
          </cell>
          <cell r="F370">
            <v>0.77044067670343197</v>
          </cell>
        </row>
        <row r="371">
          <cell r="A371" t="str">
            <v>DKK_CIBOR_6M_EOD</v>
          </cell>
          <cell r="F371">
            <v>0.68488040179807996</v>
          </cell>
        </row>
        <row r="372">
          <cell r="A372" t="str">
            <v>DKK_CIBOR_6M_EOD</v>
          </cell>
          <cell r="F372">
            <v>0.62057658912485403</v>
          </cell>
        </row>
        <row r="373">
          <cell r="A373" t="str">
            <v>DKK_CIBOR_6M_EOD</v>
          </cell>
          <cell r="F373">
            <v>0.56565189530108895</v>
          </cell>
        </row>
        <row r="374">
          <cell r="A374" t="str">
            <v>DKK_CIBOR_EOD</v>
          </cell>
          <cell r="F374">
            <v>1.00001758364251</v>
          </cell>
        </row>
        <row r="375">
          <cell r="A375" t="str">
            <v>DKK_CIBOR_EOD</v>
          </cell>
          <cell r="F375">
            <v>1.00001644751271</v>
          </cell>
        </row>
        <row r="376">
          <cell r="A376" t="str">
            <v>DKK_CIBOR_EOD</v>
          </cell>
          <cell r="F376">
            <v>1.00008645356446</v>
          </cell>
        </row>
        <row r="377">
          <cell r="A377" t="str">
            <v>DKK_CIBOR_EOD</v>
          </cell>
          <cell r="F377">
            <v>1.00017897659641</v>
          </cell>
        </row>
        <row r="378">
          <cell r="A378" t="str">
            <v>DKK_CIBOR_EOD</v>
          </cell>
          <cell r="F378">
            <v>1.00019863647268</v>
          </cell>
        </row>
        <row r="379">
          <cell r="A379" t="str">
            <v>DKK_CIBOR_EOD</v>
          </cell>
          <cell r="F379">
            <v>1.0000796469904101</v>
          </cell>
        </row>
        <row r="380">
          <cell r="A380" t="str">
            <v>DKK_CIBOR_EOD</v>
          </cell>
          <cell r="F380">
            <v>0.99985724200292603</v>
          </cell>
        </row>
        <row r="381">
          <cell r="A381" t="str">
            <v>DKK_CIBOR_EOD</v>
          </cell>
          <cell r="F381">
            <v>0.99957298843433995</v>
          </cell>
        </row>
        <row r="382">
          <cell r="A382" t="str">
            <v>DKK_CIBOR_EOD</v>
          </cell>
          <cell r="F382">
            <v>0.99915615991246098</v>
          </cell>
        </row>
        <row r="383">
          <cell r="A383" t="str">
            <v>DKK_CIBOR_EOD</v>
          </cell>
          <cell r="F383">
            <v>0.998654440082824</v>
          </cell>
        </row>
        <row r="384">
          <cell r="A384" t="str">
            <v>DKK_CIBOR_EOD</v>
          </cell>
          <cell r="F384">
            <v>0.99810714466516504</v>
          </cell>
        </row>
        <row r="385">
          <cell r="A385" t="str">
            <v>DKK_CIBOR_EOD</v>
          </cell>
          <cell r="F385">
            <v>0.99731981607702902</v>
          </cell>
        </row>
        <row r="386">
          <cell r="A386" t="str">
            <v>DKK_CIBOR_EOD</v>
          </cell>
          <cell r="F386">
            <v>0.99349225479879499</v>
          </cell>
        </row>
        <row r="387">
          <cell r="A387" t="str">
            <v>DKK_CIBOR_EOD</v>
          </cell>
          <cell r="F387">
            <v>0.98716200940877596</v>
          </cell>
        </row>
        <row r="388">
          <cell r="A388" t="str">
            <v>DKK_CIBOR_EOD</v>
          </cell>
          <cell r="F388">
            <v>0.97794440082411305</v>
          </cell>
        </row>
        <row r="389">
          <cell r="A389" t="str">
            <v>DKK_CIBOR_EOD</v>
          </cell>
          <cell r="F389">
            <v>0.96545471410460104</v>
          </cell>
        </row>
        <row r="390">
          <cell r="A390" t="str">
            <v>DKK_CIBOR_EOD</v>
          </cell>
          <cell r="F390">
            <v>0.95082340137857402</v>
          </cell>
        </row>
        <row r="391">
          <cell r="A391" t="str">
            <v>DKK_CIBOR_EOD</v>
          </cell>
          <cell r="F391">
            <v>0.93350230752374497</v>
          </cell>
        </row>
        <row r="392">
          <cell r="A392" t="str">
            <v>DKK_CIBOR_EOD</v>
          </cell>
          <cell r="F392">
            <v>0.91420116716685396</v>
          </cell>
        </row>
        <row r="393">
          <cell r="A393" t="str">
            <v>DKK_CIBOR_EOD</v>
          </cell>
          <cell r="F393">
            <v>0.89383108236938003</v>
          </cell>
        </row>
        <row r="394">
          <cell r="A394" t="str">
            <v>DKK_CIBOR_EOD</v>
          </cell>
          <cell r="F394">
            <v>0.87302051325013896</v>
          </cell>
        </row>
        <row r="395">
          <cell r="A395" t="str">
            <v>DKK_CIBOR_EOD</v>
          </cell>
          <cell r="F395">
            <v>0.83082702497682903</v>
          </cell>
        </row>
        <row r="396">
          <cell r="A396" t="str">
            <v>DKK_CIBOR_EOD</v>
          </cell>
          <cell r="F396">
            <v>0.77044722977718805</v>
          </cell>
        </row>
        <row r="397">
          <cell r="A397" t="str">
            <v>DKK_CIBOR_EOD</v>
          </cell>
          <cell r="F397">
            <v>0.68488676354907796</v>
          </cell>
        </row>
        <row r="398">
          <cell r="A398" t="str">
            <v>DKK_CIBOR_EOD</v>
          </cell>
          <cell r="F398">
            <v>0.62058254605673802</v>
          </cell>
        </row>
        <row r="399">
          <cell r="A399" t="str">
            <v>DKK_CIBOR_EOD</v>
          </cell>
          <cell r="F399">
            <v>0.56565699837199201</v>
          </cell>
        </row>
        <row r="400">
          <cell r="A400" t="str">
            <v>EUR_EONIA_EOD</v>
          </cell>
          <cell r="F400">
            <v>1.0000037777920501</v>
          </cell>
        </row>
        <row r="401">
          <cell r="A401" t="str">
            <v>EUR_EONIA_EOD</v>
          </cell>
          <cell r="F401">
            <v>1.0000075555983701</v>
          </cell>
        </row>
        <row r="402">
          <cell r="A402" t="str">
            <v>EUR_EONIA_EOD</v>
          </cell>
          <cell r="F402">
            <v>1.00003283420612</v>
          </cell>
        </row>
        <row r="403">
          <cell r="A403" t="str">
            <v>EUR_EONIA_EOD</v>
          </cell>
          <cell r="F403">
            <v>1.00005811409192</v>
          </cell>
        </row>
        <row r="404">
          <cell r="A404" t="str">
            <v>EUR_EONIA_EOD</v>
          </cell>
          <cell r="F404">
            <v>1.0000832007806699</v>
          </cell>
        </row>
        <row r="405">
          <cell r="A405" t="str">
            <v>EUR_EONIA_EOD</v>
          </cell>
          <cell r="F405">
            <v>1.0001135398525201</v>
          </cell>
        </row>
        <row r="406">
          <cell r="A406" t="str">
            <v>EUR_EONIA_EOD</v>
          </cell>
          <cell r="F406">
            <v>1.0002261883727099</v>
          </cell>
        </row>
        <row r="407">
          <cell r="A407" t="str">
            <v>EUR_EONIA_EOD</v>
          </cell>
          <cell r="F407">
            <v>1.00033796352361</v>
          </cell>
        </row>
        <row r="408">
          <cell r="A408" t="str">
            <v>EUR_EONIA_EOD</v>
          </cell>
          <cell r="F408">
            <v>1.0004663110881</v>
          </cell>
        </row>
        <row r="409">
          <cell r="A409" t="str">
            <v>EUR_EONIA_EOD</v>
          </cell>
          <cell r="F409">
            <v>1.00058022101295</v>
          </cell>
        </row>
        <row r="410">
          <cell r="A410" t="str">
            <v>EUR_EONIA_EOD</v>
          </cell>
          <cell r="F410">
            <v>1.0007031832973201</v>
          </cell>
        </row>
        <row r="411">
          <cell r="A411" t="str">
            <v>EUR_EONIA_EOD</v>
          </cell>
          <cell r="F411">
            <v>1.00084661605397</v>
          </cell>
        </row>
        <row r="412">
          <cell r="A412" t="str">
            <v>EUR_EONIA_EOD</v>
          </cell>
          <cell r="F412">
            <v>1.0009627555879801</v>
          </cell>
        </row>
        <row r="413">
          <cell r="A413" t="str">
            <v>EUR_EONIA_EOD</v>
          </cell>
          <cell r="F413">
            <v>1.0010914178107699</v>
          </cell>
        </row>
        <row r="414">
          <cell r="A414" t="str">
            <v>EUR_EONIA_EOD</v>
          </cell>
          <cell r="F414">
            <v>1.00122347893707</v>
          </cell>
        </row>
        <row r="415">
          <cell r="A415" t="str">
            <v>EUR_EONIA_EOD</v>
          </cell>
          <cell r="F415">
            <v>1.0013664701627001</v>
          </cell>
        </row>
        <row r="416">
          <cell r="A416" t="str">
            <v>EUR_EONIA_EOD</v>
          </cell>
          <cell r="F416">
            <v>1.00151110196334</v>
          </cell>
        </row>
        <row r="417">
          <cell r="A417" t="str">
            <v>EUR_EONIA_EOD</v>
          </cell>
          <cell r="F417">
            <v>1.00189779174923</v>
          </cell>
        </row>
        <row r="418">
          <cell r="A418" t="str">
            <v>EUR_EONIA_EOD</v>
          </cell>
          <cell r="F418">
            <v>1.00218403606534</v>
          </cell>
        </row>
        <row r="419">
          <cell r="A419" t="str">
            <v>EUR_EONIA_EOD</v>
          </cell>
          <cell r="F419">
            <v>1.0025239770557299</v>
          </cell>
        </row>
        <row r="420">
          <cell r="A420" t="str">
            <v>EUR_EONIA_EOD</v>
          </cell>
          <cell r="F420">
            <v>1.0026727917334</v>
          </cell>
        </row>
        <row r="421">
          <cell r="A421" t="str">
            <v>EUR_EONIA_EOD</v>
          </cell>
          <cell r="F421">
            <v>1.00247120282335</v>
          </cell>
        </row>
        <row r="422">
          <cell r="A422" t="str">
            <v>EUR_EONIA_EOD</v>
          </cell>
          <cell r="F422">
            <v>0.99959566761109397</v>
          </cell>
        </row>
        <row r="423">
          <cell r="A423" t="str">
            <v>EUR_EONIA_EOD</v>
          </cell>
          <cell r="F423">
            <v>0.99379722336337795</v>
          </cell>
        </row>
        <row r="424">
          <cell r="A424" t="str">
            <v>EUR_EONIA_EOD</v>
          </cell>
          <cell r="F424">
            <v>0.98465618499667396</v>
          </cell>
        </row>
        <row r="425">
          <cell r="A425" t="str">
            <v>EUR_EONIA_EOD</v>
          </cell>
          <cell r="F425">
            <v>0.97245882682468698</v>
          </cell>
        </row>
        <row r="426">
          <cell r="A426" t="str">
            <v>EUR_EONIA_EOD</v>
          </cell>
          <cell r="F426">
            <v>0.95783766421633199</v>
          </cell>
        </row>
        <row r="427">
          <cell r="A427" t="str">
            <v>EUR_EONIA_EOD</v>
          </cell>
          <cell r="F427">
            <v>0.94169991451425095</v>
          </cell>
        </row>
        <row r="428">
          <cell r="A428" t="str">
            <v>EUR_EONIA_EOD</v>
          </cell>
          <cell r="F428">
            <v>0.924558882735945</v>
          </cell>
        </row>
        <row r="429">
          <cell r="A429" t="str">
            <v>EUR_EONIA_EOD</v>
          </cell>
          <cell r="F429">
            <v>0.88821445196868898</v>
          </cell>
        </row>
        <row r="430">
          <cell r="A430" t="str">
            <v>EUR_EONIA_EOD</v>
          </cell>
          <cell r="F430">
            <v>0.83479940742633996</v>
          </cell>
        </row>
        <row r="431">
          <cell r="A431" t="str">
            <v>EUR_EONIA_EOD</v>
          </cell>
          <cell r="F431">
            <v>0.75687173843274602</v>
          </cell>
        </row>
        <row r="432">
          <cell r="A432" t="str">
            <v>EUR_EONIA_EOD</v>
          </cell>
          <cell r="F432">
            <v>0.69661456254995802</v>
          </cell>
        </row>
        <row r="433">
          <cell r="A433" t="str">
            <v>EUR_EONIA_EOD</v>
          </cell>
          <cell r="F433">
            <v>0.64360479941895399</v>
          </cell>
        </row>
        <row r="434">
          <cell r="A434" t="str">
            <v>EUR_EONIA_EOD</v>
          </cell>
          <cell r="F434">
            <v>0.54726514421181705</v>
          </cell>
        </row>
        <row r="435">
          <cell r="A435" t="str">
            <v>EUR_EONIA_EOD</v>
          </cell>
          <cell r="F435">
            <v>0.47984241273561001</v>
          </cell>
        </row>
        <row r="436">
          <cell r="A436" t="str">
            <v>EUR_EONIA_EOD</v>
          </cell>
          <cell r="F436">
            <v>0.42571301573909698</v>
          </cell>
        </row>
        <row r="437">
          <cell r="A437" t="str">
            <v>EUR_EURIBOR_12M_EOD</v>
          </cell>
          <cell r="F437">
            <v>0.99838748620449003</v>
          </cell>
        </row>
        <row r="438">
          <cell r="A438" t="str">
            <v>EUR_EURIBOR_12M_EOD</v>
          </cell>
          <cell r="F438">
            <v>0.99827209269649098</v>
          </cell>
        </row>
        <row r="439">
          <cell r="A439" t="str">
            <v>EUR_EURIBOR_12M_EOD</v>
          </cell>
          <cell r="F439">
            <v>0.99812044585648696</v>
          </cell>
        </row>
        <row r="440">
          <cell r="A440" t="str">
            <v>EUR_EURIBOR_12M_EOD</v>
          </cell>
          <cell r="F440">
            <v>0.99796381650606603</v>
          </cell>
        </row>
        <row r="441">
          <cell r="A441" t="str">
            <v>EUR_EURIBOR_12M_EOD</v>
          </cell>
          <cell r="F441">
            <v>0.99783141589704805</v>
          </cell>
        </row>
        <row r="442">
          <cell r="A442" t="str">
            <v>EUR_EURIBOR_12M_EOD</v>
          </cell>
          <cell r="F442">
            <v>0.99761150733335002</v>
          </cell>
        </row>
        <row r="443">
          <cell r="A443" t="str">
            <v>EUR_EURIBOR_12M_EOD</v>
          </cell>
          <cell r="F443">
            <v>0.99743377839078995</v>
          </cell>
        </row>
        <row r="444">
          <cell r="A444" t="str">
            <v>EUR_EURIBOR_12M_EOD</v>
          </cell>
          <cell r="F444">
            <v>0.99711705708805598</v>
          </cell>
        </row>
        <row r="445">
          <cell r="A445" t="str">
            <v>EUR_EURIBOR_12M_EOD</v>
          </cell>
          <cell r="F445">
            <v>0.99689457383604496</v>
          </cell>
        </row>
        <row r="446">
          <cell r="A446" t="str">
            <v>EUR_EURIBOR_12M_EOD</v>
          </cell>
          <cell r="F446">
            <v>0.99666829780321198</v>
          </cell>
        </row>
        <row r="447">
          <cell r="A447" t="str">
            <v>EUR_EURIBOR_12M_EOD</v>
          </cell>
          <cell r="F447">
            <v>0.99641568736840203</v>
          </cell>
        </row>
        <row r="448">
          <cell r="A448" t="str">
            <v>EUR_EURIBOR_12M_EOD</v>
          </cell>
          <cell r="F448">
            <v>0.99616990955805196</v>
          </cell>
        </row>
        <row r="449">
          <cell r="A449" t="str">
            <v>EUR_EURIBOR_12M_EOD</v>
          </cell>
          <cell r="F449">
            <v>0.995884767817247</v>
          </cell>
        </row>
        <row r="450">
          <cell r="A450" t="str">
            <v>EUR_EURIBOR_12M_EOD</v>
          </cell>
          <cell r="F450">
            <v>0.99149905179099596</v>
          </cell>
        </row>
        <row r="451">
          <cell r="A451" t="str">
            <v>EUR_EURIBOR_12M_EOD</v>
          </cell>
          <cell r="F451">
            <v>0.98451206043441297</v>
          </cell>
        </row>
        <row r="452">
          <cell r="A452" t="str">
            <v>EUR_EURIBOR_12M_EOD</v>
          </cell>
          <cell r="F452">
            <v>0.97485926342358598</v>
          </cell>
        </row>
        <row r="453">
          <cell r="A453" t="str">
            <v>EUR_EURIBOR_12M_EOD</v>
          </cell>
          <cell r="F453">
            <v>0.96227976414733296</v>
          </cell>
        </row>
        <row r="454">
          <cell r="A454" t="str">
            <v>EUR_EURIBOR_12M_EOD</v>
          </cell>
          <cell r="F454">
            <v>0.94696770997663005</v>
          </cell>
        </row>
        <row r="455">
          <cell r="A455" t="str">
            <v>EUR_EURIBOR_12M_EOD</v>
          </cell>
          <cell r="F455">
            <v>0.92972028621384994</v>
          </cell>
        </row>
        <row r="456">
          <cell r="A456" t="str">
            <v>EUR_EURIBOR_12M_EOD</v>
          </cell>
          <cell r="F456">
            <v>0.91147374205076404</v>
          </cell>
        </row>
        <row r="457">
          <cell r="A457" t="str">
            <v>EUR_EURIBOR_12M_EOD</v>
          </cell>
          <cell r="F457">
            <v>0.89284427443775205</v>
          </cell>
        </row>
        <row r="458">
          <cell r="A458" t="str">
            <v>EUR_EURIBOR_12M_EOD</v>
          </cell>
          <cell r="F458">
            <v>0.85443700783425602</v>
          </cell>
        </row>
        <row r="459">
          <cell r="A459" t="str">
            <v>EUR_EURIBOR_12M_EOD</v>
          </cell>
          <cell r="F459">
            <v>0.79990668176897195</v>
          </cell>
        </row>
        <row r="460">
          <cell r="A460" t="str">
            <v>EUR_EURIBOR_12M_EOD</v>
          </cell>
          <cell r="F460">
            <v>0.72182502418855599</v>
          </cell>
        </row>
        <row r="461">
          <cell r="A461" t="str">
            <v>EUR_EURIBOR_12M_EOD</v>
          </cell>
          <cell r="F461">
            <v>0.66202548540706396</v>
          </cell>
        </row>
        <row r="462">
          <cell r="A462" t="str">
            <v>EUR_EURIBOR_12M_EOD</v>
          </cell>
          <cell r="F462">
            <v>0.610115251706287</v>
          </cell>
        </row>
        <row r="463">
          <cell r="A463" t="str">
            <v>EUR_EURIBOR_12M_EOD</v>
          </cell>
          <cell r="F463">
            <v>0.51608128432630995</v>
          </cell>
        </row>
        <row r="464">
          <cell r="A464" t="str">
            <v>EUR_EURIBOR_12M_EOD</v>
          </cell>
          <cell r="F464">
            <v>0.45203291239872201</v>
          </cell>
        </row>
        <row r="465">
          <cell r="A465" t="str">
            <v>EUR_EURIBOR_12M_EOD</v>
          </cell>
          <cell r="F465">
            <v>0.39564490781884398</v>
          </cell>
        </row>
        <row r="466">
          <cell r="A466" t="str">
            <v>EUR_EURIBOR_1M_EOD</v>
          </cell>
          <cell r="F466">
            <v>1.00009245272409</v>
          </cell>
        </row>
        <row r="467">
          <cell r="A467" t="str">
            <v>EUR_EURIBOR_1M_EOD</v>
          </cell>
          <cell r="F467">
            <v>1.00017610221302</v>
          </cell>
        </row>
        <row r="468">
          <cell r="A468" t="str">
            <v>EUR_EURIBOR_1M_EOD</v>
          </cell>
          <cell r="F468">
            <v>1.00027632948462</v>
          </cell>
        </row>
        <row r="469">
          <cell r="A469" t="str">
            <v>EUR_EURIBOR_1M_EOD</v>
          </cell>
          <cell r="F469">
            <v>1.0005597993316799</v>
          </cell>
        </row>
        <row r="470">
          <cell r="A470" t="str">
            <v>EUR_EURIBOR_1M_EOD</v>
          </cell>
          <cell r="F470">
            <v>1.0008468914495201</v>
          </cell>
        </row>
        <row r="471">
          <cell r="A471" t="str">
            <v>EUR_EURIBOR_1M_EOD</v>
          </cell>
          <cell r="F471">
            <v>1.00114398683261</v>
          </cell>
        </row>
        <row r="472">
          <cell r="A472" t="str">
            <v>EUR_EURIBOR_1M_EOD</v>
          </cell>
          <cell r="F472">
            <v>1.0019301185576699</v>
          </cell>
        </row>
        <row r="473">
          <cell r="A473" t="str">
            <v>EUR_EURIBOR_1M_EOD</v>
          </cell>
          <cell r="F473">
            <v>1.00120173098483</v>
          </cell>
        </row>
        <row r="474">
          <cell r="A474" t="str">
            <v>EUR_EURIBOR_1M_EOD</v>
          </cell>
          <cell r="F474">
            <v>0.99789761962808099</v>
          </cell>
        </row>
        <row r="475">
          <cell r="A475" t="str">
            <v>EUR_EURIBOR_1M_EOD</v>
          </cell>
          <cell r="F475">
            <v>0.99155897092495704</v>
          </cell>
        </row>
        <row r="476">
          <cell r="A476" t="str">
            <v>EUR_EURIBOR_1M_EOD</v>
          </cell>
          <cell r="F476">
            <v>0.98201186795446305</v>
          </cell>
        </row>
        <row r="477">
          <cell r="A477" t="str">
            <v>EUR_EURIBOR_1M_EOD</v>
          </cell>
          <cell r="F477">
            <v>0.96941904461513995</v>
          </cell>
        </row>
        <row r="478">
          <cell r="A478" t="str">
            <v>EUR_EURIBOR_1M_EOD</v>
          </cell>
          <cell r="F478">
            <v>0.95441966784941501</v>
          </cell>
        </row>
        <row r="479">
          <cell r="A479" t="str">
            <v>EUR_EURIBOR_1M_EOD</v>
          </cell>
          <cell r="F479">
            <v>0.93789680971507094</v>
          </cell>
        </row>
        <row r="480">
          <cell r="A480" t="str">
            <v>EUR_EURIBOR_1M_EOD</v>
          </cell>
          <cell r="F480">
            <v>0.92055890960815201</v>
          </cell>
        </row>
        <row r="481">
          <cell r="A481" t="str">
            <v>EUR_EURIBOR_1M_EOD</v>
          </cell>
          <cell r="F481">
            <v>0.88385648940688999</v>
          </cell>
        </row>
        <row r="482">
          <cell r="A482" t="str">
            <v>EUR_EURIBOR_1M_EOD</v>
          </cell>
          <cell r="F482">
            <v>0.82995783369953802</v>
          </cell>
        </row>
        <row r="483">
          <cell r="A483" t="str">
            <v>EUR_EURIBOR_1M_EOD</v>
          </cell>
          <cell r="F483">
            <v>0.75174765310160596</v>
          </cell>
        </row>
        <row r="484">
          <cell r="A484" t="str">
            <v>EUR_EURIBOR_1M_EOD</v>
          </cell>
          <cell r="F484">
            <v>0.692108480008643</v>
          </cell>
        </row>
        <row r="485">
          <cell r="A485" t="str">
            <v>EUR_EURIBOR_1M_EOD</v>
          </cell>
          <cell r="F485">
            <v>0.63944563388320597</v>
          </cell>
        </row>
        <row r="486">
          <cell r="A486" t="str">
            <v>EUR_EURIBOR_1M_EOD</v>
          </cell>
          <cell r="F486">
            <v>0.54435845789210802</v>
          </cell>
        </row>
        <row r="487">
          <cell r="A487" t="str">
            <v>EUR_EURIBOR_1M_EOD</v>
          </cell>
          <cell r="F487">
            <v>0.47864306635348902</v>
          </cell>
        </row>
        <row r="488">
          <cell r="A488" t="str">
            <v>EUR_EURIBOR_1M_EOD</v>
          </cell>
          <cell r="F488">
            <v>0.42213243438766002</v>
          </cell>
        </row>
        <row r="489">
          <cell r="A489" t="str">
            <v>EUR_EURIBOR_3M_EOD</v>
          </cell>
          <cell r="F489">
            <v>1.0000878409657299</v>
          </cell>
        </row>
        <row r="490">
          <cell r="A490" t="str">
            <v>EUR_EURIBOR_3M_EOD</v>
          </cell>
          <cell r="F490">
            <v>1.00019778465154</v>
          </cell>
        </row>
        <row r="491">
          <cell r="A491" t="str">
            <v>EUR_EURIBOR_3M_EOD</v>
          </cell>
          <cell r="F491">
            <v>1.0003012019615001</v>
          </cell>
        </row>
        <row r="492">
          <cell r="A492" t="str">
            <v>EUR_EURIBOR_3M_EOD</v>
          </cell>
          <cell r="F492">
            <v>1.0004011472882199</v>
          </cell>
        </row>
        <row r="493">
          <cell r="A493" t="str">
            <v>EUR_EURIBOR_3M_EOD</v>
          </cell>
          <cell r="F493">
            <v>1.0004583012477299</v>
          </cell>
        </row>
        <row r="494">
          <cell r="A494" t="str">
            <v>EUR_EURIBOR_3M_EOD</v>
          </cell>
          <cell r="F494">
            <v>1.0004552665337501</v>
          </cell>
        </row>
        <row r="495">
          <cell r="A495" t="str">
            <v>EUR_EURIBOR_3M_EOD</v>
          </cell>
          <cell r="F495">
            <v>1.0003738414578101</v>
          </cell>
        </row>
        <row r="496">
          <cell r="A496" t="str">
            <v>EUR_EURIBOR_3M_EOD</v>
          </cell>
          <cell r="F496">
            <v>1.00021354626468</v>
          </cell>
        </row>
        <row r="497">
          <cell r="A497" t="str">
            <v>EUR_EURIBOR_3M_EOD</v>
          </cell>
          <cell r="F497">
            <v>0.99994359482553197</v>
          </cell>
        </row>
        <row r="498">
          <cell r="A498" t="str">
            <v>EUR_EURIBOR_3M_EOD</v>
          </cell>
          <cell r="F498">
            <v>0.99955827817603105</v>
          </cell>
        </row>
        <row r="499">
          <cell r="A499" t="str">
            <v>EUR_EURIBOR_3M_EOD</v>
          </cell>
          <cell r="F499">
            <v>0.99903932035667897</v>
          </cell>
        </row>
        <row r="500">
          <cell r="A500" t="str">
            <v>EUR_EURIBOR_3M_EOD</v>
          </cell>
          <cell r="F500">
            <v>0.99836223084101905</v>
          </cell>
        </row>
        <row r="501">
          <cell r="A501" t="str">
            <v>EUR_EURIBOR_3M_EOD</v>
          </cell>
          <cell r="F501">
            <v>0.99746714261762304</v>
          </cell>
        </row>
        <row r="502">
          <cell r="A502" t="str">
            <v>EUR_EURIBOR_3M_EOD</v>
          </cell>
          <cell r="F502">
            <v>0.99378265598081705</v>
          </cell>
        </row>
        <row r="503">
          <cell r="A503" t="str">
            <v>EUR_EURIBOR_3M_EOD</v>
          </cell>
          <cell r="F503">
            <v>0.98646959047568605</v>
          </cell>
        </row>
        <row r="504">
          <cell r="A504" t="str">
            <v>EUR_EURIBOR_3M_EOD</v>
          </cell>
          <cell r="F504">
            <v>0.976011541955074</v>
          </cell>
        </row>
        <row r="505">
          <cell r="A505" t="str">
            <v>EUR_EURIBOR_3M_EOD</v>
          </cell>
          <cell r="F505">
            <v>0.96268435580638401</v>
          </cell>
        </row>
        <row r="506">
          <cell r="A506" t="str">
            <v>EUR_EURIBOR_3M_EOD</v>
          </cell>
          <cell r="F506">
            <v>0.94703194167606797</v>
          </cell>
        </row>
        <row r="507">
          <cell r="A507" t="str">
            <v>EUR_EURIBOR_3M_EOD</v>
          </cell>
          <cell r="F507">
            <v>0.92998705218890598</v>
          </cell>
        </row>
        <row r="508">
          <cell r="A508" t="str">
            <v>EUR_EURIBOR_3M_EOD</v>
          </cell>
          <cell r="F508">
            <v>0.91214012896558905</v>
          </cell>
        </row>
        <row r="509">
          <cell r="A509" t="str">
            <v>EUR_EURIBOR_3M_EOD</v>
          </cell>
          <cell r="F509">
            <v>0.87473085499620695</v>
          </cell>
        </row>
        <row r="510">
          <cell r="A510" t="str">
            <v>EUR_EURIBOR_3M_EOD</v>
          </cell>
          <cell r="F510">
            <v>0.82046544954408396</v>
          </cell>
        </row>
        <row r="511">
          <cell r="A511" t="str">
            <v>EUR_EURIBOR_3M_EOD</v>
          </cell>
          <cell r="F511">
            <v>0.74249729237912598</v>
          </cell>
        </row>
        <row r="512">
          <cell r="A512" t="str">
            <v>EUR_EURIBOR_3M_EOD</v>
          </cell>
          <cell r="F512">
            <v>0.68301377445795497</v>
          </cell>
        </row>
        <row r="513">
          <cell r="A513" t="str">
            <v>EUR_EURIBOR_3M_EOD</v>
          </cell>
          <cell r="F513">
            <v>0.63078537848443395</v>
          </cell>
        </row>
        <row r="514">
          <cell r="A514" t="str">
            <v>EUR_EURIBOR_3M_EOD</v>
          </cell>
          <cell r="F514">
            <v>0.53656946186809695</v>
          </cell>
        </row>
        <row r="515">
          <cell r="A515" t="str">
            <v>EUR_EURIBOR_3M_EOD</v>
          </cell>
          <cell r="F515">
            <v>0.47134020273569299</v>
          </cell>
        </row>
        <row r="516">
          <cell r="A516" t="str">
            <v>EUR_EURIBOR_3M_EOD</v>
          </cell>
          <cell r="F516">
            <v>0.415958300804669</v>
          </cell>
        </row>
        <row r="517">
          <cell r="A517" t="str">
            <v>EUR_EURIBOR_6M_EOD</v>
          </cell>
          <cell r="F517">
            <v>0.99980581528780399</v>
          </cell>
        </row>
        <row r="518">
          <cell r="A518" t="str">
            <v>EUR_EURIBOR_6M_EOD</v>
          </cell>
          <cell r="F518">
            <v>0.99978640334332403</v>
          </cell>
        </row>
        <row r="519">
          <cell r="A519" t="str">
            <v>EUR_EURIBOR_6M_EOD</v>
          </cell>
          <cell r="F519">
            <v>0.99975660722008297</v>
          </cell>
        </row>
        <row r="520">
          <cell r="A520" t="str">
            <v>EUR_EURIBOR_6M_EOD</v>
          </cell>
          <cell r="F520">
            <v>0.99972398002073204</v>
          </cell>
        </row>
        <row r="521">
          <cell r="A521" t="str">
            <v>EUR_EURIBOR_6M_EOD</v>
          </cell>
          <cell r="F521">
            <v>0.99967918374963605</v>
          </cell>
        </row>
        <row r="522">
          <cell r="A522" t="str">
            <v>EUR_EURIBOR_6M_EOD</v>
          </cell>
          <cell r="F522">
            <v>0.99965363872147395</v>
          </cell>
        </row>
        <row r="523">
          <cell r="A523" t="str">
            <v>EUR_EURIBOR_6M_EOD</v>
          </cell>
          <cell r="F523">
            <v>0.99960592187026198</v>
          </cell>
        </row>
        <row r="524">
          <cell r="A524" t="str">
            <v>EUR_EURIBOR_6M_EOD</v>
          </cell>
          <cell r="F524">
            <v>0.99919837036551395</v>
          </cell>
        </row>
        <row r="525">
          <cell r="A525" t="str">
            <v>EUR_EURIBOR_6M_EOD</v>
          </cell>
          <cell r="F525">
            <v>0.99840179613415003</v>
          </cell>
        </row>
        <row r="526">
          <cell r="A526" t="str">
            <v>EUR_EURIBOR_6M_EOD</v>
          </cell>
          <cell r="F526">
            <v>0.99548457022393899</v>
          </cell>
        </row>
        <row r="527">
          <cell r="A527" t="str">
            <v>EUR_EURIBOR_6M_EOD</v>
          </cell>
          <cell r="F527">
            <v>0.98986251985071105</v>
          </cell>
        </row>
        <row r="528">
          <cell r="A528" t="str">
            <v>EUR_EURIBOR_6M_EOD</v>
          </cell>
          <cell r="F528">
            <v>0.98143714673815496</v>
          </cell>
        </row>
        <row r="529">
          <cell r="A529" t="str">
            <v>EUR_EURIBOR_6M_EOD</v>
          </cell>
          <cell r="F529">
            <v>0.970060096961747</v>
          </cell>
        </row>
        <row r="530">
          <cell r="A530" t="str">
            <v>EUR_EURIBOR_6M_EOD</v>
          </cell>
          <cell r="F530">
            <v>0.95595150730200396</v>
          </cell>
        </row>
        <row r="531">
          <cell r="A531" t="str">
            <v>EUR_EURIBOR_6M_EOD</v>
          </cell>
          <cell r="F531">
            <v>0.93966435744912002</v>
          </cell>
        </row>
        <row r="532">
          <cell r="A532" t="str">
            <v>EUR_EURIBOR_6M_EOD</v>
          </cell>
          <cell r="F532">
            <v>0.92222398101009995</v>
          </cell>
        </row>
        <row r="533">
          <cell r="A533" t="str">
            <v>EUR_EURIBOR_6M_EOD</v>
          </cell>
          <cell r="F533">
            <v>0.90411277989355798</v>
          </cell>
        </row>
        <row r="534">
          <cell r="A534" t="str">
            <v>EUR_EURIBOR_6M_EOD</v>
          </cell>
          <cell r="F534">
            <v>0.86635257361035201</v>
          </cell>
        </row>
        <row r="535">
          <cell r="A535" t="str">
            <v>EUR_EURIBOR_6M_EOD</v>
          </cell>
          <cell r="F535">
            <v>0.811973875058425</v>
          </cell>
        </row>
        <row r="536">
          <cell r="A536" t="str">
            <v>EUR_EURIBOR_6M_EOD</v>
          </cell>
          <cell r="F536">
            <v>0.73407535413101399</v>
          </cell>
        </row>
        <row r="537">
          <cell r="A537" t="str">
            <v>EUR_EURIBOR_6M_EOD</v>
          </cell>
          <cell r="F537">
            <v>0.67480221727571299</v>
          </cell>
        </row>
        <row r="538">
          <cell r="A538" t="str">
            <v>EUR_EURIBOR_6M_EOD</v>
          </cell>
          <cell r="F538">
            <v>0.62290032349872804</v>
          </cell>
        </row>
        <row r="539">
          <cell r="A539" t="str">
            <v>EUR_EURIBOR_6M_EOD</v>
          </cell>
          <cell r="F539">
            <v>0.52937717792135797</v>
          </cell>
        </row>
        <row r="540">
          <cell r="A540" t="str">
            <v>EUR_EURIBOR_6M_EOD</v>
          </cell>
          <cell r="F540">
            <v>0.464805095606309</v>
          </cell>
        </row>
        <row r="541">
          <cell r="A541" t="str">
            <v>EUR_EURIBOR_6M_EOD</v>
          </cell>
          <cell r="F541">
            <v>0.40941013519248698</v>
          </cell>
        </row>
        <row r="542">
          <cell r="A542" t="str">
            <v>EUR_EURIBOR_EOD</v>
          </cell>
          <cell r="F542">
            <v>1.0000036944580899</v>
          </cell>
        </row>
        <row r="543">
          <cell r="A543" t="str">
            <v>EUR_EURIBOR_EOD</v>
          </cell>
          <cell r="F543">
            <v>1.00000738892984</v>
          </cell>
        </row>
        <row r="544">
          <cell r="A544" t="str">
            <v>EUR_EURIBOR_EOD</v>
          </cell>
          <cell r="F544">
            <v>1.0000357788344501</v>
          </cell>
        </row>
        <row r="545">
          <cell r="A545" t="str">
            <v>EUR_EURIBOR_EOD</v>
          </cell>
          <cell r="F545">
            <v>1.0000940637486899</v>
          </cell>
        </row>
        <row r="546">
          <cell r="A546" t="str">
            <v>EUR_EURIBOR_EOD</v>
          </cell>
          <cell r="F546">
            <v>1.0001141511154701</v>
          </cell>
        </row>
        <row r="547">
          <cell r="A547" t="str">
            <v>EUR_EURIBOR_EOD</v>
          </cell>
          <cell r="F547">
            <v>1.0000933413964499</v>
          </cell>
        </row>
        <row r="548">
          <cell r="A548" t="str">
            <v>EUR_EURIBOR_EOD</v>
          </cell>
          <cell r="F548">
            <v>1.0001932646271401</v>
          </cell>
        </row>
        <row r="549">
          <cell r="A549" t="str">
            <v>EUR_EURIBOR_EOD</v>
          </cell>
          <cell r="F549">
            <v>1.00029668146974</v>
          </cell>
        </row>
        <row r="550">
          <cell r="A550" t="str">
            <v>EUR_EURIBOR_EOD</v>
          </cell>
          <cell r="F550">
            <v>1.0003966263448001</v>
          </cell>
        </row>
        <row r="551">
          <cell r="A551" t="str">
            <v>EUR_EURIBOR_EOD</v>
          </cell>
          <cell r="F551">
            <v>1.00045378004602</v>
          </cell>
        </row>
        <row r="552">
          <cell r="A552" t="str">
            <v>EUR_EURIBOR_EOD</v>
          </cell>
          <cell r="F552">
            <v>1.0004507453457501</v>
          </cell>
        </row>
        <row r="553">
          <cell r="A553" t="str">
            <v>EUR_EURIBOR_EOD</v>
          </cell>
          <cell r="F553">
            <v>1.0003693206377799</v>
          </cell>
        </row>
        <row r="554">
          <cell r="A554" t="str">
            <v>EUR_EURIBOR_EOD</v>
          </cell>
          <cell r="F554">
            <v>1.0002090261690499</v>
          </cell>
        </row>
        <row r="555">
          <cell r="A555" t="str">
            <v>EUR_EURIBOR_EOD</v>
          </cell>
          <cell r="F555">
            <v>0.99993907594984199</v>
          </cell>
        </row>
        <row r="556">
          <cell r="A556" t="str">
            <v>EUR_EURIBOR_EOD</v>
          </cell>
          <cell r="F556">
            <v>0.99955376104163696</v>
          </cell>
        </row>
        <row r="557">
          <cell r="A557" t="str">
            <v>EUR_EURIBOR_EOD</v>
          </cell>
          <cell r="F557">
            <v>0.999034805567523</v>
          </cell>
        </row>
        <row r="558">
          <cell r="A558" t="str">
            <v>EUR_EURIBOR_EOD</v>
          </cell>
          <cell r="F558">
            <v>0.99835771911172</v>
          </cell>
        </row>
        <row r="559">
          <cell r="A559" t="str">
            <v>EUR_EURIBOR_EOD</v>
          </cell>
          <cell r="F559">
            <v>0.99746263493334397</v>
          </cell>
        </row>
        <row r="560">
          <cell r="A560" t="str">
            <v>EUR_EURIBOR_EOD</v>
          </cell>
          <cell r="F560">
            <v>0.98983268626304899</v>
          </cell>
        </row>
        <row r="561">
          <cell r="A561" t="str">
            <v>EUR_EURIBOR_EOD</v>
          </cell>
          <cell r="F561">
            <v>0.98137380891605996</v>
          </cell>
        </row>
        <row r="562">
          <cell r="A562" t="str">
            <v>EUR_EURIBOR_EOD</v>
          </cell>
          <cell r="F562">
            <v>0.96994539287627202</v>
          </cell>
        </row>
        <row r="563">
          <cell r="A563" t="str">
            <v>EUR_EURIBOR_EOD</v>
          </cell>
          <cell r="F563">
            <v>0.95576786766245903</v>
          </cell>
        </row>
        <row r="564">
          <cell r="A564" t="str">
            <v>EUR_EURIBOR_EOD</v>
          </cell>
          <cell r="F564">
            <v>0.93939751556795004</v>
          </cell>
        </row>
        <row r="565">
          <cell r="A565" t="str">
            <v>EUR_EURIBOR_EOD</v>
          </cell>
          <cell r="F565">
            <v>0.92186552118992204</v>
          </cell>
        </row>
        <row r="566">
          <cell r="A566" t="str">
            <v>EUR_EURIBOR_EOD</v>
          </cell>
          <cell r="F566">
            <v>0.90366290013084705</v>
          </cell>
        </row>
        <row r="567">
          <cell r="A567" t="str">
            <v>EUR_EURIBOR_EOD</v>
          </cell>
          <cell r="F567">
            <v>0.86572229594307204</v>
          </cell>
        </row>
        <row r="568">
          <cell r="A568" t="str">
            <v>EUR_EURIBOR_EOD</v>
          </cell>
          <cell r="F568">
            <v>0.811128075442615</v>
          </cell>
        </row>
        <row r="569">
          <cell r="A569" t="str">
            <v>EUR_EURIBOR_EOD</v>
          </cell>
          <cell r="F569">
            <v>0.73305454607778997</v>
          </cell>
        </row>
        <row r="570">
          <cell r="A570" t="str">
            <v>EUR_EURIBOR_EOD</v>
          </cell>
          <cell r="F570">
            <v>0.67379915205798901</v>
          </cell>
        </row>
        <row r="571">
          <cell r="A571" t="str">
            <v>EUR_EURIBOR_EOD</v>
          </cell>
          <cell r="F571">
            <v>0.62195284734087897</v>
          </cell>
        </row>
        <row r="572">
          <cell r="A572" t="str">
            <v>EUR_EURIBOR_EOD</v>
          </cell>
          <cell r="F572">
            <v>0.52852811811887201</v>
          </cell>
        </row>
        <row r="573">
          <cell r="A573" t="str">
            <v>EUR_EURIBOR_EOD</v>
          </cell>
          <cell r="F573">
            <v>0.46413754489539</v>
          </cell>
        </row>
        <row r="574">
          <cell r="A574" t="str">
            <v>EUR_EURIBOR_EOD</v>
          </cell>
          <cell r="F574">
            <v>0.408914092079874</v>
          </cell>
        </row>
        <row r="575">
          <cell r="A575" t="str">
            <v>GBP_LIBOR_12M_EOD</v>
          </cell>
          <cell r="F575">
            <v>0.98958152198117399</v>
          </cell>
        </row>
        <row r="576">
          <cell r="A576" t="str">
            <v>GBP_LIBOR_12M_EOD</v>
          </cell>
          <cell r="F576">
            <v>0.98873178831674702</v>
          </cell>
        </row>
        <row r="577">
          <cell r="A577" t="str">
            <v>GBP_LIBOR_12M_EOD</v>
          </cell>
          <cell r="F577">
            <v>0.98767486208953204</v>
          </cell>
        </row>
        <row r="578">
          <cell r="A578" t="str">
            <v>GBP_LIBOR_12M_EOD</v>
          </cell>
          <cell r="F578">
            <v>0.98656690773814504</v>
          </cell>
        </row>
        <row r="579">
          <cell r="A579" t="str">
            <v>GBP_LIBOR_12M_EOD</v>
          </cell>
          <cell r="F579">
            <v>0.98528975843409305</v>
          </cell>
        </row>
        <row r="580">
          <cell r="A580" t="str">
            <v>GBP_LIBOR_12M_EOD</v>
          </cell>
          <cell r="F580">
            <v>0.98414460764854295</v>
          </cell>
        </row>
        <row r="581">
          <cell r="A581" t="str">
            <v>GBP_LIBOR_12M_EOD</v>
          </cell>
          <cell r="F581">
            <v>0.983106619059398</v>
          </cell>
        </row>
        <row r="582">
          <cell r="A582" t="str">
            <v>GBP_LIBOR_12M_EOD</v>
          </cell>
          <cell r="F582">
            <v>0.97931216177458102</v>
          </cell>
        </row>
        <row r="583">
          <cell r="A583" t="str">
            <v>GBP_LIBOR_12M_EOD</v>
          </cell>
          <cell r="F583">
            <v>0.97597264328150501</v>
          </cell>
        </row>
        <row r="584">
          <cell r="A584" t="str">
            <v>GBP_LIBOR_12M_EOD</v>
          </cell>
          <cell r="F584">
            <v>0.95919708946288396</v>
          </cell>
        </row>
        <row r="585">
          <cell r="A585" t="str">
            <v>GBP_LIBOR_12M_EOD</v>
          </cell>
          <cell r="F585">
            <v>0.94014059739070299</v>
          </cell>
        </row>
        <row r="586">
          <cell r="A586" t="str">
            <v>GBP_LIBOR_12M_EOD</v>
          </cell>
          <cell r="F586">
            <v>0.91989421587318099</v>
          </cell>
        </row>
        <row r="587">
          <cell r="A587" t="str">
            <v>GBP_LIBOR_12M_EOD</v>
          </cell>
          <cell r="F587">
            <v>0.89889096362996002</v>
          </cell>
        </row>
        <row r="588">
          <cell r="A588" t="str">
            <v>GBP_LIBOR_12M_EOD</v>
          </cell>
          <cell r="F588">
            <v>0.87785054789597905</v>
          </cell>
        </row>
        <row r="589">
          <cell r="A589" t="str">
            <v>GBP_LIBOR_12M_EOD</v>
          </cell>
          <cell r="F589">
            <v>0.85712234339802096</v>
          </cell>
        </row>
        <row r="590">
          <cell r="A590" t="str">
            <v>GBP_LIBOR_12M_EOD</v>
          </cell>
          <cell r="F590">
            <v>0.83666723966520995</v>
          </cell>
        </row>
        <row r="591">
          <cell r="A591" t="str">
            <v>GBP_LIBOR_12M_EOD</v>
          </cell>
          <cell r="F591">
            <v>0.81670925585430398</v>
          </cell>
        </row>
        <row r="592">
          <cell r="A592" t="str">
            <v>GBP_LIBOR_12M_EOD</v>
          </cell>
          <cell r="F592">
            <v>0.77760651054991903</v>
          </cell>
        </row>
        <row r="593">
          <cell r="A593" t="str">
            <v>GBP_LIBOR_12M_EOD</v>
          </cell>
          <cell r="F593">
            <v>0.72233099230900699</v>
          </cell>
        </row>
        <row r="594">
          <cell r="A594" t="str">
            <v>GBP_LIBOR_12M_EOD</v>
          </cell>
          <cell r="F594">
            <v>0.64276115938435796</v>
          </cell>
        </row>
        <row r="595">
          <cell r="A595" t="str">
            <v>GBP_LIBOR_12M_EOD</v>
          </cell>
          <cell r="F595">
            <v>0.57959571080996597</v>
          </cell>
        </row>
        <row r="596">
          <cell r="A596" t="str">
            <v>GBP_LIBOR_12M_EOD</v>
          </cell>
          <cell r="F596">
            <v>0.52442245972739299</v>
          </cell>
        </row>
        <row r="597">
          <cell r="A597" t="str">
            <v>GBP_LIBOR_12M_EOD</v>
          </cell>
          <cell r="F597">
            <v>0.435760522693105</v>
          </cell>
        </row>
        <row r="598">
          <cell r="A598" t="str">
            <v>GBP_LIBOR_12M_EOD</v>
          </cell>
          <cell r="F598">
            <v>0.36895746937833301</v>
          </cell>
        </row>
        <row r="599">
          <cell r="A599" t="str">
            <v>GBP_LIBOR_12M_EOD</v>
          </cell>
          <cell r="F599">
            <v>0.30345469140333498</v>
          </cell>
        </row>
        <row r="600">
          <cell r="A600" t="str">
            <v>GBP_LIBOR_1M_EOD</v>
          </cell>
          <cell r="F600">
            <v>0.99958361728240397</v>
          </cell>
        </row>
        <row r="601">
          <cell r="A601" t="str">
            <v>GBP_LIBOR_1M_EOD</v>
          </cell>
          <cell r="F601">
            <v>0.99910841773916803</v>
          </cell>
        </row>
        <row r="602">
          <cell r="A602" t="str">
            <v>GBP_LIBOR_1M_EOD</v>
          </cell>
          <cell r="F602">
            <v>0.99869456532364098</v>
          </cell>
        </row>
        <row r="603">
          <cell r="A603" t="str">
            <v>GBP_LIBOR_1M_EOD</v>
          </cell>
          <cell r="F603">
            <v>0.99727741556193905</v>
          </cell>
        </row>
        <row r="604">
          <cell r="A604" t="str">
            <v>GBP_LIBOR_1M_EOD</v>
          </cell>
          <cell r="F604">
            <v>0.99565354313694898</v>
          </cell>
        </row>
        <row r="605">
          <cell r="A605" t="str">
            <v>GBP_LIBOR_1M_EOD</v>
          </cell>
          <cell r="F605">
            <v>0.99379184364295103</v>
          </cell>
        </row>
        <row r="606">
          <cell r="A606" t="str">
            <v>GBP_LIBOR_1M_EOD</v>
          </cell>
          <cell r="F606">
            <v>0.98402509476196598</v>
          </cell>
        </row>
        <row r="607">
          <cell r="A607" t="str">
            <v>GBP_LIBOR_1M_EOD</v>
          </cell>
          <cell r="F607">
            <v>0.970374137440699</v>
          </cell>
        </row>
        <row r="608">
          <cell r="A608" t="str">
            <v>GBP_LIBOR_1M_EOD</v>
          </cell>
          <cell r="F608">
            <v>0.95433660319842795</v>
          </cell>
        </row>
        <row r="609">
          <cell r="A609" t="str">
            <v>GBP_LIBOR_1M_EOD</v>
          </cell>
          <cell r="F609">
            <v>0.93695169624590102</v>
          </cell>
        </row>
        <row r="610">
          <cell r="A610" t="str">
            <v>GBP_LIBOR_1M_EOD</v>
          </cell>
          <cell r="F610">
            <v>0.91855531225931997</v>
          </cell>
        </row>
        <row r="611">
          <cell r="A611" t="str">
            <v>GBP_LIBOR_1M_EOD</v>
          </cell>
          <cell r="F611">
            <v>0.89995290872687606</v>
          </cell>
        </row>
        <row r="612">
          <cell r="A612" t="str">
            <v>GBP_LIBOR_1M_EOD</v>
          </cell>
          <cell r="F612">
            <v>0.88117192956773704</v>
          </cell>
        </row>
        <row r="613">
          <cell r="A613" t="str">
            <v>GBP_LIBOR_1M_EOD</v>
          </cell>
          <cell r="F613">
            <v>0.86242279523973697</v>
          </cell>
        </row>
        <row r="614">
          <cell r="A614" t="str">
            <v>GBP_LIBOR_1M_EOD</v>
          </cell>
          <cell r="F614">
            <v>0.84389188560447703</v>
          </cell>
        </row>
        <row r="615">
          <cell r="A615" t="str">
            <v>GBP_LIBOR_1M_EOD</v>
          </cell>
          <cell r="F615">
            <v>0.80626958827833695</v>
          </cell>
        </row>
        <row r="616">
          <cell r="A616" t="str">
            <v>GBP_LIBOR_1M_EOD</v>
          </cell>
          <cell r="F616">
            <v>0.75192243141245096</v>
          </cell>
        </row>
        <row r="617">
          <cell r="A617" t="str">
            <v>GBP_LIBOR_1M_EOD</v>
          </cell>
          <cell r="F617">
            <v>0.67246044592241905</v>
          </cell>
        </row>
        <row r="618">
          <cell r="A618" t="str">
            <v>GBP_LIBOR_1M_EOD</v>
          </cell>
          <cell r="F618">
            <v>0.609197694214066</v>
          </cell>
        </row>
        <row r="619">
          <cell r="A619" t="str">
            <v>GBP_LIBOR_1M_EOD</v>
          </cell>
          <cell r="F619">
            <v>0.55260782730915403</v>
          </cell>
        </row>
        <row r="620">
          <cell r="A620" t="str">
            <v>GBP_LIBOR_1M_EOD</v>
          </cell>
          <cell r="F620">
            <v>0.46471442844969901</v>
          </cell>
        </row>
        <row r="621">
          <cell r="A621" t="str">
            <v>GBP_LIBOR_1M_EOD</v>
          </cell>
          <cell r="F621">
            <v>0.392251502399453</v>
          </cell>
        </row>
        <row r="622">
          <cell r="A622" t="str">
            <v>GBP_LIBOR_1M_EOD</v>
          </cell>
          <cell r="F622">
            <v>0.32607353490635299</v>
          </cell>
        </row>
        <row r="623">
          <cell r="A623" t="str">
            <v>GBP_LIBOR_3M_EOD</v>
          </cell>
          <cell r="F623">
            <v>0.99854052359566603</v>
          </cell>
        </row>
        <row r="624">
          <cell r="A624" t="str">
            <v>GBP_LIBOR_3M_EOD</v>
          </cell>
          <cell r="F624">
            <v>0.99838722351308595</v>
          </cell>
        </row>
        <row r="625">
          <cell r="A625" t="str">
            <v>GBP_LIBOR_3M_EOD</v>
          </cell>
          <cell r="F625">
            <v>0.99674908141728402</v>
          </cell>
        </row>
        <row r="626">
          <cell r="A626" t="str">
            <v>GBP_LIBOR_3M_EOD</v>
          </cell>
          <cell r="F626">
            <v>0.99491875196796897</v>
          </cell>
        </row>
        <row r="627">
          <cell r="A627" t="str">
            <v>GBP_LIBOR_3M_EOD</v>
          </cell>
          <cell r="F627">
            <v>0.992690137394733</v>
          </cell>
        </row>
        <row r="628">
          <cell r="A628" t="str">
            <v>GBP_LIBOR_3M_EOD</v>
          </cell>
          <cell r="F628">
            <v>0.99038417301377002</v>
          </cell>
        </row>
        <row r="629">
          <cell r="A629" t="str">
            <v>GBP_LIBOR_3M_EOD</v>
          </cell>
          <cell r="F629">
            <v>0.98799354334909495</v>
          </cell>
        </row>
        <row r="630">
          <cell r="A630" t="str">
            <v>GBP_LIBOR_3M_EOD</v>
          </cell>
          <cell r="F630">
            <v>0.98491671501114997</v>
          </cell>
        </row>
        <row r="631">
          <cell r="A631" t="str">
            <v>GBP_LIBOR_3M_EOD</v>
          </cell>
          <cell r="F631">
            <v>0.98180831280112801</v>
          </cell>
        </row>
        <row r="632">
          <cell r="A632" t="str">
            <v>GBP_LIBOR_3M_EOD</v>
          </cell>
          <cell r="F632">
            <v>0.96798009071751601</v>
          </cell>
        </row>
        <row r="633">
          <cell r="A633" t="str">
            <v>GBP_LIBOR_3M_EOD</v>
          </cell>
          <cell r="F633">
            <v>0.95118419888554595</v>
          </cell>
        </row>
        <row r="634">
          <cell r="A634" t="str">
            <v>GBP_LIBOR_3M_EOD</v>
          </cell>
          <cell r="F634">
            <v>0.93311025361563504</v>
          </cell>
        </row>
        <row r="635">
          <cell r="A635" t="str">
            <v>GBP_LIBOR_3M_EOD</v>
          </cell>
          <cell r="F635">
            <v>0.914184109079344</v>
          </cell>
        </row>
        <row r="636">
          <cell r="A636" t="str">
            <v>GBP_LIBOR_3M_EOD</v>
          </cell>
          <cell r="F636">
            <v>0.89520640749937497</v>
          </cell>
        </row>
        <row r="637">
          <cell r="A637" t="str">
            <v>GBP_LIBOR_3M_EOD</v>
          </cell>
          <cell r="F637">
            <v>0.87604807657881201</v>
          </cell>
        </row>
        <row r="638">
          <cell r="A638" t="str">
            <v>GBP_LIBOR_3M_EOD</v>
          </cell>
          <cell r="F638">
            <v>0.85698321405815303</v>
          </cell>
        </row>
        <row r="639">
          <cell r="A639" t="str">
            <v>GBP_LIBOR_3M_EOD</v>
          </cell>
          <cell r="F639">
            <v>0.83809371739155203</v>
          </cell>
        </row>
        <row r="640">
          <cell r="A640" t="str">
            <v>GBP_LIBOR_3M_EOD</v>
          </cell>
          <cell r="F640">
            <v>0.80001769734065398</v>
          </cell>
        </row>
        <row r="641">
          <cell r="A641" t="str">
            <v>GBP_LIBOR_3M_EOD</v>
          </cell>
          <cell r="F641">
            <v>0.74461997560362603</v>
          </cell>
        </row>
        <row r="642">
          <cell r="A642" t="str">
            <v>GBP_LIBOR_3M_EOD</v>
          </cell>
          <cell r="F642">
            <v>0.66433469735454997</v>
          </cell>
        </row>
        <row r="643">
          <cell r="A643" t="str">
            <v>GBP_LIBOR_3M_EOD</v>
          </cell>
          <cell r="F643">
            <v>0.59997616143045396</v>
          </cell>
        </row>
        <row r="644">
          <cell r="A644" t="str">
            <v>GBP_LIBOR_3M_EOD</v>
          </cell>
          <cell r="F644">
            <v>0.54388736449609298</v>
          </cell>
        </row>
        <row r="645">
          <cell r="A645" t="str">
            <v>GBP_LIBOR_3M_EOD</v>
          </cell>
          <cell r="F645">
            <v>0.45575994991012803</v>
          </cell>
        </row>
        <row r="646">
          <cell r="A646" t="str">
            <v>GBP_LIBOR_3M_EOD</v>
          </cell>
          <cell r="F646">
            <v>0.38446045585829303</v>
          </cell>
        </row>
        <row r="647">
          <cell r="A647" t="str">
            <v>GBP_LIBOR_3M_EOD</v>
          </cell>
          <cell r="F647">
            <v>0.316925493957672</v>
          </cell>
        </row>
        <row r="648">
          <cell r="A648" t="str">
            <v>GBP_LIBOR_6M_EOD</v>
          </cell>
          <cell r="F648">
            <v>0.99632058371690102</v>
          </cell>
        </row>
        <row r="649">
          <cell r="A649" t="str">
            <v>GBP_LIBOR_6M_EOD</v>
          </cell>
          <cell r="F649">
            <v>0.99187794879690905</v>
          </cell>
        </row>
        <row r="650">
          <cell r="A650" t="str">
            <v>GBP_LIBOR_6M_EOD</v>
          </cell>
          <cell r="F650">
            <v>0.98656979784677701</v>
          </cell>
        </row>
        <row r="651">
          <cell r="A651" t="str">
            <v>GBP_LIBOR_6M_EOD</v>
          </cell>
          <cell r="F651">
            <v>0.98005889442454397</v>
          </cell>
        </row>
        <row r="652">
          <cell r="A652" t="str">
            <v>GBP_LIBOR_6M_EOD</v>
          </cell>
          <cell r="F652">
            <v>0.96466924070917004</v>
          </cell>
        </row>
        <row r="653">
          <cell r="A653" t="str">
            <v>GBP_LIBOR_6M_EOD</v>
          </cell>
          <cell r="F653">
            <v>0.94672063025362496</v>
          </cell>
        </row>
        <row r="654">
          <cell r="A654" t="str">
            <v>GBP_LIBOR_6M_EOD</v>
          </cell>
          <cell r="F654">
            <v>0.92745744785335404</v>
          </cell>
        </row>
        <row r="655">
          <cell r="A655" t="str">
            <v>GBP_LIBOR_6M_EOD</v>
          </cell>
          <cell r="F655">
            <v>0.90733996703702502</v>
          </cell>
        </row>
        <row r="656">
          <cell r="A656" t="str">
            <v>GBP_LIBOR_6M_EOD</v>
          </cell>
          <cell r="F656">
            <v>0.88715759436536701</v>
          </cell>
        </row>
        <row r="657">
          <cell r="A657" t="str">
            <v>GBP_LIBOR_6M_EOD</v>
          </cell>
          <cell r="F657">
            <v>0.86706053388218196</v>
          </cell>
        </row>
        <row r="658">
          <cell r="A658" t="str">
            <v>GBP_LIBOR_6M_EOD</v>
          </cell>
          <cell r="F658">
            <v>0.84699535871794496</v>
          </cell>
        </row>
        <row r="659">
          <cell r="A659" t="str">
            <v>GBP_LIBOR_6M_EOD</v>
          </cell>
          <cell r="F659">
            <v>0.82737012259801301</v>
          </cell>
        </row>
        <row r="660">
          <cell r="A660" t="str">
            <v>GBP_LIBOR_6M_EOD</v>
          </cell>
          <cell r="F660">
            <v>0.788540859136585</v>
          </cell>
        </row>
        <row r="661">
          <cell r="A661" t="str">
            <v>GBP_LIBOR_6M_EOD</v>
          </cell>
          <cell r="F661">
            <v>0.73343803324387702</v>
          </cell>
        </row>
        <row r="662">
          <cell r="A662" t="str">
            <v>GBP_LIBOR_6M_EOD</v>
          </cell>
          <cell r="F662">
            <v>0.65402692174463795</v>
          </cell>
        </row>
        <row r="663">
          <cell r="A663" t="str">
            <v>GBP_LIBOR_6M_EOD</v>
          </cell>
          <cell r="F663">
            <v>0.590461955253617</v>
          </cell>
        </row>
        <row r="664">
          <cell r="A664" t="str">
            <v>GBP_LIBOR_6M_EOD</v>
          </cell>
          <cell r="F664">
            <v>0.53490597152319097</v>
          </cell>
        </row>
        <row r="665">
          <cell r="A665" t="str">
            <v>GBP_LIBOR_6M_EOD</v>
          </cell>
          <cell r="F665">
            <v>0.44778708481871898</v>
          </cell>
        </row>
        <row r="666">
          <cell r="A666" t="str">
            <v>GBP_LIBOR_6M_EOD</v>
          </cell>
          <cell r="F666">
            <v>0.37707394966539598</v>
          </cell>
        </row>
        <row r="667">
          <cell r="A667" t="str">
            <v>GBP_LIBOR_6M_EOD</v>
          </cell>
          <cell r="F667">
            <v>0.31044538590897403</v>
          </cell>
        </row>
        <row r="668">
          <cell r="A668" t="str">
            <v>GBP_LIBOR_EOD</v>
          </cell>
          <cell r="F668">
            <v>0.99998681524233302</v>
          </cell>
        </row>
        <row r="669">
          <cell r="A669" t="str">
            <v>GBP_LIBOR_EOD</v>
          </cell>
          <cell r="F669">
            <v>0.999906899079547</v>
          </cell>
        </row>
        <row r="670">
          <cell r="A670" t="str">
            <v>GBP_LIBOR_EOD</v>
          </cell>
          <cell r="F670">
            <v>0.99841139780634403</v>
          </cell>
        </row>
        <row r="671">
          <cell r="A671" t="str">
            <v>GBP_LIBOR_EOD</v>
          </cell>
          <cell r="F671">
            <v>0.99677321604564395</v>
          </cell>
        </row>
        <row r="672">
          <cell r="A672" t="str">
            <v>GBP_LIBOR_EOD</v>
          </cell>
          <cell r="F672">
            <v>0.99494284227793295</v>
          </cell>
        </row>
        <row r="673">
          <cell r="A673" t="str">
            <v>GBP_LIBOR_EOD</v>
          </cell>
          <cell r="F673">
            <v>0.99271417374248605</v>
          </cell>
        </row>
        <row r="674">
          <cell r="A674" t="str">
            <v>GBP_LIBOR_EOD</v>
          </cell>
          <cell r="F674">
            <v>0.99040815352641398</v>
          </cell>
        </row>
        <row r="675">
          <cell r="A675" t="str">
            <v>GBP_LIBOR_EOD</v>
          </cell>
          <cell r="F675">
            <v>0.98801746597660001</v>
          </cell>
        </row>
        <row r="676">
          <cell r="A676" t="str">
            <v>GBP_LIBOR_EOD</v>
          </cell>
          <cell r="F676">
            <v>0.98494056313835299</v>
          </cell>
        </row>
        <row r="677">
          <cell r="A677" t="str">
            <v>GBP_LIBOR_EOD</v>
          </cell>
          <cell r="F677">
            <v>0.98183208566351798</v>
          </cell>
        </row>
        <row r="678">
          <cell r="A678" t="str">
            <v>GBP_LIBOR_EOD</v>
          </cell>
          <cell r="F678">
            <v>0.96460135871007402</v>
          </cell>
        </row>
        <row r="679">
          <cell r="A679" t="str">
            <v>GBP_LIBOR_EOD</v>
          </cell>
          <cell r="F679">
            <v>0.946616847551494</v>
          </cell>
        </row>
        <row r="680">
          <cell r="A680" t="str">
            <v>GBP_LIBOR_EOD</v>
          </cell>
          <cell r="F680">
            <v>0.92730178632087101</v>
          </cell>
        </row>
        <row r="681">
          <cell r="A681" t="str">
            <v>GBP_LIBOR_EOD</v>
          </cell>
          <cell r="F681">
            <v>0.90712645000907999</v>
          </cell>
        </row>
        <row r="682">
          <cell r="A682" t="str">
            <v>GBP_LIBOR_EOD</v>
          </cell>
          <cell r="F682">
            <v>0.88688408319305101</v>
          </cell>
        </row>
        <row r="683">
          <cell r="A683" t="str">
            <v>GBP_LIBOR_EOD</v>
          </cell>
          <cell r="F683">
            <v>0.86672617985940903</v>
          </cell>
        </row>
        <row r="684">
          <cell r="A684" t="str">
            <v>GBP_LIBOR_EOD</v>
          </cell>
          <cell r="F684">
            <v>0.84659946872599401</v>
          </cell>
        </row>
        <row r="685">
          <cell r="A685" t="str">
            <v>GBP_LIBOR_EOD</v>
          </cell>
          <cell r="F685">
            <v>0.82691271138126199</v>
          </cell>
        </row>
        <row r="686">
          <cell r="A686" t="str">
            <v>GBP_LIBOR_EOD</v>
          </cell>
          <cell r="F686">
            <v>0.78796269780755901</v>
          </cell>
        </row>
        <row r="687">
          <cell r="A687" t="str">
            <v>GBP_LIBOR_EOD</v>
          </cell>
          <cell r="F687">
            <v>0.732724473068745</v>
          </cell>
        </row>
        <row r="688">
          <cell r="A688" t="str">
            <v>GBP_LIBOR_EOD</v>
          </cell>
          <cell r="F688">
            <v>0.65324260470184903</v>
          </cell>
        </row>
        <row r="689">
          <cell r="A689" t="str">
            <v>GBP_LIBOR_EOD</v>
          </cell>
          <cell r="F689">
            <v>0.58978243024575505</v>
          </cell>
        </row>
        <row r="690">
          <cell r="A690" t="str">
            <v>GBP_LIBOR_EOD</v>
          </cell>
          <cell r="F690">
            <v>0.53435078318407703</v>
          </cell>
        </row>
        <row r="691">
          <cell r="A691" t="str">
            <v>GBP_LIBOR_EOD</v>
          </cell>
          <cell r="F691">
            <v>0.44761955989090102</v>
          </cell>
        </row>
        <row r="692">
          <cell r="A692" t="str">
            <v>GBP_LIBOR_EOD</v>
          </cell>
          <cell r="F692">
            <v>0.37721710178054102</v>
          </cell>
        </row>
        <row r="693">
          <cell r="A693" t="str">
            <v>GBP_LIBOR_EOD</v>
          </cell>
          <cell r="F693">
            <v>0.31058968740009801</v>
          </cell>
        </row>
        <row r="694">
          <cell r="A694" t="str">
            <v>GBP_SONIA_EOD</v>
          </cell>
          <cell r="F694">
            <v>0.99998742207601499</v>
          </cell>
        </row>
        <row r="695">
          <cell r="A695" t="str">
            <v>GBP_SONIA_EOD</v>
          </cell>
          <cell r="F695">
            <v>0.999911750254458</v>
          </cell>
        </row>
        <row r="696">
          <cell r="A696" t="str">
            <v>GBP_SONIA_EOD</v>
          </cell>
          <cell r="F696">
            <v>0.99982301762967396</v>
          </cell>
        </row>
        <row r="697">
          <cell r="A697" t="str">
            <v>GBP_SONIA_EOD</v>
          </cell>
          <cell r="F697">
            <v>0.99962289568624196</v>
          </cell>
        </row>
        <row r="698">
          <cell r="A698" t="str">
            <v>GBP_SONIA_EOD</v>
          </cell>
          <cell r="F698">
            <v>0.99919976417790601</v>
          </cell>
        </row>
        <row r="699">
          <cell r="A699" t="str">
            <v>GBP_SONIA_EOD</v>
          </cell>
          <cell r="F699">
            <v>0.99882694787284798</v>
          </cell>
        </row>
        <row r="700">
          <cell r="A700" t="str">
            <v>GBP_SONIA_EOD</v>
          </cell>
          <cell r="F700">
            <v>0.99840988932818497</v>
          </cell>
        </row>
        <row r="701">
          <cell r="A701" t="str">
            <v>GBP_SONIA_EOD</v>
          </cell>
          <cell r="F701">
            <v>0.99796943296183405</v>
          </cell>
        </row>
        <row r="702">
          <cell r="A702" t="str">
            <v>GBP_SONIA_EOD</v>
          </cell>
          <cell r="F702">
            <v>0.99754908407642895</v>
          </cell>
        </row>
        <row r="703">
          <cell r="A703" t="str">
            <v>GBP_SONIA_EOD</v>
          </cell>
          <cell r="F703">
            <v>0.99707465364922498</v>
          </cell>
        </row>
        <row r="704">
          <cell r="A704" t="str">
            <v>GBP_SONIA_EOD</v>
          </cell>
          <cell r="F704">
            <v>0.99657105836965798</v>
          </cell>
        </row>
        <row r="705">
          <cell r="A705" t="str">
            <v>GBP_SONIA_EOD</v>
          </cell>
          <cell r="F705">
            <v>0.99607251336944203</v>
          </cell>
        </row>
        <row r="706">
          <cell r="A706" t="str">
            <v>GBP_SONIA_EOD</v>
          </cell>
          <cell r="F706">
            <v>0.99557460813201504</v>
          </cell>
        </row>
        <row r="707">
          <cell r="A707" t="str">
            <v>GBP_SONIA_EOD</v>
          </cell>
          <cell r="F707">
            <v>0.99498178076898103</v>
          </cell>
        </row>
        <row r="708">
          <cell r="A708" t="str">
            <v>GBP_SONIA_EOD</v>
          </cell>
          <cell r="F708">
            <v>0.99441717036973998</v>
          </cell>
        </row>
        <row r="709">
          <cell r="A709" t="str">
            <v>GBP_SONIA_EOD</v>
          </cell>
          <cell r="F709">
            <v>0.99256650119784895</v>
          </cell>
        </row>
        <row r="710">
          <cell r="A710" t="str">
            <v>GBP_SONIA_EOD</v>
          </cell>
          <cell r="F710">
            <v>0.99050710142042697</v>
          </cell>
        </row>
        <row r="711">
          <cell r="A711" t="str">
            <v>GBP_SONIA_EOD</v>
          </cell>
          <cell r="F711">
            <v>0.98812798793589296</v>
          </cell>
        </row>
        <row r="712">
          <cell r="A712" t="str">
            <v>GBP_SONIA_EOD</v>
          </cell>
          <cell r="F712">
            <v>0.98551700930165098</v>
          </cell>
        </row>
        <row r="713">
          <cell r="A713" t="str">
            <v>GBP_SONIA_EOD</v>
          </cell>
          <cell r="F713">
            <v>0.97324987399771501</v>
          </cell>
        </row>
        <row r="714">
          <cell r="A714" t="str">
            <v>GBP_SONIA_EOD</v>
          </cell>
          <cell r="F714">
            <v>0.95863162881024699</v>
          </cell>
        </row>
        <row r="715">
          <cell r="A715" t="str">
            <v>GBP_SONIA_EOD</v>
          </cell>
          <cell r="F715">
            <v>0.94247413887554898</v>
          </cell>
        </row>
        <row r="716">
          <cell r="A716" t="str">
            <v>GBP_SONIA_EOD</v>
          </cell>
          <cell r="F716">
            <v>0.925264580512701</v>
          </cell>
        </row>
        <row r="717">
          <cell r="A717" t="str">
            <v>GBP_SONIA_EOD</v>
          </cell>
          <cell r="F717">
            <v>0.90778559518941104</v>
          </cell>
        </row>
        <row r="718">
          <cell r="A718" t="str">
            <v>GBP_SONIA_EOD</v>
          </cell>
          <cell r="F718">
            <v>0.89002895546665695</v>
          </cell>
        </row>
        <row r="719">
          <cell r="A719" t="str">
            <v>GBP_SONIA_EOD</v>
          </cell>
          <cell r="F719">
            <v>0.87218264731513095</v>
          </cell>
        </row>
        <row r="720">
          <cell r="A720" t="str">
            <v>GBP_SONIA_EOD</v>
          </cell>
          <cell r="F720">
            <v>0.854268162504766</v>
          </cell>
        </row>
        <row r="721">
          <cell r="A721" t="str">
            <v>GBP_SONIA_EOD</v>
          </cell>
          <cell r="F721">
            <v>0.81789924768382904</v>
          </cell>
        </row>
        <row r="722">
          <cell r="A722" t="str">
            <v>GBP_SONIA_EOD</v>
          </cell>
          <cell r="F722">
            <v>0.76404835044562003</v>
          </cell>
        </row>
        <row r="723">
          <cell r="A723" t="str">
            <v>GBP_SONIA_EOD</v>
          </cell>
          <cell r="F723">
            <v>0.68519214215790203</v>
          </cell>
        </row>
        <row r="724">
          <cell r="A724" t="str">
            <v>GBP_SONIA_EOD</v>
          </cell>
          <cell r="F724">
            <v>0.62158316075842102</v>
          </cell>
        </row>
        <row r="725">
          <cell r="A725" t="str">
            <v>GBP_SONIA_EOD</v>
          </cell>
          <cell r="F725">
            <v>0.56571818012998698</v>
          </cell>
        </row>
        <row r="726">
          <cell r="A726" t="str">
            <v>GBP_SONIA_EOD</v>
          </cell>
          <cell r="F726">
            <v>0.47742755721598401</v>
          </cell>
        </row>
        <row r="727">
          <cell r="A727" t="str">
            <v>GBP_SONIA_EOD</v>
          </cell>
          <cell r="F727">
            <v>0.40524081688205699</v>
          </cell>
        </row>
        <row r="728">
          <cell r="A728" t="str">
            <v>GBP_SONIA_EOD</v>
          </cell>
          <cell r="F728">
            <v>0.33637064771633401</v>
          </cell>
        </row>
        <row r="729">
          <cell r="A729" t="str">
            <v>HKD_HIBOR_3M_EOD</v>
          </cell>
          <cell r="F729">
            <v>0.999005997517179</v>
          </cell>
        </row>
        <row r="730">
          <cell r="A730" t="str">
            <v>HKD_HIBOR_3M_EOD</v>
          </cell>
          <cell r="F730">
            <v>0.99756349337525696</v>
          </cell>
        </row>
        <row r="731">
          <cell r="A731" t="str">
            <v>HKD_HIBOR_3M_EOD</v>
          </cell>
          <cell r="F731">
            <v>0.99570629653508602</v>
          </cell>
        </row>
        <row r="732">
          <cell r="A732" t="str">
            <v>HKD_HIBOR_3M_EOD</v>
          </cell>
          <cell r="F732">
            <v>0.99340269095297695</v>
          </cell>
        </row>
        <row r="733">
          <cell r="A733" t="str">
            <v>HKD_HIBOR_3M_EOD</v>
          </cell>
          <cell r="F733">
            <v>0.98087765546176697</v>
          </cell>
        </row>
        <row r="734">
          <cell r="A734" t="str">
            <v>HKD_HIBOR_3M_EOD</v>
          </cell>
          <cell r="F734">
            <v>0.96416156283661902</v>
          </cell>
        </row>
        <row r="735">
          <cell r="A735" t="str">
            <v>HKD_HIBOR_3M_EOD</v>
          </cell>
          <cell r="F735">
            <v>0.94419415640773696</v>
          </cell>
        </row>
        <row r="736">
          <cell r="A736" t="str">
            <v>HKD_HIBOR_3M_EOD</v>
          </cell>
          <cell r="F736">
            <v>0.92254559866568697</v>
          </cell>
        </row>
        <row r="737">
          <cell r="A737" t="str">
            <v>HKD_HIBOR_3M_EOD</v>
          </cell>
          <cell r="F737">
            <v>0.87659616831381104</v>
          </cell>
        </row>
        <row r="738">
          <cell r="A738" t="str">
            <v>HKD_HIBOR_3M_EOD</v>
          </cell>
          <cell r="F738">
            <v>0.80861998170218297</v>
          </cell>
        </row>
        <row r="739">
          <cell r="A739" t="str">
            <v>HKD_HIBOR_3M_EOD</v>
          </cell>
          <cell r="F739">
            <v>0.76810368395624096</v>
          </cell>
        </row>
        <row r="740">
          <cell r="A740" t="str">
            <v>HKD_HIBOR_3M_EOD</v>
          </cell>
          <cell r="F740">
            <v>0.70893806079899702</v>
          </cell>
        </row>
        <row r="741">
          <cell r="A741" t="str">
            <v>HKD_HIBOR_6M_EOD</v>
          </cell>
          <cell r="F741">
            <v>0.99721133102461101</v>
          </cell>
        </row>
        <row r="742">
          <cell r="A742" t="str">
            <v>HKD_HIBOR_6M_EOD</v>
          </cell>
          <cell r="F742">
            <v>0.99191624950300095</v>
          </cell>
        </row>
        <row r="743">
          <cell r="A743" t="str">
            <v>HKD_HIBOR_6M_EOD</v>
          </cell>
          <cell r="F743">
            <v>0.97814211271167395</v>
          </cell>
        </row>
        <row r="744">
          <cell r="A744" t="str">
            <v>HKD_HIBOR_6M_EOD</v>
          </cell>
          <cell r="F744">
            <v>0.96042716606484602</v>
          </cell>
        </row>
        <row r="745">
          <cell r="A745" t="str">
            <v>HKD_HIBOR_6M_EOD</v>
          </cell>
          <cell r="F745">
            <v>0.93970075466513003</v>
          </cell>
        </row>
        <row r="746">
          <cell r="A746" t="str">
            <v>HKD_HIBOR_6M_EOD</v>
          </cell>
          <cell r="F746">
            <v>0.917541315797471</v>
          </cell>
        </row>
        <row r="747">
          <cell r="A747" t="str">
            <v>HKD_HIBOR_6M_EOD</v>
          </cell>
          <cell r="F747">
            <v>0.87058123794292797</v>
          </cell>
        </row>
        <row r="748">
          <cell r="A748" t="str">
            <v>HKD_HIBOR_6M_EOD</v>
          </cell>
          <cell r="F748">
            <v>0.80067560284085804</v>
          </cell>
        </row>
        <row r="749">
          <cell r="A749" t="str">
            <v>HKD_HIBOR_6M_EOD</v>
          </cell>
          <cell r="F749">
            <v>0.75803004612118396</v>
          </cell>
        </row>
        <row r="750">
          <cell r="A750" t="str">
            <v>HKD_HIBOR_6M_EOD</v>
          </cell>
          <cell r="F750">
            <v>0.69736183179202305</v>
          </cell>
        </row>
        <row r="751">
          <cell r="A751" t="str">
            <v>HKD_HIBOR_EOD</v>
          </cell>
          <cell r="F751">
            <v>0.99999864164568097</v>
          </cell>
        </row>
        <row r="752">
          <cell r="A752" t="str">
            <v>HKD_HIBOR_EOD</v>
          </cell>
          <cell r="F752">
            <v>0.99998148006902199</v>
          </cell>
        </row>
        <row r="753">
          <cell r="A753" t="str">
            <v>HKD_HIBOR_EOD</v>
          </cell>
          <cell r="F753">
            <v>0.99979922114216302</v>
          </cell>
        </row>
        <row r="754">
          <cell r="A754" t="str">
            <v>HKD_HIBOR_EOD</v>
          </cell>
          <cell r="F754">
            <v>0.99944638994153501</v>
          </cell>
        </row>
        <row r="755">
          <cell r="A755" t="str">
            <v>HKD_HIBOR_EOD</v>
          </cell>
          <cell r="F755">
            <v>0.999005997517179</v>
          </cell>
        </row>
        <row r="756">
          <cell r="A756" t="str">
            <v>HKD_HIBOR_EOD</v>
          </cell>
          <cell r="F756">
            <v>0.99721133102461101</v>
          </cell>
        </row>
        <row r="757">
          <cell r="A757" t="str">
            <v>HKD_HIBOR_EOD</v>
          </cell>
          <cell r="F757">
            <v>0.993406757115749</v>
          </cell>
        </row>
        <row r="758">
          <cell r="A758" t="str">
            <v>HKD_HIBOR_EOD</v>
          </cell>
          <cell r="F758">
            <v>0.98087744588922299</v>
          </cell>
        </row>
        <row r="759">
          <cell r="A759" t="str">
            <v>HKD_HIBOR_EOD</v>
          </cell>
          <cell r="F759">
            <v>0.96416181968997094</v>
          </cell>
        </row>
        <row r="760">
          <cell r="A760" t="str">
            <v>HKD_HIBOR_EOD</v>
          </cell>
          <cell r="F760">
            <v>0.94419332337352602</v>
          </cell>
        </row>
        <row r="761">
          <cell r="A761" t="str">
            <v>HKD_HIBOR_EOD</v>
          </cell>
          <cell r="F761">
            <v>0.92254336302598705</v>
          </cell>
        </row>
        <row r="762">
          <cell r="A762" t="str">
            <v>HKD_HIBOR_EOD</v>
          </cell>
          <cell r="F762">
            <v>0.87659338012191002</v>
          </cell>
        </row>
        <row r="763">
          <cell r="A763" t="str">
            <v>HKD_HIBOR_EOD</v>
          </cell>
          <cell r="F763">
            <v>0.80861752563567701</v>
          </cell>
        </row>
        <row r="764">
          <cell r="A764" t="str">
            <v>HKD_HIBOR_EOD</v>
          </cell>
          <cell r="F764">
            <v>0.76810089145405602</v>
          </cell>
        </row>
        <row r="765">
          <cell r="A765" t="str">
            <v>HKD_HIBOR_EOD</v>
          </cell>
          <cell r="F765">
            <v>0.70893549225281205</v>
          </cell>
        </row>
        <row r="766">
          <cell r="A766" t="str">
            <v>HUF_BUBOR_3M_EOD</v>
          </cell>
          <cell r="F766">
            <v>0.99649883531201899</v>
          </cell>
        </row>
        <row r="767">
          <cell r="A767" t="str">
            <v>HUF_BUBOR_3M_EOD</v>
          </cell>
          <cell r="F767">
            <v>0.99300978509765803</v>
          </cell>
        </row>
        <row r="768">
          <cell r="A768" t="str">
            <v>HUF_BUBOR_3M_EOD</v>
          </cell>
          <cell r="F768">
            <v>0.989431889448535</v>
          </cell>
        </row>
        <row r="769">
          <cell r="A769" t="str">
            <v>HUF_BUBOR_3M_EOD</v>
          </cell>
          <cell r="F769">
            <v>0.98577903048556903</v>
          </cell>
        </row>
        <row r="770">
          <cell r="A770" t="str">
            <v>HUF_BUBOR_3M_EOD</v>
          </cell>
          <cell r="F770">
            <v>0.96895042104169804</v>
          </cell>
        </row>
        <row r="771">
          <cell r="A771" t="str">
            <v>HUF_BUBOR_3M_EOD</v>
          </cell>
          <cell r="F771">
            <v>0.94827515617593605</v>
          </cell>
        </row>
        <row r="772">
          <cell r="A772" t="str">
            <v>HUF_BUBOR_3M_EOD</v>
          </cell>
          <cell r="F772">
            <v>0.92308697770011705</v>
          </cell>
        </row>
        <row r="773">
          <cell r="A773" t="str">
            <v>HUF_BUBOR_3M_EOD</v>
          </cell>
          <cell r="F773">
            <v>0.89293413845505798</v>
          </cell>
        </row>
        <row r="774">
          <cell r="A774" t="str">
            <v>HUF_BUBOR_3M_EOD</v>
          </cell>
          <cell r="F774">
            <v>0.85886429802975905</v>
          </cell>
        </row>
        <row r="775">
          <cell r="A775" t="str">
            <v>HUF_BUBOR_3M_EOD</v>
          </cell>
          <cell r="F775">
            <v>0.82296492761976303</v>
          </cell>
        </row>
        <row r="776">
          <cell r="A776" t="str">
            <v>HUF_BUBOR_3M_EOD</v>
          </cell>
          <cell r="F776">
            <v>0.78631284636793297</v>
          </cell>
        </row>
        <row r="777">
          <cell r="A777" t="str">
            <v>HUF_BUBOR_3M_EOD</v>
          </cell>
          <cell r="F777">
            <v>0.75090967295319799</v>
          </cell>
        </row>
        <row r="778">
          <cell r="A778" t="str">
            <v>HUF_BUBOR_3M_EOD</v>
          </cell>
          <cell r="F778">
            <v>0.71802014532278602</v>
          </cell>
        </row>
        <row r="779">
          <cell r="A779" t="str">
            <v>HUF_BUBOR_3M_EOD</v>
          </cell>
          <cell r="F779">
            <v>0.66348813845157195</v>
          </cell>
        </row>
        <row r="780">
          <cell r="A780" t="str">
            <v>HUF_BUBOR_3M_EOD</v>
          </cell>
          <cell r="F780">
            <v>0.59498175244304896</v>
          </cell>
        </row>
        <row r="781">
          <cell r="A781" t="str">
            <v>HUF_BUBOR_3M_EOD</v>
          </cell>
          <cell r="F781">
            <v>0.49797621363077799</v>
          </cell>
        </row>
        <row r="782">
          <cell r="A782" t="str">
            <v>HUF_BUBOR_6M_EOD</v>
          </cell>
          <cell r="F782">
            <v>0.99304620577194003</v>
          </cell>
        </row>
        <row r="783">
          <cell r="A783" t="str">
            <v>HUF_BUBOR_6M_EOD</v>
          </cell>
          <cell r="F783">
            <v>0.98581579459403401</v>
          </cell>
        </row>
        <row r="784">
          <cell r="A784" t="str">
            <v>HUF_BUBOR_6M_EOD</v>
          </cell>
          <cell r="F784">
            <v>0.97805443457448005</v>
          </cell>
        </row>
        <row r="785">
          <cell r="A785" t="str">
            <v>HUF_BUBOR_6M_EOD</v>
          </cell>
          <cell r="F785">
            <v>0.96929968943462497</v>
          </cell>
        </row>
        <row r="786">
          <cell r="A786" t="str">
            <v>HUF_BUBOR_6M_EOD</v>
          </cell>
          <cell r="F786">
            <v>0.94901787537562698</v>
          </cell>
        </row>
        <row r="787">
          <cell r="A787" t="str">
            <v>HUF_BUBOR_6M_EOD</v>
          </cell>
          <cell r="F787">
            <v>0.92427595980912902</v>
          </cell>
        </row>
        <row r="788">
          <cell r="A788" t="str">
            <v>HUF_BUBOR_6M_EOD</v>
          </cell>
          <cell r="F788">
            <v>0.89450402983671795</v>
          </cell>
        </row>
        <row r="789">
          <cell r="A789" t="str">
            <v>HUF_BUBOR_6M_EOD</v>
          </cell>
          <cell r="F789">
            <v>0.86077722176436</v>
          </cell>
        </row>
        <row r="790">
          <cell r="A790" t="str">
            <v>HUF_BUBOR_6M_EOD</v>
          </cell>
          <cell r="F790">
            <v>0.82515745234786297</v>
          </cell>
        </row>
        <row r="791">
          <cell r="A791" t="str">
            <v>HUF_BUBOR_6M_EOD</v>
          </cell>
          <cell r="F791">
            <v>0.78877074975108596</v>
          </cell>
        </row>
        <row r="792">
          <cell r="A792" t="str">
            <v>HUF_BUBOR_6M_EOD</v>
          </cell>
          <cell r="F792">
            <v>0.75361957639787203</v>
          </cell>
        </row>
        <row r="793">
          <cell r="A793" t="str">
            <v>HUF_BUBOR_6M_EOD</v>
          </cell>
          <cell r="F793">
            <v>0.72089113802646898</v>
          </cell>
        </row>
        <row r="794">
          <cell r="A794" t="str">
            <v>HUF_BUBOR_6M_EOD</v>
          </cell>
          <cell r="F794">
            <v>0.66666144826179197</v>
          </cell>
        </row>
        <row r="795">
          <cell r="A795" t="str">
            <v>HUF_BUBOR_6M_EOD</v>
          </cell>
          <cell r="F795">
            <v>0.59841667165106005</v>
          </cell>
        </row>
        <row r="796">
          <cell r="A796" t="str">
            <v>HUF_BUBOR_6M_EOD</v>
          </cell>
          <cell r="F796">
            <v>0.50140787206687398</v>
          </cell>
        </row>
        <row r="797">
          <cell r="A797" t="str">
            <v>HUF_BUBOR_EOD</v>
          </cell>
          <cell r="F797">
            <v>0.99997416733401001</v>
          </cell>
        </row>
        <row r="798">
          <cell r="A798" t="str">
            <v>HUF_BUBOR_EOD</v>
          </cell>
          <cell r="F798">
            <v>0.99994833533534699</v>
          </cell>
        </row>
        <row r="799">
          <cell r="A799" t="str">
            <v>HUF_BUBOR_EOD</v>
          </cell>
          <cell r="F799">
            <v>0.99968980444425404</v>
          </cell>
        </row>
        <row r="800">
          <cell r="A800" t="str">
            <v>HUF_BUBOR_EOD</v>
          </cell>
          <cell r="F800">
            <v>0.99882465759555195</v>
          </cell>
        </row>
        <row r="801">
          <cell r="A801" t="str">
            <v>HUF_BUBOR_EOD</v>
          </cell>
          <cell r="F801">
            <v>0.99766617396240798</v>
          </cell>
        </row>
        <row r="802">
          <cell r="A802" t="str">
            <v>HUF_BUBOR_EOD</v>
          </cell>
          <cell r="F802">
            <v>0.99652251238720801</v>
          </cell>
        </row>
        <row r="803">
          <cell r="A803" t="str">
            <v>HUF_BUBOR_EOD</v>
          </cell>
          <cell r="F803">
            <v>0.99303337927209301</v>
          </cell>
        </row>
        <row r="804">
          <cell r="A804" t="str">
            <v>HUF_BUBOR_EOD</v>
          </cell>
          <cell r="F804">
            <v>0.989455398611226</v>
          </cell>
        </row>
        <row r="805">
          <cell r="A805" t="str">
            <v>HUF_BUBOR_EOD</v>
          </cell>
          <cell r="F805">
            <v>0.98580245285536705</v>
          </cell>
        </row>
        <row r="806">
          <cell r="A806" t="str">
            <v>HUF_BUBOR_EOD</v>
          </cell>
          <cell r="F806">
            <v>0.96932338215092695</v>
          </cell>
        </row>
        <row r="807">
          <cell r="A807" t="str">
            <v>HUF_BUBOR_EOD</v>
          </cell>
          <cell r="F807">
            <v>0.949030880967765</v>
          </cell>
        </row>
        <row r="808">
          <cell r="A808" t="str">
            <v>HUF_BUBOR_EOD</v>
          </cell>
          <cell r="F808">
            <v>0.92427983674687897</v>
          </cell>
        </row>
        <row r="809">
          <cell r="A809" t="str">
            <v>HUF_BUBOR_EOD</v>
          </cell>
          <cell r="F809">
            <v>0.89450780516117201</v>
          </cell>
        </row>
        <row r="810">
          <cell r="A810" t="str">
            <v>HUF_BUBOR_EOD</v>
          </cell>
          <cell r="F810">
            <v>0.86078084733373394</v>
          </cell>
        </row>
        <row r="811">
          <cell r="A811" t="str">
            <v>HUF_BUBOR_EOD</v>
          </cell>
          <cell r="F811">
            <v>0.82516093096870102</v>
          </cell>
        </row>
        <row r="812">
          <cell r="A812" t="str">
            <v>HUF_BUBOR_EOD</v>
          </cell>
          <cell r="F812">
            <v>0.78877407046608905</v>
          </cell>
        </row>
        <row r="813">
          <cell r="A813" t="str">
            <v>HUF_BUBOR_EOD</v>
          </cell>
          <cell r="F813">
            <v>0.75362132723684205</v>
          </cell>
        </row>
        <row r="814">
          <cell r="A814" t="str">
            <v>HUF_BUBOR_EOD</v>
          </cell>
          <cell r="F814">
            <v>0.72089394366158799</v>
          </cell>
        </row>
        <row r="815">
          <cell r="A815" t="str">
            <v>HUF_BUBOR_EOD</v>
          </cell>
          <cell r="F815">
            <v>0.666664019332326</v>
          </cell>
        </row>
        <row r="816">
          <cell r="A816" t="str">
            <v>HUF_BUBOR_EOD</v>
          </cell>
          <cell r="F816">
            <v>0.59841716636914699</v>
          </cell>
        </row>
        <row r="817">
          <cell r="A817" t="str">
            <v>HUF_BUBOR_EOD</v>
          </cell>
          <cell r="F817">
            <v>0.50140670095121498</v>
          </cell>
        </row>
        <row r="818">
          <cell r="A818" t="str">
            <v>JPY_LIBOR_1M_EOD</v>
          </cell>
          <cell r="F818">
            <v>0.99995289103889096</v>
          </cell>
        </row>
        <row r="819">
          <cell r="A819" t="str">
            <v>JPY_LIBOR_1M_EOD</v>
          </cell>
          <cell r="F819">
            <v>0.99989641611792801</v>
          </cell>
        </row>
        <row r="820">
          <cell r="A820" t="str">
            <v>JPY_LIBOR_1M_EOD</v>
          </cell>
          <cell r="F820">
            <v>0.99985324746989601</v>
          </cell>
        </row>
        <row r="821">
          <cell r="A821" t="str">
            <v>JPY_LIBOR_1M_EOD</v>
          </cell>
          <cell r="F821">
            <v>0.99970343241942095</v>
          </cell>
        </row>
        <row r="822">
          <cell r="A822" t="str">
            <v>JPY_LIBOR_1M_EOD</v>
          </cell>
          <cell r="F822">
            <v>0.99954523074914103</v>
          </cell>
        </row>
        <row r="823">
          <cell r="A823" t="str">
            <v>JPY_LIBOR_1M_EOD</v>
          </cell>
          <cell r="F823">
            <v>0.99941278114735799</v>
          </cell>
        </row>
        <row r="824">
          <cell r="A824" t="str">
            <v>JPY_LIBOR_1M_EOD</v>
          </cell>
          <cell r="F824">
            <v>0.99886826307778398</v>
          </cell>
        </row>
        <row r="825">
          <cell r="A825" t="str">
            <v>JPY_LIBOR_1M_EOD</v>
          </cell>
          <cell r="F825">
            <v>0.99796785827947199</v>
          </cell>
        </row>
        <row r="826">
          <cell r="A826" t="str">
            <v>JPY_LIBOR_1M_EOD</v>
          </cell>
          <cell r="F826">
            <v>0.99605251504923698</v>
          </cell>
        </row>
        <row r="827">
          <cell r="A827" t="str">
            <v>JPY_LIBOR_1M_EOD</v>
          </cell>
          <cell r="F827">
            <v>0.99276178948000104</v>
          </cell>
        </row>
        <row r="828">
          <cell r="A828" t="str">
            <v>JPY_LIBOR_1M_EOD</v>
          </cell>
          <cell r="F828">
            <v>0.98807821490439196</v>
          </cell>
        </row>
        <row r="829">
          <cell r="A829" t="str">
            <v>JPY_LIBOR_1M_EOD</v>
          </cell>
          <cell r="F829">
            <v>0.98201847500810802</v>
          </cell>
        </row>
        <row r="830">
          <cell r="A830" t="str">
            <v>JPY_LIBOR_1M_EOD</v>
          </cell>
          <cell r="F830">
            <v>0.97442717361220399</v>
          </cell>
        </row>
        <row r="831">
          <cell r="A831" t="str">
            <v>JPY_LIBOR_1M_EOD</v>
          </cell>
          <cell r="F831">
            <v>0.96583682752227396</v>
          </cell>
        </row>
        <row r="832">
          <cell r="A832" t="str">
            <v>JPY_LIBOR_1M_EOD</v>
          </cell>
          <cell r="F832">
            <v>0.95551900787350297</v>
          </cell>
        </row>
        <row r="833">
          <cell r="A833" t="str">
            <v>JPY_LIBOR_1M_EOD</v>
          </cell>
          <cell r="F833">
            <v>0.93056687381909198</v>
          </cell>
        </row>
        <row r="834">
          <cell r="A834" t="str">
            <v>JPY_LIBOR_1M_EOD</v>
          </cell>
          <cell r="F834">
            <v>0.88341956591214998</v>
          </cell>
        </row>
        <row r="835">
          <cell r="A835" t="str">
            <v>JPY_LIBOR_1M_EOD</v>
          </cell>
          <cell r="F835">
            <v>0.79828799560923602</v>
          </cell>
        </row>
        <row r="836">
          <cell r="A836" t="str">
            <v>JPY_LIBOR_1M_EOD</v>
          </cell>
          <cell r="F836">
            <v>0.72283065274887004</v>
          </cell>
        </row>
        <row r="837">
          <cell r="A837" t="str">
            <v>JPY_LIBOR_1M_EOD</v>
          </cell>
          <cell r="F837">
            <v>0.65757459364861803</v>
          </cell>
        </row>
        <row r="838">
          <cell r="A838" t="str">
            <v>JPY_LIBOR_1M_EOD</v>
          </cell>
          <cell r="F838">
            <v>0.53916914917050995</v>
          </cell>
        </row>
        <row r="839">
          <cell r="A839" t="str">
            <v>JPY_LIBOR_3M_EOD</v>
          </cell>
          <cell r="F839">
            <v>0.99977493845258003</v>
          </cell>
        </row>
        <row r="840">
          <cell r="A840" t="str">
            <v>JPY_LIBOR_3M_EOD</v>
          </cell>
          <cell r="F840">
            <v>0.99968512853289304</v>
          </cell>
        </row>
        <row r="841">
          <cell r="A841" t="str">
            <v>JPY_LIBOR_3M_EOD</v>
          </cell>
          <cell r="F841">
            <v>0.99961762136391097</v>
          </cell>
        </row>
        <row r="842">
          <cell r="A842" t="str">
            <v>JPY_LIBOR_3M_EOD</v>
          </cell>
          <cell r="F842">
            <v>0.99956017184343504</v>
          </cell>
        </row>
        <row r="843">
          <cell r="A843" t="str">
            <v>JPY_LIBOR_3M_EOD</v>
          </cell>
          <cell r="F843">
            <v>0.99946681496023604</v>
          </cell>
        </row>
        <row r="844">
          <cell r="A844" t="str">
            <v>JPY_LIBOR_3M_EOD</v>
          </cell>
          <cell r="F844">
            <v>0.99940212528064698</v>
          </cell>
        </row>
        <row r="845">
          <cell r="A845" t="str">
            <v>JPY_LIBOR_3M_EOD</v>
          </cell>
          <cell r="F845">
            <v>0.99934309231616003</v>
          </cell>
        </row>
        <row r="846">
          <cell r="A846" t="str">
            <v>JPY_LIBOR_3M_EOD</v>
          </cell>
          <cell r="F846">
            <v>0.99925527123146096</v>
          </cell>
        </row>
        <row r="847">
          <cell r="A847" t="str">
            <v>JPY_LIBOR_3M_EOD</v>
          </cell>
          <cell r="F847">
            <v>0.99919146241398804</v>
          </cell>
        </row>
        <row r="848">
          <cell r="A848" t="str">
            <v>JPY_LIBOR_3M_EOD</v>
          </cell>
          <cell r="F848">
            <v>0.99913563290349405</v>
          </cell>
        </row>
        <row r="849">
          <cell r="A849" t="str">
            <v>JPY_LIBOR_3M_EOD</v>
          </cell>
          <cell r="F849">
            <v>0.99834003223437495</v>
          </cell>
        </row>
        <row r="850">
          <cell r="A850" t="str">
            <v>JPY_LIBOR_3M_EOD</v>
          </cell>
          <cell r="F850">
            <v>0.99717968694982495</v>
          </cell>
        </row>
        <row r="851">
          <cell r="A851" t="str">
            <v>JPY_LIBOR_3M_EOD</v>
          </cell>
          <cell r="F851">
            <v>0.99500571013746497</v>
          </cell>
        </row>
        <row r="852">
          <cell r="A852" t="str">
            <v>JPY_LIBOR_3M_EOD</v>
          </cell>
          <cell r="F852">
            <v>0.99145697580386605</v>
          </cell>
        </row>
        <row r="853">
          <cell r="A853" t="str">
            <v>JPY_LIBOR_3M_EOD</v>
          </cell>
          <cell r="F853">
            <v>0.98652067751311501</v>
          </cell>
        </row>
        <row r="854">
          <cell r="A854" t="str">
            <v>JPY_LIBOR_3M_EOD</v>
          </cell>
          <cell r="F854">
            <v>0.980211979892602</v>
          </cell>
        </row>
        <row r="855">
          <cell r="A855" t="str">
            <v>JPY_LIBOR_3M_EOD</v>
          </cell>
          <cell r="F855">
            <v>0.97247656473593003</v>
          </cell>
        </row>
        <row r="856">
          <cell r="A856" t="str">
            <v>JPY_LIBOR_3M_EOD</v>
          </cell>
          <cell r="F856">
            <v>0.96355447129569105</v>
          </cell>
        </row>
        <row r="857">
          <cell r="A857" t="str">
            <v>JPY_LIBOR_3M_EOD</v>
          </cell>
          <cell r="F857">
            <v>0.95301225834569803</v>
          </cell>
        </row>
        <row r="858">
          <cell r="A858" t="str">
            <v>JPY_LIBOR_3M_EOD</v>
          </cell>
          <cell r="F858">
            <v>0.92738323426482305</v>
          </cell>
        </row>
        <row r="859">
          <cell r="A859" t="str">
            <v>JPY_LIBOR_3M_EOD</v>
          </cell>
          <cell r="F859">
            <v>0.87996716108871098</v>
          </cell>
        </row>
        <row r="860">
          <cell r="A860" t="str">
            <v>JPY_LIBOR_3M_EOD</v>
          </cell>
          <cell r="F860">
            <v>0.79457106912817399</v>
          </cell>
        </row>
        <row r="861">
          <cell r="A861" t="str">
            <v>JPY_LIBOR_3M_EOD</v>
          </cell>
          <cell r="F861">
            <v>0.71888569278352898</v>
          </cell>
        </row>
        <row r="862">
          <cell r="A862" t="str">
            <v>JPY_LIBOR_3M_EOD</v>
          </cell>
          <cell r="F862">
            <v>0.653561779587294</v>
          </cell>
        </row>
        <row r="863">
          <cell r="A863" t="str">
            <v>JPY_LIBOR_3M_EOD</v>
          </cell>
          <cell r="F863">
            <v>0.53475606979281698</v>
          </cell>
        </row>
        <row r="864">
          <cell r="A864" t="str">
            <v>JPY_LIBOR_6M_EOD</v>
          </cell>
          <cell r="F864">
            <v>0.99933160462048698</v>
          </cell>
        </row>
        <row r="865">
          <cell r="A865" t="str">
            <v>JPY_LIBOR_6M_EOD</v>
          </cell>
          <cell r="F865">
            <v>0.99923543653525804</v>
          </cell>
        </row>
        <row r="866">
          <cell r="A866" t="str">
            <v>JPY_LIBOR_6M_EOD</v>
          </cell>
          <cell r="F866">
            <v>0.99915231633997903</v>
          </cell>
        </row>
        <row r="867">
          <cell r="A867" t="str">
            <v>JPY_LIBOR_6M_EOD</v>
          </cell>
          <cell r="F867">
            <v>0.99905903604624502</v>
          </cell>
        </row>
        <row r="868">
          <cell r="A868" t="str">
            <v>JPY_LIBOR_6M_EOD</v>
          </cell>
          <cell r="F868">
            <v>0.99896086932663097</v>
          </cell>
        </row>
        <row r="869">
          <cell r="A869" t="str">
            <v>JPY_LIBOR_6M_EOD</v>
          </cell>
          <cell r="F869">
            <v>0.99887512198973505</v>
          </cell>
        </row>
        <row r="870">
          <cell r="A870" t="str">
            <v>JPY_LIBOR_6M_EOD</v>
          </cell>
          <cell r="F870">
            <v>0.99878920659301795</v>
          </cell>
        </row>
        <row r="871">
          <cell r="A871" t="str">
            <v>JPY_LIBOR_6M_EOD</v>
          </cell>
          <cell r="F871">
            <v>0.99768666258952499</v>
          </cell>
        </row>
        <row r="872">
          <cell r="A872" t="str">
            <v>JPY_LIBOR_6M_EOD</v>
          </cell>
          <cell r="F872">
            <v>0.99612995590887798</v>
          </cell>
        </row>
        <row r="873">
          <cell r="A873" t="str">
            <v>JPY_LIBOR_6M_EOD</v>
          </cell>
          <cell r="F873">
            <v>0.99351355264438101</v>
          </cell>
        </row>
        <row r="874">
          <cell r="A874" t="str">
            <v>JPY_LIBOR_6M_EOD</v>
          </cell>
          <cell r="F874">
            <v>0.98947503070342302</v>
          </cell>
        </row>
        <row r="875">
          <cell r="A875" t="str">
            <v>JPY_LIBOR_6M_EOD</v>
          </cell>
          <cell r="F875">
            <v>0.98400827123029999</v>
          </cell>
        </row>
        <row r="876">
          <cell r="A876" t="str">
            <v>JPY_LIBOR_6M_EOD</v>
          </cell>
          <cell r="F876">
            <v>0.97713025892106598</v>
          </cell>
        </row>
        <row r="877">
          <cell r="A877" t="str">
            <v>JPY_LIBOR_6M_EOD</v>
          </cell>
          <cell r="F877">
            <v>0.96878765283684198</v>
          </cell>
        </row>
        <row r="878">
          <cell r="A878" t="str">
            <v>JPY_LIBOR_6M_EOD</v>
          </cell>
          <cell r="F878">
            <v>0.95923059521352305</v>
          </cell>
        </row>
        <row r="879">
          <cell r="A879" t="str">
            <v>JPY_LIBOR_6M_EOD</v>
          </cell>
          <cell r="F879">
            <v>0.94802442317884394</v>
          </cell>
        </row>
        <row r="880">
          <cell r="A880" t="str">
            <v>JPY_LIBOR_6M_EOD</v>
          </cell>
          <cell r="F880">
            <v>0.921687751799385</v>
          </cell>
        </row>
        <row r="881">
          <cell r="A881" t="str">
            <v>JPY_LIBOR_6M_EOD</v>
          </cell>
          <cell r="F881">
            <v>0.87343763536839003</v>
          </cell>
        </row>
        <row r="882">
          <cell r="A882" t="str">
            <v>JPY_LIBOR_6M_EOD</v>
          </cell>
          <cell r="F882">
            <v>0.78717072155743095</v>
          </cell>
        </row>
        <row r="883">
          <cell r="A883" t="str">
            <v>JPY_LIBOR_6M_EOD</v>
          </cell>
          <cell r="F883">
            <v>0.71130683894533497</v>
          </cell>
        </row>
        <row r="884">
          <cell r="A884" t="str">
            <v>JPY_LIBOR_6M_EOD</v>
          </cell>
          <cell r="F884">
            <v>0.64617096873183899</v>
          </cell>
        </row>
        <row r="885">
          <cell r="A885" t="str">
            <v>JPY_LIBOR_6M_EOD</v>
          </cell>
          <cell r="F885">
            <v>0.52662371776102002</v>
          </cell>
        </row>
        <row r="886">
          <cell r="A886" t="str">
            <v>JPY_LIBOR_EOD</v>
          </cell>
          <cell r="F886">
            <v>0.99999910722301899</v>
          </cell>
        </row>
        <row r="887">
          <cell r="A887" t="str">
            <v>JPY_LIBOR_EOD</v>
          </cell>
          <cell r="F887">
            <v>0.99999821444683601</v>
          </cell>
        </row>
        <row r="888">
          <cell r="A888" t="str">
            <v>JPY_LIBOR_EOD</v>
          </cell>
          <cell r="F888">
            <v>0.99999113089854996</v>
          </cell>
        </row>
        <row r="889">
          <cell r="A889" t="str">
            <v>JPY_LIBOR_EOD</v>
          </cell>
          <cell r="F889">
            <v>0.99995404980963598</v>
          </cell>
        </row>
        <row r="890">
          <cell r="A890" t="str">
            <v>JPY_LIBOR_EOD</v>
          </cell>
          <cell r="F890">
            <v>0.99986752231847498</v>
          </cell>
        </row>
        <row r="891">
          <cell r="A891" t="str">
            <v>JPY_LIBOR_EOD</v>
          </cell>
          <cell r="F891">
            <v>0.999777992792931</v>
          </cell>
        </row>
        <row r="892">
          <cell r="A892" t="str">
            <v>JPY_LIBOR_EOD</v>
          </cell>
          <cell r="F892">
            <v>0.99933708301282698</v>
          </cell>
        </row>
        <row r="893">
          <cell r="A893" t="str">
            <v>JPY_LIBOR_EOD</v>
          </cell>
          <cell r="F893">
            <v>0.99878353686363497</v>
          </cell>
        </row>
        <row r="894">
          <cell r="A894" t="str">
            <v>JPY_LIBOR_EOD</v>
          </cell>
          <cell r="F894">
            <v>0.99769216979406194</v>
          </cell>
        </row>
        <row r="895">
          <cell r="A895" t="str">
            <v>JPY_LIBOR_EOD</v>
          </cell>
          <cell r="F895">
            <v>0.996133782826498</v>
          </cell>
        </row>
        <row r="896">
          <cell r="A896" t="str">
            <v>JPY_LIBOR_EOD</v>
          </cell>
          <cell r="F896">
            <v>0.99351345811552505</v>
          </cell>
        </row>
        <row r="897">
          <cell r="A897" t="str">
            <v>JPY_LIBOR_EOD</v>
          </cell>
          <cell r="F897">
            <v>0.98946971594120703</v>
          </cell>
        </row>
        <row r="898">
          <cell r="A898" t="str">
            <v>JPY_LIBOR_EOD</v>
          </cell>
          <cell r="F898">
            <v>0.98399278317982897</v>
          </cell>
        </row>
        <row r="899">
          <cell r="A899" t="str">
            <v>JPY_LIBOR_EOD</v>
          </cell>
          <cell r="F899">
            <v>0.977097887975799</v>
          </cell>
        </row>
        <row r="900">
          <cell r="A900" t="str">
            <v>JPY_LIBOR_EOD</v>
          </cell>
          <cell r="F900">
            <v>0.96872950351210096</v>
          </cell>
        </row>
        <row r="901">
          <cell r="A901" t="str">
            <v>JPY_LIBOR_EOD</v>
          </cell>
          <cell r="F901">
            <v>0.95913420755436296</v>
          </cell>
        </row>
        <row r="902">
          <cell r="A902" t="str">
            <v>JPY_LIBOR_EOD</v>
          </cell>
          <cell r="F902">
            <v>0.94787660163699194</v>
          </cell>
        </row>
        <row r="903">
          <cell r="A903" t="str">
            <v>JPY_LIBOR_EOD</v>
          </cell>
          <cell r="F903">
            <v>0.92139485335758398</v>
          </cell>
        </row>
        <row r="904">
          <cell r="A904" t="str">
            <v>JPY_LIBOR_EOD</v>
          </cell>
          <cell r="F904">
            <v>0.87282462562359697</v>
          </cell>
        </row>
        <row r="905">
          <cell r="A905" t="str">
            <v>JPY_LIBOR_EOD</v>
          </cell>
          <cell r="F905">
            <v>0.78596506431232505</v>
          </cell>
        </row>
        <row r="906">
          <cell r="A906" t="str">
            <v>JPY_LIBOR_EOD</v>
          </cell>
          <cell r="F906">
            <v>0.70964313629757403</v>
          </cell>
        </row>
        <row r="907">
          <cell r="A907" t="str">
            <v>JPY_LIBOR_EOD</v>
          </cell>
          <cell r="F907">
            <v>0.64419415797997903</v>
          </cell>
        </row>
        <row r="908">
          <cell r="A908" t="str">
            <v>JPY_LIBOR_EOD</v>
          </cell>
          <cell r="F908">
            <v>0.52387488537141302</v>
          </cell>
        </row>
        <row r="909">
          <cell r="A909" t="str">
            <v>JPY_TONA_EOD</v>
          </cell>
          <cell r="F909">
            <v>0.99999794520970198</v>
          </cell>
        </row>
        <row r="910">
          <cell r="A910" t="str">
            <v>JPY_TONA_EOD</v>
          </cell>
          <cell r="F910">
            <v>0.99999589042362502</v>
          </cell>
        </row>
        <row r="911">
          <cell r="A911" t="str">
            <v>JPY_TONA_EOD</v>
          </cell>
          <cell r="F911">
            <v>0.99998210162933099</v>
          </cell>
        </row>
        <row r="912">
          <cell r="A912" t="str">
            <v>JPY_TONA_EOD</v>
          </cell>
          <cell r="F912">
            <v>0.99996664468683005</v>
          </cell>
        </row>
        <row r="913">
          <cell r="A913" t="str">
            <v>JPY_TONA_EOD</v>
          </cell>
          <cell r="F913">
            <v>0.999955378341011</v>
          </cell>
        </row>
        <row r="914">
          <cell r="A914" t="str">
            <v>JPY_TONA_EOD</v>
          </cell>
          <cell r="F914">
            <v>0.99993474372916002</v>
          </cell>
        </row>
        <row r="915">
          <cell r="A915" t="str">
            <v>JPY_TONA_EOD</v>
          </cell>
          <cell r="F915">
            <v>0.99987674620630296</v>
          </cell>
        </row>
        <row r="916">
          <cell r="A916" t="str">
            <v>JPY_TONA_EOD</v>
          </cell>
          <cell r="F916">
            <v>0.99982140104486805</v>
          </cell>
        </row>
        <row r="917">
          <cell r="A917" t="str">
            <v>JPY_TONA_EOD</v>
          </cell>
          <cell r="F917">
            <v>0.99975827664143802</v>
          </cell>
        </row>
        <row r="918">
          <cell r="A918" t="str">
            <v>JPY_TONA_EOD</v>
          </cell>
          <cell r="F918">
            <v>0.99970758023533501</v>
          </cell>
        </row>
        <row r="919">
          <cell r="A919" t="str">
            <v>JPY_TONA_EOD</v>
          </cell>
          <cell r="F919">
            <v>0.99966540925575398</v>
          </cell>
        </row>
        <row r="920">
          <cell r="A920" t="str">
            <v>JPY_TONA_EOD</v>
          </cell>
          <cell r="F920">
            <v>0.99961904773604104</v>
          </cell>
        </row>
        <row r="921">
          <cell r="A921" t="str">
            <v>JPY_TONA_EOD</v>
          </cell>
          <cell r="F921">
            <v>0.99958203142122004</v>
          </cell>
        </row>
        <row r="922">
          <cell r="A922" t="str">
            <v>JPY_TONA_EOD</v>
          </cell>
          <cell r="F922">
            <v>0.99952693429349504</v>
          </cell>
        </row>
        <row r="923">
          <cell r="A923" t="str">
            <v>JPY_TONA_EOD</v>
          </cell>
          <cell r="F923">
            <v>0.99947638176842202</v>
          </cell>
        </row>
        <row r="924">
          <cell r="A924" t="str">
            <v>JPY_TONA_EOD</v>
          </cell>
          <cell r="F924">
            <v>0.99946384706613201</v>
          </cell>
        </row>
        <row r="925">
          <cell r="A925" t="str">
            <v>JPY_TONA_EOD</v>
          </cell>
          <cell r="F925">
            <v>0.99942466096372795</v>
          </cell>
        </row>
        <row r="926">
          <cell r="A926" t="str">
            <v>JPY_TONA_EOD</v>
          </cell>
          <cell r="F926">
            <v>0.99924123455129998</v>
          </cell>
        </row>
        <row r="927">
          <cell r="A927" t="str">
            <v>JPY_TONA_EOD</v>
          </cell>
          <cell r="F927">
            <v>0.99903349377904604</v>
          </cell>
        </row>
        <row r="928">
          <cell r="A928" t="str">
            <v>JPY_TONA_EOD</v>
          </cell>
          <cell r="F928">
            <v>0.99841590322155105</v>
          </cell>
        </row>
        <row r="929">
          <cell r="A929" t="str">
            <v>JPY_TONA_EOD</v>
          </cell>
          <cell r="F929">
            <v>0.99686124547990995</v>
          </cell>
        </row>
        <row r="930">
          <cell r="A930" t="str">
            <v>JPY_TONA_EOD</v>
          </cell>
          <cell r="F930">
            <v>0.99408604380879195</v>
          </cell>
        </row>
        <row r="931">
          <cell r="A931" t="str">
            <v>JPY_TONA_EOD</v>
          </cell>
          <cell r="F931">
            <v>0.99008492738142095</v>
          </cell>
        </row>
        <row r="932">
          <cell r="A932" t="str">
            <v>JPY_TONA_EOD</v>
          </cell>
          <cell r="F932">
            <v>0.98480223161255798</v>
          </cell>
        </row>
        <row r="933">
          <cell r="A933" t="str">
            <v>JPY_TONA_EOD</v>
          </cell>
          <cell r="F933">
            <v>0.97818451507661297</v>
          </cell>
        </row>
        <row r="934">
          <cell r="A934" t="str">
            <v>JPY_TONA_EOD</v>
          </cell>
          <cell r="F934">
            <v>0.97040501808466495</v>
          </cell>
        </row>
        <row r="935">
          <cell r="A935" t="str">
            <v>JPY_TONA_EOD</v>
          </cell>
          <cell r="F935">
            <v>0.96106845163493404</v>
          </cell>
        </row>
        <row r="936">
          <cell r="A936" t="str">
            <v>JPY_TONA_EOD</v>
          </cell>
          <cell r="F936">
            <v>0.93822722206444198</v>
          </cell>
        </row>
        <row r="937">
          <cell r="A937" t="str">
            <v>JPY_TONA_EOD</v>
          </cell>
          <cell r="F937">
            <v>0.89329104297506001</v>
          </cell>
        </row>
        <row r="938">
          <cell r="A938" t="str">
            <v>JPY_TONA_EOD</v>
          </cell>
          <cell r="F938">
            <v>0.811263908459528</v>
          </cell>
        </row>
        <row r="939">
          <cell r="A939" t="str">
            <v>JPY_TONA_EOD</v>
          </cell>
          <cell r="F939">
            <v>0.73866576508293602</v>
          </cell>
        </row>
        <row r="940">
          <cell r="A940" t="str">
            <v>JPY_TONA_EOD</v>
          </cell>
          <cell r="F940">
            <v>0.67613000875625695</v>
          </cell>
        </row>
        <row r="941">
          <cell r="A941" t="str">
            <v>JPY_TONA_EOD</v>
          </cell>
          <cell r="F941">
            <v>0.56380520315914295</v>
          </cell>
        </row>
        <row r="942">
          <cell r="A942" t="str">
            <v>MXN_TIIE_EOD</v>
          </cell>
          <cell r="F942">
            <v>0.99173692823319004</v>
          </cell>
        </row>
        <row r="943">
          <cell r="A943" t="str">
            <v>MXN_TIIE_EOD</v>
          </cell>
          <cell r="F943">
            <v>0.98280687402196698</v>
          </cell>
        </row>
        <row r="944">
          <cell r="A944" t="str">
            <v>MXN_TIIE_EOD</v>
          </cell>
          <cell r="F944">
            <v>0.97341126679967405</v>
          </cell>
        </row>
        <row r="945">
          <cell r="A945" t="str">
            <v>MXN_TIIE_EOD</v>
          </cell>
          <cell r="F945">
            <v>0.96010295888189601</v>
          </cell>
        </row>
        <row r="946">
          <cell r="A946" t="str">
            <v>MXN_TIIE_EOD</v>
          </cell>
          <cell r="F946">
            <v>0.91321792530251999</v>
          </cell>
        </row>
        <row r="947">
          <cell r="A947" t="str">
            <v>MXN_TIIE_EOD</v>
          </cell>
          <cell r="F947">
            <v>0.86125761975850501</v>
          </cell>
        </row>
        <row r="948">
          <cell r="A948" t="str">
            <v>MXN_TIIE_EOD</v>
          </cell>
          <cell r="F948">
            <v>0.80674540912744397</v>
          </cell>
        </row>
        <row r="949">
          <cell r="A949" t="str">
            <v>MXN_TIIE_EOD</v>
          </cell>
          <cell r="F949">
            <v>0.75229822441759497</v>
          </cell>
        </row>
        <row r="950">
          <cell r="A950" t="str">
            <v>MXN_TIIE_EOD</v>
          </cell>
          <cell r="F950">
            <v>0.64831122748606695</v>
          </cell>
        </row>
        <row r="951">
          <cell r="A951" t="str">
            <v>MXN_TIIE_EOD</v>
          </cell>
          <cell r="F951">
            <v>0.51214971565976697</v>
          </cell>
        </row>
        <row r="952">
          <cell r="A952" t="str">
            <v>MXN_TIIE_EOD</v>
          </cell>
          <cell r="F952">
            <v>0.33689708657443401</v>
          </cell>
        </row>
        <row r="953">
          <cell r="A953" t="str">
            <v>MXN_TIIE_EOD</v>
          </cell>
          <cell r="F953">
            <v>0.21984788230867799</v>
          </cell>
        </row>
        <row r="954">
          <cell r="A954" t="str">
            <v>MXN_TIIE_EOD</v>
          </cell>
          <cell r="F954">
            <v>9.4076462651089002E-2</v>
          </cell>
        </row>
        <row r="955">
          <cell r="A955" t="str">
            <v>MXN_USDMXNBASIS_EOD</v>
          </cell>
          <cell r="F955">
            <v>0.99975994777835797</v>
          </cell>
        </row>
        <row r="956">
          <cell r="A956" t="str">
            <v>MXN_USDMXNBASIS_EOD</v>
          </cell>
          <cell r="F956">
            <v>0.99744229924035299</v>
          </cell>
        </row>
        <row r="957">
          <cell r="A957" t="str">
            <v>MXN_USDMXNBASIS_EOD</v>
          </cell>
          <cell r="F957">
            <v>0.99487583855601402</v>
          </cell>
        </row>
        <row r="958">
          <cell r="A958" t="str">
            <v>MXN_USDMXNBASIS_EOD</v>
          </cell>
          <cell r="F958">
            <v>0.99250085030908097</v>
          </cell>
        </row>
        <row r="959">
          <cell r="A959" t="str">
            <v>MXN_USDMXNBASIS_EOD</v>
          </cell>
          <cell r="F959">
            <v>0.98430721076188099</v>
          </cell>
        </row>
        <row r="960">
          <cell r="A960" t="str">
            <v>MXN_USDMXNBASIS_EOD</v>
          </cell>
          <cell r="F960">
            <v>0.97550667349544495</v>
          </cell>
        </row>
        <row r="961">
          <cell r="A961" t="str">
            <v>MXN_USDMXNBASIS_EOD</v>
          </cell>
          <cell r="F961">
            <v>0.96623280193168304</v>
          </cell>
        </row>
        <row r="962">
          <cell r="A962" t="str">
            <v>MXN_USDMXNBASIS_EOD</v>
          </cell>
          <cell r="F962">
            <v>0.94638162214767996</v>
          </cell>
        </row>
        <row r="963">
          <cell r="A963" t="str">
            <v>MXN_USDMXNBASIS_EOD</v>
          </cell>
          <cell r="F963">
            <v>0.92666157429571006</v>
          </cell>
        </row>
        <row r="964">
          <cell r="A964" t="str">
            <v>MXN_USDMXNBASIS_EOD</v>
          </cell>
          <cell r="F964">
            <v>0.88351853792235202</v>
          </cell>
        </row>
        <row r="965">
          <cell r="A965" t="str">
            <v>MXN_USDMXNBASIS_EOD</v>
          </cell>
          <cell r="F965">
            <v>0.83889174006393397</v>
          </cell>
        </row>
        <row r="966">
          <cell r="A966" t="str">
            <v>MXN_USDMXNBASIS_EOD</v>
          </cell>
          <cell r="F966">
            <v>0.79550992564394296</v>
          </cell>
        </row>
        <row r="967">
          <cell r="A967" t="str">
            <v>MXN_USDMXNBASIS_EOD</v>
          </cell>
          <cell r="F967">
            <v>0.706929130547159</v>
          </cell>
        </row>
        <row r="968">
          <cell r="A968" t="str">
            <v>MXN_USDMXNBASIS_EOD</v>
          </cell>
          <cell r="F968">
            <v>0.58486005875032299</v>
          </cell>
        </row>
        <row r="969">
          <cell r="A969" t="str">
            <v>MXN_USDMXNBASIS_EOD</v>
          </cell>
          <cell r="F969">
            <v>0.41719522799056502</v>
          </cell>
        </row>
        <row r="970">
          <cell r="A970" t="str">
            <v>MXN_USDMXNBASIS_EOD</v>
          </cell>
          <cell r="F970">
            <v>0.301466238297529</v>
          </cell>
        </row>
        <row r="971">
          <cell r="A971" t="str">
            <v>MXN_USDMXNBASIS_EOD</v>
          </cell>
          <cell r="F971">
            <v>0.168749501221477</v>
          </cell>
        </row>
        <row r="972">
          <cell r="A972" t="str">
            <v>NOK_NIBOR_3M_EOD</v>
          </cell>
          <cell r="F972">
            <v>0.99701219062323498</v>
          </cell>
        </row>
        <row r="973">
          <cell r="A973" t="str">
            <v>NOK_NIBOR_3M_EOD</v>
          </cell>
          <cell r="F973">
            <v>0.99436658408922796</v>
          </cell>
        </row>
        <row r="974">
          <cell r="A974" t="str">
            <v>NOK_NIBOR_3M_EOD</v>
          </cell>
          <cell r="F974">
            <v>0.99219711753092199</v>
          </cell>
        </row>
        <row r="975">
          <cell r="A975" t="str">
            <v>NOK_NIBOR_3M_EOD</v>
          </cell>
          <cell r="F975">
            <v>0.98992002649237898</v>
          </cell>
        </row>
        <row r="976">
          <cell r="A976" t="str">
            <v>NOK_NIBOR_3M_EOD</v>
          </cell>
          <cell r="F976">
            <v>0.98781009157597399</v>
          </cell>
        </row>
        <row r="977">
          <cell r="A977" t="str">
            <v>NOK_NIBOR_3M_EOD</v>
          </cell>
          <cell r="F977">
            <v>0.98127076345427</v>
          </cell>
        </row>
        <row r="978">
          <cell r="A978" t="str">
            <v>NOK_NIBOR_3M_EOD</v>
          </cell>
          <cell r="F978">
            <v>0.96952817573640904</v>
          </cell>
        </row>
        <row r="979">
          <cell r="A979" t="str">
            <v>NOK_NIBOR_3M_EOD</v>
          </cell>
          <cell r="F979">
            <v>0.95451823694679505</v>
          </cell>
        </row>
        <row r="980">
          <cell r="A980" t="str">
            <v>NOK_NIBOR_3M_EOD</v>
          </cell>
          <cell r="F980">
            <v>0.93605030777196696</v>
          </cell>
        </row>
        <row r="981">
          <cell r="A981" t="str">
            <v>NOK_NIBOR_3M_EOD</v>
          </cell>
          <cell r="F981">
            <v>0.91499502854519399</v>
          </cell>
        </row>
        <row r="982">
          <cell r="A982" t="str">
            <v>NOK_NIBOR_3M_EOD</v>
          </cell>
          <cell r="F982">
            <v>0.89221170228231395</v>
          </cell>
        </row>
        <row r="983">
          <cell r="A983" t="str">
            <v>NOK_NIBOR_3M_EOD</v>
          </cell>
          <cell r="F983">
            <v>0.86862157965456999</v>
          </cell>
        </row>
        <row r="984">
          <cell r="A984" t="str">
            <v>NOK_NIBOR_3M_EOD</v>
          </cell>
          <cell r="F984">
            <v>0.84498208440065403</v>
          </cell>
        </row>
        <row r="985">
          <cell r="A985" t="str">
            <v>NOK_NIBOR_3M_EOD</v>
          </cell>
          <cell r="F985">
            <v>0.82156178153163295</v>
          </cell>
        </row>
        <row r="986">
          <cell r="A986" t="str">
            <v>NOK_NIBOR_3M_EOD</v>
          </cell>
          <cell r="F986">
            <v>0.77861926538020898</v>
          </cell>
        </row>
        <row r="987">
          <cell r="A987" t="str">
            <v>NOK_NIBOR_3M_EOD</v>
          </cell>
          <cell r="F987">
            <v>0.72350078336339896</v>
          </cell>
        </row>
        <row r="988">
          <cell r="A988" t="str">
            <v>NOK_NIBOR_3M_EOD</v>
          </cell>
          <cell r="F988">
            <v>0.63891215373134402</v>
          </cell>
        </row>
        <row r="989">
          <cell r="A989" t="str">
            <v>NOK_NIBOR_3M_EOD</v>
          </cell>
          <cell r="F989">
            <v>0.57004786076150105</v>
          </cell>
        </row>
        <row r="990">
          <cell r="A990" t="str">
            <v>NOK_NIBOR_3M_EOD</v>
          </cell>
          <cell r="F990">
            <v>0.51159536446302001</v>
          </cell>
        </row>
        <row r="991">
          <cell r="A991" t="str">
            <v>NOK_NIBOR_6M_EOD</v>
          </cell>
          <cell r="F991">
            <v>0.994004850187586</v>
          </cell>
        </row>
        <row r="992">
          <cell r="A992" t="str">
            <v>NOK_NIBOR_6M_EOD</v>
          </cell>
          <cell r="F992">
            <v>0.98944521898457705</v>
          </cell>
        </row>
        <row r="993">
          <cell r="A993" t="str">
            <v>NOK_NIBOR_6M_EOD</v>
          </cell>
          <cell r="F993">
            <v>0.97975641694898596</v>
          </cell>
        </row>
        <row r="994">
          <cell r="A994" t="str">
            <v>NOK_NIBOR_6M_EOD</v>
          </cell>
          <cell r="F994">
            <v>0.96748139182692405</v>
          </cell>
        </row>
        <row r="995">
          <cell r="A995" t="str">
            <v>NOK_NIBOR_6M_EOD</v>
          </cell>
          <cell r="F995">
            <v>0.95195402518468997</v>
          </cell>
        </row>
        <row r="996">
          <cell r="A996" t="str">
            <v>NOK_NIBOR_6M_EOD</v>
          </cell>
          <cell r="F996">
            <v>0.93295679304478296</v>
          </cell>
        </row>
        <row r="997">
          <cell r="A997" t="str">
            <v>NOK_NIBOR_6M_EOD</v>
          </cell>
          <cell r="F997">
            <v>0.91136920859456805</v>
          </cell>
        </row>
        <row r="998">
          <cell r="A998" t="str">
            <v>NOK_NIBOR_6M_EOD</v>
          </cell>
          <cell r="F998">
            <v>0.88809055174067897</v>
          </cell>
        </row>
        <row r="999">
          <cell r="A999" t="str">
            <v>NOK_NIBOR_6M_EOD</v>
          </cell>
          <cell r="F999">
            <v>0.86403706234965305</v>
          </cell>
        </row>
        <row r="1000">
          <cell r="A1000" t="str">
            <v>NOK_NIBOR_6M_EOD</v>
          </cell>
          <cell r="F1000">
            <v>0.84001411414386795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102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3" width="9.140625" style="46"/>
    <col min="14" max="14" width="9.7109375" style="46" bestFit="1" customWidth="1"/>
    <col min="15" max="16384" width="9.140625" style="46"/>
  </cols>
  <sheetData>
    <row r="2" spans="1:10" x14ac:dyDescent="0.2">
      <c r="B2" s="82"/>
      <c r="C2" s="83"/>
      <c r="D2" s="83"/>
      <c r="E2" s="84"/>
      <c r="G2" s="82"/>
      <c r="H2" s="83"/>
      <c r="I2" s="83"/>
      <c r="J2" s="84"/>
    </row>
    <row r="3" spans="1:10" ht="11.25" customHeight="1" x14ac:dyDescent="0.2">
      <c r="B3" s="87"/>
      <c r="C3" s="13" t="s">
        <v>21</v>
      </c>
      <c r="D3" s="81" t="s">
        <v>120</v>
      </c>
      <c r="E3" s="85"/>
      <c r="G3" s="87"/>
      <c r="H3" s="13" t="s">
        <v>35</v>
      </c>
      <c r="I3" s="158" t="s">
        <v>121</v>
      </c>
      <c r="J3" s="85"/>
    </row>
    <row r="4" spans="1:10" ht="11.25" customHeight="1" x14ac:dyDescent="0.2">
      <c r="B4" s="87"/>
      <c r="C4" s="14" t="s">
        <v>19</v>
      </c>
      <c r="D4" s="15" t="b">
        <v>1</v>
      </c>
      <c r="E4" s="85"/>
      <c r="G4" s="87"/>
      <c r="H4" s="14" t="s">
        <v>71</v>
      </c>
      <c r="I4" s="159" t="s">
        <v>72</v>
      </c>
      <c r="J4" s="85"/>
    </row>
    <row r="5" spans="1:10" ht="11.25" customHeight="1" x14ac:dyDescent="0.2">
      <c r="A5" s="48"/>
      <c r="B5" s="88"/>
      <c r="C5" s="17" t="s">
        <v>18</v>
      </c>
      <c r="D5" s="18"/>
      <c r="E5" s="85"/>
      <c r="G5" s="87"/>
      <c r="H5" s="14" t="s">
        <v>133</v>
      </c>
      <c r="I5" s="159" t="s">
        <v>138</v>
      </c>
      <c r="J5" s="85"/>
    </row>
    <row r="6" spans="1:10" ht="11.25" customHeight="1" x14ac:dyDescent="0.2">
      <c r="A6" s="48"/>
      <c r="B6" s="88"/>
      <c r="C6" s="14" t="s">
        <v>20</v>
      </c>
      <c r="D6" s="15" t="b">
        <v>1</v>
      </c>
      <c r="E6" s="85"/>
      <c r="G6" s="87"/>
      <c r="H6" s="14" t="s">
        <v>134</v>
      </c>
      <c r="I6" s="159" t="s">
        <v>139</v>
      </c>
      <c r="J6" s="85"/>
    </row>
    <row r="7" spans="1:10" ht="11.25" customHeight="1" x14ac:dyDescent="0.2">
      <c r="A7" s="48"/>
      <c r="B7" s="88"/>
      <c r="C7" s="14" t="s">
        <v>76</v>
      </c>
      <c r="D7" s="165" t="s">
        <v>77</v>
      </c>
      <c r="E7" s="85"/>
      <c r="G7" s="87"/>
      <c r="H7" s="14" t="s">
        <v>135</v>
      </c>
      <c r="I7" s="159" t="s">
        <v>140</v>
      </c>
      <c r="J7" s="85"/>
    </row>
    <row r="8" spans="1:10" ht="11.25" customHeight="1" x14ac:dyDescent="0.2">
      <c r="A8" s="48"/>
      <c r="B8" s="89"/>
      <c r="C8" s="166"/>
      <c r="D8" s="167"/>
      <c r="E8" s="85"/>
      <c r="G8" s="87"/>
      <c r="H8" s="14" t="s">
        <v>136</v>
      </c>
      <c r="I8" s="159" t="str">
        <f>Currency&amp;"ON"&amp;LCHlinear</f>
        <v>EURON_linearLCH</v>
      </c>
      <c r="J8" s="85"/>
    </row>
    <row r="9" spans="1:10" ht="11.25" customHeight="1" x14ac:dyDescent="0.2">
      <c r="A9" s="48"/>
      <c r="B9" s="89"/>
      <c r="C9" s="13" t="s">
        <v>30</v>
      </c>
      <c r="D9" s="163">
        <f>_xll.qlSettingsEvaluationDate(Trigger)</f>
        <v>42254</v>
      </c>
      <c r="E9" s="85"/>
      <c r="G9" s="87"/>
      <c r="H9" s="14" t="s">
        <v>137</v>
      </c>
      <c r="I9" s="159" t="str">
        <f>Currency&amp;"ON"&amp;LCHcubic</f>
        <v>EURON_cubicLCH</v>
      </c>
      <c r="J9" s="85"/>
    </row>
    <row r="10" spans="1:10" ht="11.25" customHeight="1" x14ac:dyDescent="0.2">
      <c r="A10" s="48"/>
      <c r="B10" s="89"/>
      <c r="C10" s="14" t="s">
        <v>31</v>
      </c>
      <c r="D10" s="162">
        <f>_xll.qlCalendarAdvance(Calendar,$D$9,"2D","F",,Trigger)</f>
        <v>42256</v>
      </c>
      <c r="E10" s="85"/>
      <c r="G10" s="87"/>
      <c r="H10" s="14" t="s">
        <v>141</v>
      </c>
      <c r="I10" s="159" t="str">
        <f>Currency&amp;"STD"&amp;LCHlinear</f>
        <v>EURSTD_linearLCH</v>
      </c>
      <c r="J10" s="85"/>
    </row>
    <row r="11" spans="1:10" ht="11.25" customHeight="1" x14ac:dyDescent="0.2">
      <c r="B11" s="89"/>
      <c r="C11" s="16" t="s">
        <v>14</v>
      </c>
      <c r="D11" s="164" t="s">
        <v>122</v>
      </c>
      <c r="E11" s="85"/>
      <c r="G11" s="87"/>
      <c r="H11" s="16" t="s">
        <v>145</v>
      </c>
      <c r="I11" s="164" t="b">
        <v>1</v>
      </c>
      <c r="J11" s="85"/>
    </row>
    <row r="12" spans="1:10" ht="11.25" customHeight="1" x14ac:dyDescent="0.2">
      <c r="B12" s="90"/>
      <c r="C12" s="91"/>
      <c r="D12" s="92"/>
      <c r="E12" s="86"/>
      <c r="G12" s="90"/>
      <c r="H12" s="91"/>
      <c r="I12" s="92"/>
      <c r="J12" s="86"/>
    </row>
    <row r="13" spans="1:10" ht="11.25" customHeight="1" x14ac:dyDescent="0.2"/>
    <row r="14" spans="1:10" x14ac:dyDescent="0.2">
      <c r="B14" s="35"/>
      <c r="C14" s="36"/>
      <c r="D14" s="36"/>
      <c r="E14" s="37"/>
      <c r="G14" s="35"/>
      <c r="H14" s="36"/>
      <c r="I14" s="36"/>
      <c r="J14" s="37"/>
    </row>
    <row r="15" spans="1:10" x14ac:dyDescent="0.2">
      <c r="B15" s="20"/>
      <c r="C15" s="19" t="s">
        <v>10</v>
      </c>
      <c r="D15" s="39" t="str">
        <f>_xll.qlPiecewiseYieldCurve($D$17,$D$18,Calendar,_xll.ohPack(EURON!T3:T77),,,,D19,D20,D21,Permanent,,ObjectOverwrite)</f>
        <v>_EURON_linearLCH#0001</v>
      </c>
      <c r="E15" s="40"/>
      <c r="G15" s="20"/>
      <c r="H15" s="19"/>
      <c r="I15" s="39" t="str">
        <f>_xll.qlPiecewiseYieldCurve(I17,I18,Calendar,_xll.ohPack(EURON!T3:T77),,,,I19,I20,I21,Permanent,Trigger,ObjectOverwrite)</f>
        <v>_EURON_cubicLCH#0001</v>
      </c>
      <c r="J15" s="40"/>
    </row>
    <row r="16" spans="1:10" x14ac:dyDescent="0.2">
      <c r="B16" s="20"/>
      <c r="C16" s="21" t="s">
        <v>11</v>
      </c>
      <c r="D16" s="41" t="str">
        <f>_xll.ohRangeRetrieveError(YieldCurve1_ON)</f>
        <v/>
      </c>
      <c r="E16" s="40"/>
      <c r="G16" s="20"/>
      <c r="H16" s="21"/>
      <c r="I16" s="41"/>
      <c r="J16" s="40"/>
    </row>
    <row r="17" spans="1:10" x14ac:dyDescent="0.2">
      <c r="B17" s="20"/>
      <c r="C17" s="19" t="s">
        <v>12</v>
      </c>
      <c r="D17" s="22" t="str">
        <f>"_"&amp;Currency&amp;"ON"&amp;LCHlinear</f>
        <v>_EURON_linearLCH</v>
      </c>
      <c r="E17" s="40"/>
      <c r="G17" s="20"/>
      <c r="H17" s="19"/>
      <c r="I17" s="22" t="str">
        <f>"_"&amp;Currency&amp;"ON"&amp;LCHcubic</f>
        <v>_EURON_cubicLCH</v>
      </c>
      <c r="J17" s="40"/>
    </row>
    <row r="18" spans="1:10" x14ac:dyDescent="0.2">
      <c r="B18" s="20"/>
      <c r="C18" s="23" t="s">
        <v>13</v>
      </c>
      <c r="D18" s="24">
        <v>0</v>
      </c>
      <c r="E18" s="40"/>
      <c r="G18" s="20"/>
      <c r="H18" s="23"/>
      <c r="I18" s="24">
        <v>0</v>
      </c>
      <c r="J18" s="40"/>
    </row>
    <row r="19" spans="1:10" x14ac:dyDescent="0.2">
      <c r="B19" s="20"/>
      <c r="C19" s="23" t="s">
        <v>15</v>
      </c>
      <c r="D19" s="25"/>
      <c r="E19" s="40"/>
      <c r="G19" s="20"/>
      <c r="H19" s="23"/>
      <c r="I19" s="25"/>
      <c r="J19" s="40"/>
    </row>
    <row r="20" spans="1:10" x14ac:dyDescent="0.2">
      <c r="B20" s="20"/>
      <c r="C20" s="23" t="s">
        <v>16</v>
      </c>
      <c r="D20" s="26" t="s">
        <v>142</v>
      </c>
      <c r="E20" s="40"/>
      <c r="G20" s="20"/>
      <c r="H20" s="23"/>
      <c r="I20" s="26" t="s">
        <v>32</v>
      </c>
      <c r="J20" s="40"/>
    </row>
    <row r="21" spans="1:10" x14ac:dyDescent="0.2">
      <c r="B21" s="20"/>
      <c r="C21" s="21" t="s">
        <v>17</v>
      </c>
      <c r="D21" s="27" t="s">
        <v>143</v>
      </c>
      <c r="E21" s="40"/>
      <c r="G21" s="20"/>
      <c r="H21" s="21"/>
      <c r="I21" s="27" t="s">
        <v>144</v>
      </c>
      <c r="J21" s="40"/>
    </row>
    <row r="22" spans="1:10" x14ac:dyDescent="0.2">
      <c r="B22" s="20"/>
      <c r="C22" s="28"/>
      <c r="D22" s="28"/>
      <c r="E22" s="40"/>
      <c r="G22" s="20"/>
      <c r="H22" s="28"/>
      <c r="I22" s="28"/>
      <c r="J22" s="40"/>
    </row>
    <row r="23" spans="1:10" x14ac:dyDescent="0.2">
      <c r="B23" s="20"/>
      <c r="C23" s="29">
        <f>_xll.qlTermStructureReferenceDate(YieldCurve1_ON)</f>
        <v>42254</v>
      </c>
      <c r="D23" s="30">
        <f>_xll.qlYieldTSDiscount(YieldCurve1_ON,C23,,Trigger)</f>
        <v>1</v>
      </c>
      <c r="E23" s="40"/>
      <c r="G23" s="20"/>
      <c r="H23" s="29">
        <f>_xll.qlTermStructureReferenceDate(yieldcurve2_ON)</f>
        <v>42254</v>
      </c>
      <c r="I23" s="30">
        <f>_xll.qlYieldTSDiscount(yieldcurve2_ON,H23,,Trigger)</f>
        <v>1</v>
      </c>
      <c r="J23" s="40"/>
    </row>
    <row r="24" spans="1:10" x14ac:dyDescent="0.2">
      <c r="B24" s="20"/>
      <c r="C24" s="31">
        <f>_xll.qlTermStructureMaxDate(YieldCurve1_ON,Trigger)</f>
        <v>64178</v>
      </c>
      <c r="D24" s="32">
        <f>_xll.qlYieldTSDiscount(YieldCurve1_ON,C24,,Trigger)</f>
        <v>0.42531608367692186</v>
      </c>
      <c r="E24" s="40"/>
      <c r="G24" s="20"/>
      <c r="H24" s="31">
        <f>_xll.qlTermStructureMaxDate(yieldcurve2_ON,Trigger)</f>
        <v>64178</v>
      </c>
      <c r="I24" s="32">
        <f>_xll.qlYieldTSDiscount(yieldcurve2_ON,H24,,Trigger)</f>
        <v>0.42561599683620727</v>
      </c>
      <c r="J24" s="40"/>
    </row>
    <row r="25" spans="1:10" x14ac:dyDescent="0.2">
      <c r="B25" s="20"/>
      <c r="C25" s="31" t="str">
        <f>Currency&amp;"ON"&amp;LCHlinear</f>
        <v>EURON_linearLCH</v>
      </c>
      <c r="D25" s="32" t="b">
        <f>_xll.qlRelinkableHandleLinkTo(C25,D15,Trigger)</f>
        <v>1</v>
      </c>
      <c r="E25" s="40"/>
      <c r="G25" s="20"/>
      <c r="H25" s="31" t="str">
        <f>Currency&amp;"ON"&amp;LCHcubic</f>
        <v>EURON_cubicLCH</v>
      </c>
      <c r="I25" s="32" t="b">
        <f>_xll.qlRelinkableHandleLinkTo(H25,I15,Trigger)</f>
        <v>1</v>
      </c>
      <c r="J25" s="40"/>
    </row>
    <row r="26" spans="1:10" x14ac:dyDescent="0.2">
      <c r="B26" s="20"/>
      <c r="C26" s="33" t="s">
        <v>119</v>
      </c>
      <c r="D26" s="34" t="b">
        <v>0</v>
      </c>
      <c r="E26" s="40"/>
      <c r="G26" s="20"/>
      <c r="H26" s="33" t="s">
        <v>119</v>
      </c>
      <c r="I26" s="34" t="b">
        <v>0</v>
      </c>
      <c r="J26" s="40"/>
    </row>
    <row r="27" spans="1:10" x14ac:dyDescent="0.2">
      <c r="B27" s="42"/>
      <c r="C27" s="43"/>
      <c r="D27" s="43"/>
      <c r="E27" s="44"/>
      <c r="G27" s="42"/>
      <c r="H27" s="43"/>
      <c r="I27" s="43"/>
      <c r="J27" s="44"/>
    </row>
    <row r="28" spans="1:10" x14ac:dyDescent="0.2">
      <c r="A28" s="48"/>
      <c r="B28" s="48"/>
      <c r="C28" s="48"/>
      <c r="D28" s="48"/>
      <c r="E28" s="48"/>
      <c r="G28" s="48"/>
      <c r="H28" s="48"/>
      <c r="I28" s="48"/>
      <c r="J28" s="48"/>
    </row>
    <row r="29" spans="1:10" x14ac:dyDescent="0.2">
      <c r="B29" s="35"/>
      <c r="C29" s="36"/>
      <c r="D29" s="36"/>
      <c r="E29" s="37"/>
      <c r="F29" s="47"/>
      <c r="G29" s="35"/>
      <c r="H29" s="36"/>
      <c r="I29" s="36"/>
      <c r="J29" s="37"/>
    </row>
    <row r="30" spans="1:10" x14ac:dyDescent="0.2">
      <c r="B30" s="20"/>
      <c r="C30" s="19" t="s">
        <v>10</v>
      </c>
      <c r="D30" s="39" t="str">
        <f>_xll.qlPiecewiseYieldCurve(D32,D33,Calendar,_xll.ohPack(EUR3M!Y3:Y103),,,,D34,D35,D36,Permanent,,ObjectOverwrite)</f>
        <v>_EUR3M_linearLCH#0008</v>
      </c>
      <c r="E30" s="40"/>
      <c r="F30" s="47"/>
      <c r="G30" s="20"/>
      <c r="H30" s="19"/>
      <c r="I30" s="39" t="str">
        <f>_xll.qlPiecewiseYieldCurve(I32,I33,Calendar,_xll.ohPack(EUR3M!Z3:Z103),,,,I34,I35,I36,Permanent,,ObjectOverwrite)</f>
        <v>_EUR3M_cubicLCH#0008</v>
      </c>
      <c r="J30" s="40"/>
    </row>
    <row r="31" spans="1:10" x14ac:dyDescent="0.2">
      <c r="B31" s="20"/>
      <c r="C31" s="21" t="s">
        <v>11</v>
      </c>
      <c r="D31" s="41" t="str">
        <f>_xll.ohRangeRetrieveError(YieldCurve1_3M)</f>
        <v/>
      </c>
      <c r="E31" s="40"/>
      <c r="F31" s="47"/>
      <c r="G31" s="20"/>
      <c r="H31" s="21"/>
      <c r="I31" s="41" t="str">
        <f>_xll.ohRangeRetrieveError(YieldCurve1_3M)</f>
        <v/>
      </c>
      <c r="J31" s="40"/>
    </row>
    <row r="32" spans="1:10" x14ac:dyDescent="0.2">
      <c r="B32" s="20"/>
      <c r="C32" s="19" t="s">
        <v>12</v>
      </c>
      <c r="D32" s="22" t="str">
        <f>"_"&amp;Currency&amp;"3M"&amp;LCHlinear</f>
        <v>_EUR3M_linearLCH</v>
      </c>
      <c r="E32" s="40"/>
      <c r="F32" s="47"/>
      <c r="G32" s="20"/>
      <c r="H32" s="19"/>
      <c r="I32" s="22" t="str">
        <f>"_"&amp;Currency&amp;"3M"&amp;LCHcubic</f>
        <v>_EUR3M_cubicLCH</v>
      </c>
      <c r="J32" s="40"/>
    </row>
    <row r="33" spans="2:10" x14ac:dyDescent="0.2">
      <c r="B33" s="20"/>
      <c r="C33" s="23" t="s">
        <v>13</v>
      </c>
      <c r="D33" s="24">
        <v>0</v>
      </c>
      <c r="E33" s="40"/>
      <c r="F33" s="47"/>
      <c r="G33" s="20"/>
      <c r="H33" s="23"/>
      <c r="I33" s="24">
        <v>0</v>
      </c>
      <c r="J33" s="40"/>
    </row>
    <row r="34" spans="2:10" x14ac:dyDescent="0.2">
      <c r="B34" s="20"/>
      <c r="C34" s="23" t="s">
        <v>15</v>
      </c>
      <c r="D34" s="25"/>
      <c r="E34" s="40"/>
      <c r="F34" s="47"/>
      <c r="G34" s="20"/>
      <c r="H34" s="23"/>
      <c r="I34" s="25"/>
      <c r="J34" s="40"/>
    </row>
    <row r="35" spans="2:10" x14ac:dyDescent="0.2">
      <c r="B35" s="20"/>
      <c r="C35" s="23" t="s">
        <v>16</v>
      </c>
      <c r="D35" s="26" t="s">
        <v>142</v>
      </c>
      <c r="E35" s="40"/>
      <c r="F35" s="47"/>
      <c r="G35" s="20"/>
      <c r="H35" s="23"/>
      <c r="I35" s="26" t="s">
        <v>32</v>
      </c>
      <c r="J35" s="40"/>
    </row>
    <row r="36" spans="2:10" x14ac:dyDescent="0.2">
      <c r="B36" s="20"/>
      <c r="C36" s="21" t="s">
        <v>17</v>
      </c>
      <c r="D36" s="27" t="s">
        <v>143</v>
      </c>
      <c r="E36" s="40"/>
      <c r="F36" s="47"/>
      <c r="G36" s="20"/>
      <c r="H36" s="21"/>
      <c r="I36" s="27" t="s">
        <v>144</v>
      </c>
      <c r="J36" s="40"/>
    </row>
    <row r="37" spans="2:10" x14ac:dyDescent="0.2">
      <c r="B37" s="20"/>
      <c r="C37" s="28"/>
      <c r="D37" s="28"/>
      <c r="E37" s="40"/>
      <c r="F37" s="47"/>
      <c r="G37" s="20"/>
      <c r="H37" s="28"/>
      <c r="I37" s="28"/>
      <c r="J37" s="40"/>
    </row>
    <row r="38" spans="2:10" x14ac:dyDescent="0.2">
      <c r="B38" s="20"/>
      <c r="C38" s="29">
        <f>_xll.qlTermStructureReferenceDate(YieldCurve1_3M)</f>
        <v>42254</v>
      </c>
      <c r="D38" s="30">
        <f>_xll.qlYieldTSDiscount(YieldCurve1_3M,C38,,Trigger)</f>
        <v>1</v>
      </c>
      <c r="E38" s="40"/>
      <c r="F38" s="47"/>
      <c r="G38" s="20"/>
      <c r="H38" s="29">
        <f>_xll.qlTermStructureReferenceDate(yieldcurve2_3M)</f>
        <v>42254</v>
      </c>
      <c r="I38" s="30">
        <f>_xll.qlYieldTSDiscount(yieldcurve2_3M,H38,,Trigger)</f>
        <v>1</v>
      </c>
      <c r="J38" s="40"/>
    </row>
    <row r="39" spans="2:10" x14ac:dyDescent="0.2">
      <c r="B39" s="20"/>
      <c r="C39" s="31">
        <f>_xll.qlTermStructureMaxDate(YieldCurve1_3M,Trigger)</f>
        <v>64178</v>
      </c>
      <c r="D39" s="32">
        <f>_xll.qlYieldTSDiscount(YieldCurve1_3M,C39,,Trigger)</f>
        <v>0.415608285296932</v>
      </c>
      <c r="E39" s="40"/>
      <c r="F39" s="47"/>
      <c r="G39" s="20"/>
      <c r="H39" s="31">
        <f>_xll.qlTermStructureMaxDate(yieldcurve2_3M,Trigger)</f>
        <v>64178</v>
      </c>
      <c r="I39" s="32">
        <f>_xll.qlYieldTSDiscount(yieldcurve2_3M,H39,,Trigger)</f>
        <v>0.41585549776792002</v>
      </c>
      <c r="J39" s="40"/>
    </row>
    <row r="40" spans="2:10" x14ac:dyDescent="0.2">
      <c r="B40" s="20"/>
      <c r="C40" s="31" t="str">
        <f>Currency&amp;"3M"&amp;LCHlinear</f>
        <v>EUR3M_linearLCH</v>
      </c>
      <c r="D40" s="32" t="b">
        <f>_xll.qlRelinkableHandleLinkTo(C40,D30,Trigger)</f>
        <v>1</v>
      </c>
      <c r="E40" s="40"/>
      <c r="F40" s="47"/>
      <c r="G40" s="20"/>
      <c r="H40" s="31" t="str">
        <f>Currency&amp;"3M"&amp;LCHcubic</f>
        <v>EUR3M_cubicLCH</v>
      </c>
      <c r="I40" s="32" t="b">
        <f>_xll.qlRelinkableHandleLinkTo(H40,I30,Trigger)</f>
        <v>1</v>
      </c>
      <c r="J40" s="40"/>
    </row>
    <row r="41" spans="2:10" x14ac:dyDescent="0.2">
      <c r="B41" s="20"/>
      <c r="C41" s="33" t="s">
        <v>119</v>
      </c>
      <c r="D41" s="34" t="b">
        <v>0</v>
      </c>
      <c r="E41" s="40"/>
      <c r="F41" s="47"/>
      <c r="G41" s="20"/>
      <c r="H41" s="33" t="s">
        <v>119</v>
      </c>
      <c r="I41" s="34" t="b">
        <v>0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45"/>
      <c r="D44" s="45"/>
      <c r="E44" s="37"/>
      <c r="F44" s="47"/>
      <c r="G44" s="35"/>
      <c r="H44" s="36"/>
      <c r="I44" s="36"/>
      <c r="J44" s="37"/>
    </row>
    <row r="45" spans="2:10" x14ac:dyDescent="0.2">
      <c r="B45" s="38"/>
      <c r="C45" s="19" t="s">
        <v>10</v>
      </c>
      <c r="D45" s="39" t="str">
        <f>_xll.qlPiecewiseYieldCurve(D47,D48,Calendar,_xll.ohPack(EUR6M!Y3:Y403),,,,D49,D50,D51,Permanent,,ObjectOverwrite)</f>
        <v>_EUR6M_linearLCH#0001</v>
      </c>
      <c r="E45" s="40"/>
      <c r="F45" s="47"/>
      <c r="G45" s="20"/>
      <c r="H45" s="19"/>
      <c r="I45" s="39" t="str">
        <f>_xll.qlPiecewiseYieldCurve(I47,I48,Calendar,_xll.ohPack(EUR6M!Z3:Z59),,,,I49,I50,I51,Permanent,,ObjectOverwrite)</f>
        <v>_EUR6M_cubicLCH#0001</v>
      </c>
      <c r="J45" s="40"/>
    </row>
    <row r="46" spans="2:10" x14ac:dyDescent="0.2">
      <c r="B46" s="38"/>
      <c r="C46" s="21" t="s">
        <v>11</v>
      </c>
      <c r="D46" s="41" t="str">
        <f>_xll.ohRangeRetrieveError(YieldCurve1_6M)</f>
        <v/>
      </c>
      <c r="E46" s="40"/>
      <c r="G46" s="20"/>
      <c r="H46" s="21"/>
      <c r="I46" s="41" t="str">
        <f>_xll.ohRangeRetrieveError(YieldCurve2_6M)</f>
        <v/>
      </c>
      <c r="J46" s="40"/>
    </row>
    <row r="47" spans="2:10" x14ac:dyDescent="0.2">
      <c r="B47" s="20"/>
      <c r="C47" s="19" t="s">
        <v>12</v>
      </c>
      <c r="D47" s="22" t="str">
        <f>"_"&amp;Currency&amp;"6M"&amp;LCHlinear</f>
        <v>_EUR6M_linearLCH</v>
      </c>
      <c r="E47" s="40"/>
      <c r="G47" s="20"/>
      <c r="H47" s="19"/>
      <c r="I47" s="22" t="str">
        <f>"_"&amp;Currency&amp;"6M"&amp;LCHcubic</f>
        <v>_EUR6M_cubicLCH</v>
      </c>
      <c r="J47" s="40"/>
    </row>
    <row r="48" spans="2:10" x14ac:dyDescent="0.2">
      <c r="B48" s="20"/>
      <c r="C48" s="23" t="s">
        <v>13</v>
      </c>
      <c r="D48" s="24">
        <v>0</v>
      </c>
      <c r="E48" s="40"/>
      <c r="G48" s="20"/>
      <c r="H48" s="23"/>
      <c r="I48" s="24">
        <v>0</v>
      </c>
      <c r="J48" s="40"/>
    </row>
    <row r="49" spans="2:10" x14ac:dyDescent="0.2">
      <c r="B49" s="20"/>
      <c r="C49" s="23" t="s">
        <v>15</v>
      </c>
      <c r="D49" s="25"/>
      <c r="E49" s="40"/>
      <c r="G49" s="20"/>
      <c r="H49" s="23"/>
      <c r="I49" s="25"/>
      <c r="J49" s="40"/>
    </row>
    <row r="50" spans="2:10" x14ac:dyDescent="0.2">
      <c r="B50" s="20"/>
      <c r="C50" s="23" t="s">
        <v>16</v>
      </c>
      <c r="D50" s="26" t="s">
        <v>142</v>
      </c>
      <c r="E50" s="40"/>
      <c r="G50" s="20"/>
      <c r="H50" s="23"/>
      <c r="I50" s="26" t="s">
        <v>32</v>
      </c>
      <c r="J50" s="40"/>
    </row>
    <row r="51" spans="2:10" x14ac:dyDescent="0.2">
      <c r="B51" s="20"/>
      <c r="C51" s="21" t="s">
        <v>17</v>
      </c>
      <c r="D51" s="27" t="s">
        <v>143</v>
      </c>
      <c r="E51" s="40"/>
      <c r="G51" s="20"/>
      <c r="H51" s="21"/>
      <c r="I51" s="27" t="s">
        <v>144</v>
      </c>
      <c r="J51" s="40"/>
    </row>
    <row r="52" spans="2:10" x14ac:dyDescent="0.2">
      <c r="B52" s="20"/>
      <c r="C52" s="28"/>
      <c r="D52" s="28"/>
      <c r="E52" s="40"/>
      <c r="G52" s="20"/>
      <c r="H52" s="28"/>
      <c r="I52" s="28"/>
      <c r="J52" s="40"/>
    </row>
    <row r="53" spans="2:10" x14ac:dyDescent="0.2">
      <c r="B53" s="20"/>
      <c r="C53" s="29">
        <f>_xll.qlTermStructureReferenceDate(YieldCurve1_6M)</f>
        <v>42254</v>
      </c>
      <c r="D53" s="30">
        <f>_xll.qlYieldTSDiscount(YieldCurve1_6M,C53,,Trigger)</f>
        <v>1</v>
      </c>
      <c r="E53" s="40"/>
      <c r="G53" s="20"/>
      <c r="H53" s="29">
        <f>_xll.qlTermStructureReferenceDate(YieldCurve2_6M)</f>
        <v>42254</v>
      </c>
      <c r="I53" s="30">
        <f>_xll.qlYieldTSDiscount(YieldCurve2_6M,H53,,Trigger)</f>
        <v>1</v>
      </c>
      <c r="J53" s="40"/>
    </row>
    <row r="54" spans="2:10" x14ac:dyDescent="0.2">
      <c r="B54" s="20"/>
      <c r="C54" s="31">
        <f>_xll.qlTermStructureMaxDate(YieldCurve1_6M,Trigger)</f>
        <v>64178</v>
      </c>
      <c r="D54" s="32">
        <f>_xll.qlYieldTSDiscount(YieldCurve1_6M,C54,,Trigger)</f>
        <v>0.40908935302543842</v>
      </c>
      <c r="E54" s="40"/>
      <c r="G54" s="20"/>
      <c r="H54" s="31">
        <f>_xll.qlTermStructureMaxDate(YieldCurve2_6M,Trigger)</f>
        <v>64178</v>
      </c>
      <c r="I54" s="32">
        <f>_xll.qlYieldTSDiscount(YieldCurve2_6M,H54,,Trigger)</f>
        <v>0.40937067111463066</v>
      </c>
      <c r="J54" s="40"/>
    </row>
    <row r="55" spans="2:10" x14ac:dyDescent="0.2">
      <c r="B55" s="20"/>
      <c r="C55" s="31" t="str">
        <f>Currency&amp;"6M"&amp;LCHlinear</f>
        <v>EUR6M_linearLCH</v>
      </c>
      <c r="D55" s="32" t="b">
        <f>_xll.qlRelinkableHandleLinkTo(C55,D45,Trigger)</f>
        <v>1</v>
      </c>
      <c r="E55" s="40"/>
      <c r="G55" s="20"/>
      <c r="H55" s="31" t="str">
        <f>Currency&amp;"6M"&amp;LCHcubic</f>
        <v>EUR6M_cubicLCH</v>
      </c>
      <c r="I55" s="32" t="b">
        <f>_xll.qlRelinkableHandleLinkTo(H55,I45,Trigger)</f>
        <v>1</v>
      </c>
      <c r="J55" s="40"/>
    </row>
    <row r="56" spans="2:10" x14ac:dyDescent="0.2">
      <c r="B56" s="20"/>
      <c r="C56" s="33" t="s">
        <v>119</v>
      </c>
      <c r="D56" s="34" t="b">
        <v>0</v>
      </c>
      <c r="E56" s="40"/>
      <c r="G56" s="20"/>
      <c r="H56" s="33" t="s">
        <v>119</v>
      </c>
      <c r="I56" s="34" t="b">
        <v>0</v>
      </c>
      <c r="J56" s="40"/>
    </row>
    <row r="57" spans="2:10" x14ac:dyDescent="0.2">
      <c r="B57" s="42"/>
      <c r="C57" s="43"/>
      <c r="D57" s="43"/>
      <c r="E57" s="44"/>
      <c r="G57" s="42"/>
      <c r="H57" s="43"/>
      <c r="I57" s="43"/>
      <c r="J57" s="44"/>
    </row>
    <row r="59" spans="2:10" x14ac:dyDescent="0.2">
      <c r="B59" s="35"/>
      <c r="C59" s="36"/>
      <c r="D59" s="36"/>
      <c r="E59" s="37"/>
      <c r="G59" s="35"/>
      <c r="H59" s="36"/>
      <c r="I59" s="36"/>
      <c r="J59" s="37"/>
    </row>
    <row r="60" spans="2:10" x14ac:dyDescent="0.2">
      <c r="B60" s="20"/>
      <c r="C60" s="19" t="s">
        <v>10</v>
      </c>
      <c r="D60" s="39" t="str">
        <f>_xll.qlPiecewiseYieldCurve(D62,D63,Calendar,_xll.ohPack(EUR1M!Y3:Y94),,,,D64,D65,D66,Permanent,,ObjectOverwrite)</f>
        <v>_EUR1M_linearLCH#0001</v>
      </c>
      <c r="E60" s="40"/>
      <c r="G60" s="20"/>
      <c r="H60" s="19"/>
      <c r="I60" s="39" t="str">
        <f>_xll.qlPiecewiseYieldCurve(I62,I63,Calendar,_xll.ohPack(EUR1M!Z3:Z90),,,,I64,I65,I66,Permanent,,ObjectOverwrite)</f>
        <v>_EUR1M_cubicLCH#0001</v>
      </c>
      <c r="J60" s="40"/>
    </row>
    <row r="61" spans="2:10" x14ac:dyDescent="0.2">
      <c r="B61" s="20"/>
      <c r="C61" s="21" t="s">
        <v>11</v>
      </c>
      <c r="D61" s="41" t="str">
        <f>_xll.ohRangeRetrieveError(yieldcurve1_1M)</f>
        <v/>
      </c>
      <c r="E61" s="40"/>
      <c r="G61" s="20"/>
      <c r="H61" s="21"/>
      <c r="I61" s="41" t="str">
        <f>_xll.ohRangeRetrieveError(yieldcurve2_1M)</f>
        <v/>
      </c>
      <c r="J61" s="40"/>
    </row>
    <row r="62" spans="2:10" x14ac:dyDescent="0.2">
      <c r="B62" s="20"/>
      <c r="C62" s="19" t="s">
        <v>12</v>
      </c>
      <c r="D62" s="22" t="str">
        <f>"_"&amp;Currency&amp;"1M"&amp;LCHlinear</f>
        <v>_EUR1M_linearLCH</v>
      </c>
      <c r="E62" s="40"/>
      <c r="G62" s="20"/>
      <c r="H62" s="19"/>
      <c r="I62" s="22" t="str">
        <f>"_"&amp;Currency&amp;"1M"&amp;LCHcubic</f>
        <v>_EUR1M_cubicLCH</v>
      </c>
      <c r="J62" s="40"/>
    </row>
    <row r="63" spans="2:10" x14ac:dyDescent="0.2">
      <c r="B63" s="20"/>
      <c r="C63" s="23" t="s">
        <v>13</v>
      </c>
      <c r="D63" s="24">
        <v>0</v>
      </c>
      <c r="E63" s="40"/>
      <c r="G63" s="20"/>
      <c r="H63" s="23"/>
      <c r="I63" s="24">
        <v>0</v>
      </c>
      <c r="J63" s="40"/>
    </row>
    <row r="64" spans="2:10" x14ac:dyDescent="0.2">
      <c r="B64" s="20"/>
      <c r="C64" s="23" t="s">
        <v>15</v>
      </c>
      <c r="D64" s="25"/>
      <c r="E64" s="40"/>
      <c r="G64" s="20"/>
      <c r="H64" s="23"/>
      <c r="I64" s="25"/>
      <c r="J64" s="40"/>
    </row>
    <row r="65" spans="2:10" x14ac:dyDescent="0.2">
      <c r="B65" s="20"/>
      <c r="C65" s="23" t="s">
        <v>16</v>
      </c>
      <c r="D65" s="26" t="s">
        <v>142</v>
      </c>
      <c r="E65" s="40"/>
      <c r="G65" s="20"/>
      <c r="H65" s="23"/>
      <c r="I65" s="26" t="s">
        <v>32</v>
      </c>
      <c r="J65" s="40"/>
    </row>
    <row r="66" spans="2:10" x14ac:dyDescent="0.2">
      <c r="B66" s="20"/>
      <c r="C66" s="21" t="s">
        <v>17</v>
      </c>
      <c r="D66" s="27" t="s">
        <v>143</v>
      </c>
      <c r="E66" s="40"/>
      <c r="G66" s="20"/>
      <c r="H66" s="21"/>
      <c r="I66" s="27" t="s">
        <v>144</v>
      </c>
      <c r="J66" s="40"/>
    </row>
    <row r="67" spans="2:10" x14ac:dyDescent="0.2">
      <c r="B67" s="20"/>
      <c r="C67" s="28"/>
      <c r="D67" s="28"/>
      <c r="E67" s="40"/>
      <c r="G67" s="20"/>
      <c r="H67" s="28"/>
      <c r="I67" s="28"/>
      <c r="J67" s="40"/>
    </row>
    <row r="68" spans="2:10" x14ac:dyDescent="0.2">
      <c r="B68" s="20"/>
      <c r="C68" s="29">
        <f>_xll.qlTermStructureReferenceDate(yieldcurve1_1M)</f>
        <v>42254</v>
      </c>
      <c r="D68" s="30">
        <f>_xll.qlYieldTSDiscount(yieldcurve1_1M,C68,,Trigger)</f>
        <v>1</v>
      </c>
      <c r="E68" s="40"/>
      <c r="G68" s="20"/>
      <c r="H68" s="29">
        <f>_xll.qlTermStructureReferenceDate(yieldcurve2_1M)</f>
        <v>42254</v>
      </c>
      <c r="I68" s="30">
        <f>_xll.qlYieldTSDiscount(yieldcurve2_1M,H68,,Trigger)</f>
        <v>1</v>
      </c>
      <c r="J68" s="40"/>
    </row>
    <row r="69" spans="2:10" x14ac:dyDescent="0.2">
      <c r="B69" s="20"/>
      <c r="C69" s="31">
        <f>_xll.qlTermStructureMaxDate(yieldcurve1_1M,Trigger)</f>
        <v>64178</v>
      </c>
      <c r="D69" s="32">
        <f>_xll.qlYieldTSDiscount(yieldcurve1_1M,C69,,Trigger)</f>
        <v>0.42177101254312066</v>
      </c>
      <c r="E69" s="40"/>
      <c r="G69" s="20"/>
      <c r="H69" s="31">
        <f>_xll.qlTermStructureMaxDate(yieldcurve2_1M,Trigger)</f>
        <v>64178</v>
      </c>
      <c r="I69" s="32">
        <f>_xll.qlYieldTSDiscount(yieldcurve2_1M,H69,,Trigger)</f>
        <v>0.42202954504064366</v>
      </c>
      <c r="J69" s="40"/>
    </row>
    <row r="70" spans="2:10" x14ac:dyDescent="0.2">
      <c r="B70" s="20"/>
      <c r="C70" s="31" t="str">
        <f>Currency&amp;"1M"&amp;LCHlinear</f>
        <v>EUR1M_linearLCH</v>
      </c>
      <c r="D70" s="32" t="b">
        <f>_xll.qlRelinkableHandleLinkTo(C70,D60,Trigger)</f>
        <v>1</v>
      </c>
      <c r="E70" s="40"/>
      <c r="G70" s="20"/>
      <c r="H70" s="31" t="str">
        <f>Currency&amp;"1M"&amp;LCHcubic</f>
        <v>EUR1M_cubicLCH</v>
      </c>
      <c r="I70" s="32" t="b">
        <f>_xll.qlRelinkableHandleLinkTo(H70,I60,Trigger)</f>
        <v>1</v>
      </c>
      <c r="J70" s="40"/>
    </row>
    <row r="71" spans="2:10" x14ac:dyDescent="0.2">
      <c r="B71" s="20"/>
      <c r="C71" s="33" t="s">
        <v>119</v>
      </c>
      <c r="D71" s="34" t="b">
        <v>0</v>
      </c>
      <c r="E71" s="40"/>
      <c r="G71" s="20"/>
      <c r="H71" s="33" t="s">
        <v>119</v>
      </c>
      <c r="I71" s="34" t="b">
        <v>0</v>
      </c>
      <c r="J71" s="40"/>
    </row>
    <row r="72" spans="2:10" x14ac:dyDescent="0.2">
      <c r="B72" s="42"/>
      <c r="C72" s="43"/>
      <c r="D72" s="43"/>
      <c r="E72" s="44"/>
      <c r="G72" s="42"/>
      <c r="H72" s="43"/>
      <c r="I72" s="43"/>
      <c r="J72" s="44"/>
    </row>
    <row r="74" spans="2:10" x14ac:dyDescent="0.2">
      <c r="B74" s="35"/>
      <c r="C74" s="36"/>
      <c r="D74" s="36"/>
      <c r="E74" s="37"/>
      <c r="G74" s="35"/>
      <c r="H74" s="36"/>
      <c r="I74" s="36"/>
      <c r="J74" s="37"/>
    </row>
    <row r="75" spans="2:10" x14ac:dyDescent="0.2">
      <c r="B75" s="20"/>
      <c r="C75" s="19" t="s">
        <v>10</v>
      </c>
      <c r="D75" s="39" t="str">
        <f>_xll.qlPiecewiseYieldCurve(D77,D78,Calendar,_xll.ohPack(EUR1Y!Y3:Y81),,,,D79,D80,D81,Permanent,,ObjectOverwrite)</f>
        <v>_EUR1Y_linearLCH#0001</v>
      </c>
      <c r="E75" s="40"/>
      <c r="G75" s="20"/>
      <c r="H75" s="19"/>
      <c r="I75" s="39" t="str">
        <f>_xll.qlPiecewiseYieldCurve(I77,I78,Calendar,_xll.ohPack(EUR1Y!Z3:Z53),,,,I79,I80,I81,Permanent,,ObjectOverwrite)</f>
        <v>_EUR1Y_cubicLCH#0001</v>
      </c>
      <c r="J75" s="40"/>
    </row>
    <row r="76" spans="2:10" x14ac:dyDescent="0.2">
      <c r="B76" s="20"/>
      <c r="C76" s="21" t="s">
        <v>11</v>
      </c>
      <c r="D76" s="41" t="str">
        <f>_xll.ohRangeRetrieveError(yieldcurve1_1Y)</f>
        <v/>
      </c>
      <c r="E76" s="40"/>
      <c r="G76" s="20"/>
      <c r="H76" s="21"/>
      <c r="I76" s="41" t="str">
        <f>_xll.ohRangeRetrieveError(yieldcurve2_1Y)</f>
        <v/>
      </c>
      <c r="J76" s="40"/>
    </row>
    <row r="77" spans="2:10" x14ac:dyDescent="0.2">
      <c r="B77" s="20"/>
      <c r="C77" s="19" t="s">
        <v>12</v>
      </c>
      <c r="D77" s="22" t="str">
        <f>"_"&amp;Currency&amp;"1Y"&amp;LCHlinear</f>
        <v>_EUR1Y_linearLCH</v>
      </c>
      <c r="E77" s="40"/>
      <c r="G77" s="20"/>
      <c r="H77" s="19"/>
      <c r="I77" s="22" t="str">
        <f>"_"&amp;Currency&amp;"1Y"&amp;LCHcubic</f>
        <v>_EUR1Y_cubicLCH</v>
      </c>
      <c r="J77" s="40"/>
    </row>
    <row r="78" spans="2:10" x14ac:dyDescent="0.2">
      <c r="B78" s="20"/>
      <c r="C78" s="23" t="s">
        <v>13</v>
      </c>
      <c r="D78" s="24">
        <v>0</v>
      </c>
      <c r="E78" s="40"/>
      <c r="G78" s="20"/>
      <c r="H78" s="23"/>
      <c r="I78" s="24">
        <v>0</v>
      </c>
      <c r="J78" s="40"/>
    </row>
    <row r="79" spans="2:10" x14ac:dyDescent="0.2">
      <c r="B79" s="20"/>
      <c r="C79" s="23" t="s">
        <v>15</v>
      </c>
      <c r="D79" s="25"/>
      <c r="E79" s="40"/>
      <c r="G79" s="20"/>
      <c r="H79" s="23"/>
      <c r="I79" s="25"/>
      <c r="J79" s="40"/>
    </row>
    <row r="80" spans="2:10" x14ac:dyDescent="0.2">
      <c r="B80" s="20"/>
      <c r="C80" s="23" t="s">
        <v>16</v>
      </c>
      <c r="D80" s="26" t="s">
        <v>142</v>
      </c>
      <c r="E80" s="40"/>
      <c r="G80" s="20"/>
      <c r="H80" s="23"/>
      <c r="I80" s="26" t="s">
        <v>32</v>
      </c>
      <c r="J80" s="40"/>
    </row>
    <row r="81" spans="2:10" x14ac:dyDescent="0.2">
      <c r="B81" s="20"/>
      <c r="C81" s="21" t="s">
        <v>17</v>
      </c>
      <c r="D81" s="27" t="s">
        <v>143</v>
      </c>
      <c r="E81" s="40"/>
      <c r="G81" s="20"/>
      <c r="H81" s="21"/>
      <c r="I81" s="27" t="s">
        <v>144</v>
      </c>
      <c r="J81" s="40"/>
    </row>
    <row r="82" spans="2:10" x14ac:dyDescent="0.2">
      <c r="B82" s="20"/>
      <c r="C82" s="28"/>
      <c r="D82" s="28"/>
      <c r="E82" s="40"/>
      <c r="G82" s="20"/>
      <c r="H82" s="28"/>
      <c r="I82" s="28"/>
      <c r="J82" s="40"/>
    </row>
    <row r="83" spans="2:10" x14ac:dyDescent="0.2">
      <c r="B83" s="20"/>
      <c r="C83" s="29">
        <f>_xll.qlTermStructureReferenceDate(yieldcurve1_1Y)</f>
        <v>42254</v>
      </c>
      <c r="D83" s="30">
        <f>_xll.qlYieldTSDiscount(yieldcurve1_1Y,C83,,Trigger)</f>
        <v>1</v>
      </c>
      <c r="E83" s="40"/>
      <c r="G83" s="20"/>
      <c r="H83" s="29">
        <f>_xll.qlTermStructureReferenceDate(yieldcurve2_1Y)</f>
        <v>42254</v>
      </c>
      <c r="I83" s="30">
        <f>_xll.qlYieldTSDiscount(yieldcurve2_1Y,H83,,Trigger)</f>
        <v>1</v>
      </c>
      <c r="J83" s="40"/>
    </row>
    <row r="84" spans="2:10" x14ac:dyDescent="0.2">
      <c r="B84" s="20"/>
      <c r="C84" s="31">
        <f>_xll.qlTermStructureMaxDate(yieldcurve1_1Y,Trigger)</f>
        <v>64178</v>
      </c>
      <c r="D84" s="32">
        <f>_xll.qlYieldTSDiscount(yieldcurve1_1Y,C84,,Trigger)</f>
        <v>0.39536563358109511</v>
      </c>
      <c r="E84" s="40"/>
      <c r="G84" s="20"/>
      <c r="H84" s="31">
        <f>_xll.qlTermStructureMaxDate(yieldcurve2_1Y,Trigger)</f>
        <v>64178</v>
      </c>
      <c r="I84" s="32">
        <f>_xll.qlYieldTSDiscount(yieldcurve2_1Y,H84,,Trigger)</f>
        <v>0.39553956025149228</v>
      </c>
      <c r="J84" s="40"/>
    </row>
    <row r="85" spans="2:10" x14ac:dyDescent="0.2">
      <c r="B85" s="20"/>
      <c r="C85" s="31" t="str">
        <f>Currency&amp;"1Y"&amp;LCHlinear</f>
        <v>EUR1Y_linearLCH</v>
      </c>
      <c r="D85" s="32" t="b">
        <f>_xll.qlRelinkableHandleLinkTo(C85,D75,Trigger)</f>
        <v>1</v>
      </c>
      <c r="E85" s="40"/>
      <c r="G85" s="20"/>
      <c r="H85" s="31" t="str">
        <f>Currency&amp;"1Y"&amp;LCHcubic</f>
        <v>EUR1Y_cubicLCH</v>
      </c>
      <c r="I85" s="32" t="b">
        <f>_xll.qlRelinkableHandleLinkTo(H85,I75,Trigger)</f>
        <v>1</v>
      </c>
      <c r="J85" s="40"/>
    </row>
    <row r="86" spans="2:10" x14ac:dyDescent="0.2">
      <c r="B86" s="20"/>
      <c r="C86" s="33" t="s">
        <v>119</v>
      </c>
      <c r="D86" s="34" t="b">
        <v>0</v>
      </c>
      <c r="E86" s="40"/>
      <c r="G86" s="20"/>
      <c r="H86" s="33" t="s">
        <v>119</v>
      </c>
      <c r="I86" s="34" t="b">
        <v>0</v>
      </c>
      <c r="J86" s="40"/>
    </row>
    <row r="87" spans="2:10" x14ac:dyDescent="0.2">
      <c r="B87" s="42"/>
      <c r="C87" s="43"/>
      <c r="D87" s="43"/>
      <c r="E87" s="44"/>
      <c r="G87" s="42"/>
      <c r="H87" s="43"/>
      <c r="I87" s="43"/>
      <c r="J87" s="44"/>
    </row>
    <row r="89" spans="2:10" x14ac:dyDescent="0.2">
      <c r="B89" s="35"/>
      <c r="C89" s="36"/>
      <c r="D89" s="36"/>
      <c r="E89" s="37"/>
    </row>
    <row r="90" spans="2:10" x14ac:dyDescent="0.2">
      <c r="B90" s="20"/>
      <c r="C90" s="19" t="s">
        <v>10</v>
      </c>
      <c r="D90" s="39" t="str">
        <f>_xll.qlPiecewiseYieldCurve(D92,D93,Calendar,_xll.ohPack(EURSTD!W3:W72),,,,D94,D95,D96,Permanent,,ObjectOverwrite)</f>
        <v>_EURSTD_linearLCH#0004</v>
      </c>
      <c r="E90" s="40"/>
    </row>
    <row r="91" spans="2:10" x14ac:dyDescent="0.2">
      <c r="B91" s="20"/>
      <c r="C91" s="21" t="s">
        <v>11</v>
      </c>
      <c r="D91" s="41" t="str">
        <f>_xll.ohRangeRetrieveError(yieldcurve1_1Y)</f>
        <v/>
      </c>
      <c r="E91" s="40"/>
    </row>
    <row r="92" spans="2:10" x14ac:dyDescent="0.2">
      <c r="B92" s="20"/>
      <c r="C92" s="19" t="s">
        <v>12</v>
      </c>
      <c r="D92" s="22" t="str">
        <f>"_"&amp;Currency&amp;"STD"&amp;LCHlinear</f>
        <v>_EURSTD_linearLCH</v>
      </c>
      <c r="E92" s="40"/>
    </row>
    <row r="93" spans="2:10" x14ac:dyDescent="0.2">
      <c r="B93" s="20"/>
      <c r="C93" s="23" t="s">
        <v>13</v>
      </c>
      <c r="D93" s="24">
        <v>0</v>
      </c>
      <c r="E93" s="40"/>
    </row>
    <row r="94" spans="2:10" x14ac:dyDescent="0.2">
      <c r="B94" s="20"/>
      <c r="C94" s="23" t="s">
        <v>15</v>
      </c>
      <c r="D94" s="25"/>
      <c r="E94" s="40"/>
    </row>
    <row r="95" spans="2:10" x14ac:dyDescent="0.2">
      <c r="B95" s="20"/>
      <c r="C95" s="23" t="s">
        <v>16</v>
      </c>
      <c r="D95" s="26" t="s">
        <v>142</v>
      </c>
      <c r="E95" s="40"/>
    </row>
    <row r="96" spans="2:10" x14ac:dyDescent="0.2">
      <c r="B96" s="20"/>
      <c r="C96" s="21" t="s">
        <v>17</v>
      </c>
      <c r="D96" s="27" t="s">
        <v>143</v>
      </c>
      <c r="E96" s="40"/>
    </row>
    <row r="97" spans="2:5" x14ac:dyDescent="0.2">
      <c r="B97" s="20"/>
      <c r="C97" s="28"/>
      <c r="D97" s="28"/>
      <c r="E97" s="40"/>
    </row>
    <row r="98" spans="2:5" x14ac:dyDescent="0.2">
      <c r="B98" s="20"/>
      <c r="C98" s="29">
        <f>_xll.qlTermStructureReferenceDate(yieldcurve1_STD)</f>
        <v>42254</v>
      </c>
      <c r="D98" s="30">
        <f>_xll.qlYieldTSDiscount(yieldcurve1_STD,C98,,Trigger)</f>
        <v>1</v>
      </c>
      <c r="E98" s="40"/>
    </row>
    <row r="99" spans="2:5" x14ac:dyDescent="0.2">
      <c r="B99" s="20"/>
      <c r="C99" s="31">
        <f>_xll.qlTermStructureMaxDate(yieldcurve1_STD,Trigger)</f>
        <v>64178</v>
      </c>
      <c r="D99" s="32">
        <f>_xll.qlYieldTSDiscount(yieldcurve1_STD,C99,,Trigger)</f>
        <v>0.40859108845128356</v>
      </c>
      <c r="E99" s="40"/>
    </row>
    <row r="100" spans="2:5" x14ac:dyDescent="0.2">
      <c r="B100" s="20"/>
      <c r="C100" s="31" t="str">
        <f>Currency&amp;"STD"&amp;LCHlinear</f>
        <v>EURSTD_linearLCH</v>
      </c>
      <c r="D100" s="32" t="b">
        <f>_xll.qlRelinkableHandleLinkTo(C100,D90,Trigger)</f>
        <v>1</v>
      </c>
      <c r="E100" s="40"/>
    </row>
    <row r="101" spans="2:5" x14ac:dyDescent="0.2">
      <c r="B101" s="20"/>
      <c r="C101" s="33" t="s">
        <v>119</v>
      </c>
      <c r="D101" s="34" t="b">
        <v>0</v>
      </c>
      <c r="E101" s="40"/>
    </row>
    <row r="102" spans="2:5" x14ac:dyDescent="0.2">
      <c r="B102" s="42"/>
      <c r="C102" s="43"/>
      <c r="D102" s="43"/>
      <c r="E102" s="4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I81"/>
  <sheetViews>
    <sheetView showGridLines="0" topLeftCell="H1" zoomScaleNormal="100" workbookViewId="0">
      <selection activeCell="H1" sqref="H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11" style="50" hidden="1" customWidth="1" outlineLevel="1"/>
    <col min="4" max="4" width="12" style="52" hidden="1" customWidth="1" outlineLevel="1"/>
    <col min="5" max="5" width="22.42578125" style="46" hidden="1" customWidth="1" outlineLevel="1"/>
    <col min="6" max="6" width="8" style="46" hidden="1" customWidth="1" outlineLevel="1"/>
    <col min="7" max="7" width="15.140625" style="46" hidden="1" customWidth="1" outlineLevel="1"/>
    <col min="8" max="8" width="2.7109375" style="46" customWidth="1" collapsed="1"/>
    <col min="9" max="9" width="9" style="46" hidden="1" customWidth="1" outlineLevel="1"/>
    <col min="10" max="10" width="15.140625" style="103" hidden="1" customWidth="1" outlineLevel="1"/>
    <col min="11" max="11" width="21.42578125" style="103" hidden="1" customWidth="1" outlineLevel="1"/>
    <col min="12" max="12" width="12" style="103" hidden="1" customWidth="1" outlineLevel="1"/>
    <col min="13" max="13" width="7.85546875" style="103" hidden="1" customWidth="1" outlineLevel="1"/>
    <col min="14" max="14" width="9" style="103" hidden="1" customWidth="1" outlineLevel="1"/>
    <col min="15" max="15" width="5.85546875" style="103" hidden="1" customWidth="1" outlineLevel="1"/>
    <col min="16" max="17" width="10.7109375" style="103" hidden="1" customWidth="1" outlineLevel="1"/>
    <col min="18" max="18" width="2.7109375" style="48" hidden="1" customWidth="1" outlineLevel="1"/>
    <col min="19" max="19" width="6" style="46" customWidth="1" collapsed="1"/>
    <col min="20" max="20" width="10.140625" style="46" hidden="1" customWidth="1" outlineLevel="1"/>
    <col min="21" max="21" width="24.7109375" style="46" customWidth="1" collapsed="1"/>
    <col min="22" max="23" width="9.7109375" style="46" customWidth="1"/>
    <col min="24" max="25" width="17.28515625" style="46" bestFit="1" customWidth="1"/>
    <col min="26" max="26" width="13.140625" style="46" bestFit="1" customWidth="1"/>
    <col min="27" max="27" width="12.42578125" style="46" customWidth="1"/>
    <col min="28" max="28" width="10" style="46" hidden="1" customWidth="1" outlineLevel="1"/>
    <col min="29" max="29" width="9" style="46" hidden="1" customWidth="1" outlineLevel="1"/>
    <col min="30" max="30" width="10" style="46" hidden="1" customWidth="1" outlineLevel="1"/>
    <col min="31" max="31" width="12" style="46" hidden="1" customWidth="1" outlineLevel="1"/>
    <col min="32" max="32" width="10" style="46" hidden="1" customWidth="1" outlineLevel="1"/>
    <col min="33" max="33" width="3.7109375" style="46" customWidth="1" collapsed="1"/>
    <col min="34" max="35" width="24.42578125" style="46" bestFit="1" customWidth="1"/>
    <col min="36" max="37" width="11.7109375" style="46" customWidth="1"/>
    <col min="38" max="39" width="24.42578125" style="46" bestFit="1" customWidth="1"/>
    <col min="40" max="40" width="10" style="46" bestFit="1" customWidth="1"/>
    <col min="41" max="41" width="24.42578125" style="46" bestFit="1" customWidth="1"/>
    <col min="42" max="16384" width="9.140625" style="46"/>
  </cols>
  <sheetData>
    <row r="1" spans="1:35" ht="18" customHeight="1" x14ac:dyDescent="0.2">
      <c r="D1" s="50" t="s">
        <v>123</v>
      </c>
      <c r="I1" s="67" t="s">
        <v>24</v>
      </c>
      <c r="J1" s="106"/>
      <c r="K1" s="106"/>
      <c r="L1" s="106"/>
      <c r="M1" s="106"/>
      <c r="N1" s="106"/>
      <c r="O1" s="106"/>
      <c r="P1" s="106"/>
      <c r="Q1" s="96"/>
      <c r="R1" s="93"/>
      <c r="S1" s="74" t="str">
        <f>Currency&amp;"OIS"</f>
        <v>EUROIS</v>
      </c>
      <c r="T1" s="66"/>
      <c r="U1" s="66"/>
      <c r="V1" s="69"/>
      <c r="W1" s="69"/>
      <c r="X1" s="66"/>
      <c r="Y1" s="66"/>
      <c r="Z1" s="178" t="s">
        <v>143</v>
      </c>
      <c r="AA1" s="178" t="s">
        <v>154</v>
      </c>
    </row>
    <row r="2" spans="1:35" ht="21.75" customHeight="1" x14ac:dyDescent="0.2">
      <c r="A2" s="65" t="s">
        <v>9</v>
      </c>
      <c r="B2" s="65" t="s">
        <v>29</v>
      </c>
      <c r="C2" s="65" t="s">
        <v>75</v>
      </c>
      <c r="D2" s="65" t="s">
        <v>4</v>
      </c>
      <c r="E2" s="65" t="s">
        <v>1</v>
      </c>
      <c r="F2" s="65"/>
      <c r="G2" s="65" t="s">
        <v>24</v>
      </c>
      <c r="I2" s="73" t="s">
        <v>9</v>
      </c>
      <c r="J2" s="73" t="s">
        <v>24</v>
      </c>
      <c r="K2" s="73" t="s">
        <v>79</v>
      </c>
      <c r="L2" s="73" t="s">
        <v>82</v>
      </c>
      <c r="M2" s="73" t="s">
        <v>80</v>
      </c>
      <c r="N2" s="73" t="s">
        <v>81</v>
      </c>
      <c r="O2" s="73" t="s">
        <v>83</v>
      </c>
      <c r="P2" s="73" t="s">
        <v>22</v>
      </c>
      <c r="Q2" s="73" t="s">
        <v>76</v>
      </c>
      <c r="R2" s="93"/>
      <c r="S2" s="73" t="s">
        <v>9</v>
      </c>
      <c r="T2" s="73" t="s">
        <v>24</v>
      </c>
      <c r="U2" s="73" t="s">
        <v>79</v>
      </c>
      <c r="V2" s="75" t="s">
        <v>23</v>
      </c>
      <c r="W2" s="75" t="s">
        <v>84</v>
      </c>
      <c r="X2" s="73" t="s">
        <v>22</v>
      </c>
      <c r="Y2" s="73" t="s">
        <v>76</v>
      </c>
      <c r="Z2" s="171">
        <f t="array" ref="Z2:Z77">_xll.qlPiecewiseYieldCurveData(YieldCurve1_ON,Trigger)</f>
        <v>-1.3788914934424043E-3</v>
      </c>
      <c r="AA2" s="76">
        <f t="array" ref="AA2:AA77">_xll.qlPiecewiseYieldCurveData(yieldcurve2_ON,Trigger)</f>
        <v>1</v>
      </c>
      <c r="AD2" s="46" t="s">
        <v>155</v>
      </c>
      <c r="AF2" s="46" t="s">
        <v>156</v>
      </c>
      <c r="AH2" s="211" t="s">
        <v>85</v>
      </c>
      <c r="AI2" s="212"/>
    </row>
    <row r="3" spans="1:35" ht="11.25" customHeight="1" x14ac:dyDescent="0.2">
      <c r="A3" s="53" t="s">
        <v>26</v>
      </c>
      <c r="B3" s="54" t="s">
        <v>37</v>
      </c>
      <c r="C3" s="56" t="s">
        <v>6</v>
      </c>
      <c r="D3" s="55" t="str">
        <f>$D$1</f>
        <v>Eonia</v>
      </c>
      <c r="E3" s="57" t="str">
        <f>IF(LCHQuoteOverwrite,Currency&amp;"1DOIS"&amp;LCHQuoteSuffix,Currency&amp;$B3&amp;"D"&amp;QuoteSuffix)</f>
        <v>EUR1DOIS_LCHQuote</v>
      </c>
      <c r="F3" s="123"/>
      <c r="G3" s="58" t="str">
        <f>_xll.qlDepositRateHelper(,E3,D3,Permanent,Trigger,ObjectOverwrite)</f>
        <v>obj_0075b#0001</v>
      </c>
      <c r="H3" s="49"/>
      <c r="I3" s="10" t="str">
        <f>A3</f>
        <v>Dp</v>
      </c>
      <c r="J3" s="94" t="str">
        <f>IF(ISBLANK(G3),"--",G3)</f>
        <v>obj_0075b#0001</v>
      </c>
      <c r="K3" s="146" t="str">
        <f>IFERROR(_xll.qlRateHelperQuoteName(J3,Trigger),"--")</f>
        <v>EUR1DOIS_LCHQuote</v>
      </c>
      <c r="L3" s="98">
        <f>IFERROR(_xll.qlRateHelperQuoteValue($J3,Trigger),"--")</f>
        <v>-1.3600000000000001E-3</v>
      </c>
      <c r="M3" s="97" t="b">
        <v>1</v>
      </c>
      <c r="N3" s="94">
        <v>70</v>
      </c>
      <c r="O3" s="94">
        <v>1</v>
      </c>
      <c r="P3" s="99">
        <f>IFERROR(_xll.qlRateHelperEarliestDate(J3,Trigger),"--")</f>
        <v>42254</v>
      </c>
      <c r="Q3" s="99">
        <f>IFERROR(_xll.qlRateHelperPillarDate(J3,Trigger),"--")</f>
        <v>42255</v>
      </c>
      <c r="S3" s="4" t="str">
        <f t="shared" ref="S3:S44" si="0">IFERROR(INDEX($I$3:$I$77,MATCH(U3,$K$3:$K$77,0),1),"")</f>
        <v>Dp</v>
      </c>
      <c r="T3" s="4" t="str">
        <f t="array" ref="T3:T77">_xll.qlRateHelperSelection(_xll.ohFilter(RateHelpers,IncludeFlag),_xll.ohFilter(Priority,IncludeFlag),AI3,AI4,AI5,AI6,_xll.ohFilter(MinDistance,IncludeFlag),Trigger)</f>
        <v>obj_0075b</v>
      </c>
      <c r="U3" s="4" t="str">
        <f>IFERROR(_xll.qlRateHelperQuoteName(T3,Trigger),"")</f>
        <v>EUR1DOIS_LCHQuote</v>
      </c>
      <c r="V3" s="70">
        <f>IFERROR(_xll.qlRateHelperRate(T3,Trigger),"")</f>
        <v>-1.3600000000000001E-3</v>
      </c>
      <c r="W3" s="104" t="str">
        <f>IF(ISERROR(_xll.qlSwapRateHelperSpread($T3)),IF(ISERROR(_xll.qlFuturesRateHelperConvexityAdjustment($T3)),"",_xll.qlFuturesRateHelperConvexityAdjustment($T3)),_xll.qlSwapRateHelperSpread($T3))</f>
        <v/>
      </c>
      <c r="X3" s="5">
        <f>IFERROR(_xll.qlRateHelperEarliestDate(T3,Trigger),"")</f>
        <v>42254</v>
      </c>
      <c r="Y3" s="5">
        <f>IFERROR(_xll.qlRateHelperPillarDate(T3,Trigger),"")</f>
        <v>42255</v>
      </c>
      <c r="Z3" s="70">
        <v>-1.3788914934424043E-3</v>
      </c>
      <c r="AA3" s="77">
        <v>1.0000037777920494</v>
      </c>
      <c r="AB3" s="169">
        <f t="array" ref="AB3:AB77">_xll.ohFilter([1]REP00100!$C$2:$C$1000,([1]REP00100!$A$2:$A$1000="EUR_EONIA_EOD"))</f>
        <v>42255</v>
      </c>
      <c r="AC3" s="170">
        <f t="array" ref="AC3:AC77">_xll.ohFilter([1]REP00100!$E$2:$E$1000,([1]REP00100!$A$2:$A$1000="EUR_EONIA_EOD"))</f>
        <v>-1.3788914934804899E-3</v>
      </c>
      <c r="AD3" s="172">
        <f>Z3-AC3</f>
        <v>3.8085637074636303E-14</v>
      </c>
      <c r="AE3" s="174">
        <f t="array" ref="AE3:AE77">_xll.ohFilter([1]REP00101!$F$2:$F$1000,([1]REP00101!$A$2:$A$1000="EUR_EONIA_EOD"))</f>
        <v>1.0000037777920501</v>
      </c>
      <c r="AF3" s="173">
        <f>AA3-AE3</f>
        <v>0</v>
      </c>
      <c r="AG3" s="170"/>
      <c r="AH3" s="107" t="s">
        <v>86</v>
      </c>
      <c r="AI3" s="108">
        <v>0</v>
      </c>
    </row>
    <row r="4" spans="1:35" ht="11.25" customHeight="1" x14ac:dyDescent="0.2">
      <c r="A4" s="110" t="s">
        <v>26</v>
      </c>
      <c r="B4" s="111" t="s">
        <v>73</v>
      </c>
      <c r="C4" s="112" t="s">
        <v>74</v>
      </c>
      <c r="D4" s="113" t="str">
        <f>$D$1</f>
        <v>Eonia</v>
      </c>
      <c r="E4" s="168" t="str">
        <f>IF(LCHQuoteOverwrite,Currency&amp;"2DOIS"&amp;LCHQuoteSuffix,Currency&amp;$B4&amp;"D"&amp;QuoteSuffix)</f>
        <v>EUR2DOIS_LCHQuote</v>
      </c>
      <c r="F4" s="122"/>
      <c r="G4" s="114" t="str">
        <f>_xll.qlFraRateHelper(,E4,C4,D4,PillarDate,,Permanent,Trigger,ObjectOverwrite)</f>
        <v>obj_00742#0001</v>
      </c>
      <c r="H4" s="48"/>
      <c r="I4" s="10" t="str">
        <f>A4</f>
        <v>Dp</v>
      </c>
      <c r="J4" s="94" t="str">
        <f t="shared" ref="J4" si="1">IF(ISBLANK(G4),"--",G4)</f>
        <v>obj_00742#0001</v>
      </c>
      <c r="K4" s="146" t="str">
        <f>IFERROR(_xll.qlRateHelperQuoteName(J4,Trigger),"--")</f>
        <v>EUR2DOIS_LCHQuote</v>
      </c>
      <c r="L4" s="98">
        <f>IFERROR(_xll.qlRateHelperQuoteValue($J4,Trigger),"--")</f>
        <v>-1.3600000000000001E-3</v>
      </c>
      <c r="M4" s="97" t="b">
        <v>1</v>
      </c>
      <c r="N4" s="94">
        <v>70</v>
      </c>
      <c r="O4" s="94">
        <v>1</v>
      </c>
      <c r="P4" s="99">
        <f>IFERROR(_xll.qlRateHelperEarliestDate(J4,Trigger),"--")</f>
        <v>42255</v>
      </c>
      <c r="Q4" s="99">
        <f>IFERROR(_xll.qlRateHelperPillarDate(J4,Trigger),"--")</f>
        <v>42256</v>
      </c>
      <c r="S4" s="4" t="str">
        <f t="shared" si="0"/>
        <v>Dp</v>
      </c>
      <c r="T4" s="4" t="str">
        <v>obj_00742</v>
      </c>
      <c r="U4" s="4" t="str">
        <f>IFERROR(_xll.qlRateHelperQuoteName(T4,Trigger),"")</f>
        <v>EUR2DOIS_LCHQuote</v>
      </c>
      <c r="V4" s="70">
        <f>IFERROR(_xll.qlRateHelperRate(T4,Trigger),"")</f>
        <v>-1.3600000000000001E-3</v>
      </c>
      <c r="W4" s="104" t="str">
        <f>IF(ISERROR(_xll.qlSwapRateHelperSpread($T4)),IF(ISERROR(_xll.qlFuturesRateHelperConvexityAdjustment($T4)),"",_xll.qlFuturesRateHelperConvexityAdjustment($T4)),_xll.qlSwapRateHelperSpread($T4))</f>
        <v/>
      </c>
      <c r="X4" s="5">
        <f>IFERROR(_xll.qlRateHelperEarliestDate(T4,Trigger),"")</f>
        <v>42255</v>
      </c>
      <c r="Y4" s="5">
        <f>IFERROR(_xll.qlRateHelperPillarDate(T4,Trigger),"")</f>
        <v>42256</v>
      </c>
      <c r="Z4" s="70">
        <v>-1.3788914934438014E-3</v>
      </c>
      <c r="AA4" s="77">
        <v>1.0000075555983705</v>
      </c>
      <c r="AB4" s="169">
        <v>42256</v>
      </c>
      <c r="AC4" s="170">
        <v>-1.37889149346136E-3</v>
      </c>
      <c r="AD4" s="172">
        <f t="shared" ref="AD4:AD67" si="2">Z4-AC4</f>
        <v>1.7558654183402744E-14</v>
      </c>
      <c r="AE4" s="174">
        <v>1.0000075555983701</v>
      </c>
      <c r="AF4" s="173">
        <f t="shared" ref="AF4:AF67" si="3">AA4-AE4</f>
        <v>0</v>
      </c>
      <c r="AG4" s="170"/>
      <c r="AH4" s="107" t="s">
        <v>87</v>
      </c>
      <c r="AI4" s="108">
        <v>0</v>
      </c>
    </row>
    <row r="5" spans="1:35" ht="11.25" customHeight="1" x14ac:dyDescent="0.2">
      <c r="D5" s="50" t="s">
        <v>124</v>
      </c>
      <c r="H5" s="48"/>
      <c r="I5" s="68" t="str">
        <f>A7</f>
        <v>OIS</v>
      </c>
      <c r="J5" s="131" t="str">
        <f>IF(ISBLANK(G7),"--",G7)</f>
        <v>obj_007bc#0001</v>
      </c>
      <c r="K5" s="145" t="str">
        <f>IFERROR(_xll.qlRateHelperQuoteName(J5,Trigger),"--")</f>
        <v>EUR1WOIS_LCHQuote</v>
      </c>
      <c r="L5" s="133">
        <f>IFERROR(_xll.qlRateHelperQuoteValue($J5,Trigger),"--")</f>
        <v>-1.2999999999999999E-3</v>
      </c>
      <c r="M5" s="132" t="b">
        <v>1</v>
      </c>
      <c r="N5" s="131">
        <v>50</v>
      </c>
      <c r="O5" s="131">
        <v>1</v>
      </c>
      <c r="P5" s="134">
        <f>IFERROR(_xll.qlRateHelperEarliestDate(J5,Trigger),"--")</f>
        <v>42256</v>
      </c>
      <c r="Q5" s="134">
        <f>IFERROR(_xll.qlRateHelperPillarDate(J5,Trigger),"--")</f>
        <v>42263</v>
      </c>
      <c r="S5" s="4" t="str">
        <f t="shared" si="0"/>
        <v>OIS</v>
      </c>
      <c r="T5" s="4" t="str">
        <v>obj_007bc</v>
      </c>
      <c r="U5" s="4" t="str">
        <f>IFERROR(_xll.qlRateHelperQuoteName(T5,Trigger),"")</f>
        <v>EUR1WOIS_LCHQuote</v>
      </c>
      <c r="V5" s="70">
        <f>IFERROR(_xll.qlRateHelperRate(T5,Trigger),"")</f>
        <v>-1.2999999999999999E-3</v>
      </c>
      <c r="W5" s="104" t="str">
        <f>IF(ISERROR(_xll.qlSwapRateHelperSpread($T5)),IF(ISERROR(_xll.qlFuturesRateHelperConvexityAdjustment($T5)),"",_xll.qlFuturesRateHelperConvexityAdjustment($T5)),_xll.qlSwapRateHelperSpread($T5))</f>
        <v/>
      </c>
      <c r="X5" s="5">
        <f>IFERROR(_xll.qlRateHelperEarliestDate(T5,Trigger),"")</f>
        <v>42256</v>
      </c>
      <c r="Y5" s="5">
        <f>IFERROR(_xll.qlRateHelperPillarDate(T5,Trigger),"")</f>
        <v>42263</v>
      </c>
      <c r="Z5" s="70">
        <v>-1.3315876098879019E-3</v>
      </c>
      <c r="AA5" s="77">
        <v>1.0000328342061235</v>
      </c>
      <c r="AB5" s="169">
        <v>42263</v>
      </c>
      <c r="AC5" s="170">
        <v>-1.3315876099059499E-3</v>
      </c>
      <c r="AD5" s="172">
        <f t="shared" si="2"/>
        <v>1.8048063044062701E-14</v>
      </c>
      <c r="AE5" s="174">
        <v>1.00003283420612</v>
      </c>
      <c r="AF5" s="173">
        <f t="shared" si="3"/>
        <v>3.5527136788005009E-15</v>
      </c>
      <c r="AG5" s="170"/>
      <c r="AH5" s="107" t="s">
        <v>88</v>
      </c>
      <c r="AI5" s="108">
        <v>0</v>
      </c>
    </row>
    <row r="6" spans="1:35" ht="11.25" customHeight="1" x14ac:dyDescent="0.2">
      <c r="A6" s="65" t="s">
        <v>9</v>
      </c>
      <c r="B6" s="65" t="s">
        <v>29</v>
      </c>
      <c r="C6" s="65" t="s">
        <v>78</v>
      </c>
      <c r="D6" s="65" t="s">
        <v>4</v>
      </c>
      <c r="E6" s="65" t="s">
        <v>1</v>
      </c>
      <c r="F6" s="65"/>
      <c r="G6" s="65" t="s">
        <v>24</v>
      </c>
      <c r="H6" s="48"/>
      <c r="I6" s="10" t="str">
        <f t="shared" ref="I6:I40" si="4">A8</f>
        <v>OIS</v>
      </c>
      <c r="J6" s="94" t="str">
        <f t="shared" ref="J6:J40" si="5">IF(ISBLANK(G8),"--",G8)</f>
        <v>obj_00682#0001</v>
      </c>
      <c r="K6" s="146" t="str">
        <f>IFERROR(_xll.qlRateHelperQuoteName(J6,Trigger),"--")</f>
        <v>EUR2WOIS_LCHQuote</v>
      </c>
      <c r="L6" s="98">
        <f>IFERROR(_xll.qlRateHelperQuoteValue($J6,Trigger),"--")</f>
        <v>-1.2999999999999999E-3</v>
      </c>
      <c r="M6" s="97" t="b">
        <v>1</v>
      </c>
      <c r="N6" s="94">
        <v>50</v>
      </c>
      <c r="O6" s="94">
        <v>1</v>
      </c>
      <c r="P6" s="99">
        <f>IFERROR(_xll.qlRateHelperEarliestDate(J6,Trigger),"--")</f>
        <v>42256</v>
      </c>
      <c r="Q6" s="99">
        <f>IFERROR(_xll.qlRateHelperPillarDate(J6,Trigger),"--")</f>
        <v>42270</v>
      </c>
      <c r="S6" s="4" t="str">
        <f t="shared" si="0"/>
        <v>OIS</v>
      </c>
      <c r="T6" s="4" t="str">
        <v>obj_00682</v>
      </c>
      <c r="U6" s="4" t="str">
        <f>IFERROR(_xll.qlRateHelperQuoteName(T6,Trigger),"")</f>
        <v>EUR2WOIS_LCHQuote</v>
      </c>
      <c r="V6" s="70">
        <f>IFERROR(_xll.qlRateHelperRate(T6,Trigger),"")</f>
        <v>-1.2999999999999999E-3</v>
      </c>
      <c r="W6" s="104" t="str">
        <f>IF(ISERROR(_xll.qlSwapRateHelperSpread($T6)),IF(ISERROR(_xll.qlFuturesRateHelperConvexityAdjustment($T6)),"",_xll.qlFuturesRateHelperConvexityAdjustment($T6)),_xll.qlSwapRateHelperSpread($T6))</f>
        <v/>
      </c>
      <c r="X6" s="5">
        <f>IFERROR(_xll.qlRateHelperEarliestDate(T6,Trigger),"")</f>
        <v>42256</v>
      </c>
      <c r="Y6" s="5">
        <f>IFERROR(_xll.qlRateHelperPillarDate(T6,Trigger),"")</f>
        <v>42270</v>
      </c>
      <c r="Z6" s="70">
        <v>-1.3256892016015082E-3</v>
      </c>
      <c r="AA6" s="77">
        <v>1.0000581140919163</v>
      </c>
      <c r="AB6" s="169">
        <v>42270</v>
      </c>
      <c r="AC6" s="170">
        <v>-1.32568920160386E-3</v>
      </c>
      <c r="AD6" s="172">
        <f t="shared" si="2"/>
        <v>2.3518513525555562E-15</v>
      </c>
      <c r="AE6" s="174">
        <v>1.00005811409192</v>
      </c>
      <c r="AF6" s="173">
        <f t="shared" si="3"/>
        <v>-3.7747582837255322E-15</v>
      </c>
      <c r="AG6" s="170"/>
      <c r="AH6" s="107" t="s">
        <v>89</v>
      </c>
      <c r="AI6" s="109" t="s">
        <v>90</v>
      </c>
    </row>
    <row r="7" spans="1:35" ht="11.25" customHeight="1" x14ac:dyDescent="0.2">
      <c r="A7" s="53" t="s">
        <v>70</v>
      </c>
      <c r="B7" s="54" t="s">
        <v>38</v>
      </c>
      <c r="C7" s="55">
        <f>IF(B7="O/N",0,IF(B7="T/N",1,2))</f>
        <v>2</v>
      </c>
      <c r="D7" s="62" t="str">
        <f>$D$1</f>
        <v>Eonia</v>
      </c>
      <c r="E7" s="57" t="str">
        <f t="shared" ref="E7:E42" si="6">IF(LCHQuoteOverwrite,Currency&amp;B7&amp;"OIS"&amp;LCHQuoteSuffix,Currency&amp;$D$5&amp;IF($B7="1W","SW",$B7)&amp;QuoteSuffix)</f>
        <v>EUR1WOIS_LCHQuote</v>
      </c>
      <c r="F7" s="123"/>
      <c r="G7" s="58" t="str">
        <f>_xll.qlOISRateHelper(,C7,B7,E7,$D7,,Permanent,Trigger,ObjectOverwrite)</f>
        <v>obj_007bc#0001</v>
      </c>
      <c r="H7" s="48"/>
      <c r="I7" s="10" t="str">
        <f t="shared" si="4"/>
        <v>OIS</v>
      </c>
      <c r="J7" s="94" t="str">
        <f t="shared" si="5"/>
        <v>obj_00679#0001</v>
      </c>
      <c r="K7" s="146" t="str">
        <f>IFERROR(_xll.qlRateHelperQuoteName(J7,Trigger),"--")</f>
        <v>EUR3WOIS_LCHQuote</v>
      </c>
      <c r="L7" s="98">
        <f>IFERROR(_xll.qlRateHelperQuoteValue($J7,Trigger),"--")</f>
        <v>-1.2966666999999999E-3</v>
      </c>
      <c r="M7" s="97" t="b">
        <v>1</v>
      </c>
      <c r="N7" s="94">
        <v>50</v>
      </c>
      <c r="O7" s="94">
        <v>1</v>
      </c>
      <c r="P7" s="99">
        <f>IFERROR(_xll.qlRateHelperEarliestDate(J7,Trigger),"--")</f>
        <v>42256</v>
      </c>
      <c r="Q7" s="99">
        <f>IFERROR(_xll.qlRateHelperPillarDate(J7,Trigger),"--")</f>
        <v>42277</v>
      </c>
      <c r="S7" s="4" t="str">
        <f t="shared" si="0"/>
        <v>OIS</v>
      </c>
      <c r="T7" s="4" t="str">
        <v>obj_00679</v>
      </c>
      <c r="U7" s="4" t="str">
        <f>IFERROR(_xll.qlRateHelperQuoteName(T7,Trigger),"")</f>
        <v>EUR3WOIS_LCHQuote</v>
      </c>
      <c r="V7" s="70">
        <f>IFERROR(_xll.qlRateHelperRate(T7,Trigger),"")</f>
        <v>-1.2966666999999999E-3</v>
      </c>
      <c r="W7" s="104" t="str">
        <f>IF(ISERROR(_xll.qlSwapRateHelperSpread($T7)),IF(ISERROR(_xll.qlFuturesRateHelperConvexityAdjustment($T7)),"",_xll.qlFuturesRateHelperConvexityAdjustment($T7)),_xll.qlSwapRateHelperSpread($T7))</f>
        <v/>
      </c>
      <c r="X7" s="5">
        <f>IFERROR(_xll.qlRateHelperEarliestDate(T7,Trigger),"")</f>
        <v>42256</v>
      </c>
      <c r="Y7" s="5">
        <f>IFERROR(_xll.qlRateHelperPillarDate(T7,Trigger),"")</f>
        <v>42277</v>
      </c>
      <c r="Z7" s="70">
        <v>-1.3203053182746303E-3</v>
      </c>
      <c r="AA7" s="77">
        <v>1.0000832007824187</v>
      </c>
      <c r="AB7" s="169">
        <v>42277</v>
      </c>
      <c r="AC7" s="170">
        <v>-1.32030529050455E-3</v>
      </c>
      <c r="AD7" s="172">
        <f t="shared" si="2"/>
        <v>-2.7770080289132859E-11</v>
      </c>
      <c r="AE7" s="174">
        <v>1.0000832007806699</v>
      </c>
      <c r="AF7" s="173">
        <f t="shared" si="3"/>
        <v>1.7488233083895466E-12</v>
      </c>
      <c r="AG7" s="170"/>
    </row>
    <row r="8" spans="1:35" ht="11.25" customHeight="1" x14ac:dyDescent="0.2">
      <c r="A8" s="59" t="s">
        <v>70</v>
      </c>
      <c r="B8" s="60" t="s">
        <v>39</v>
      </c>
      <c r="C8" s="61">
        <f t="shared" ref="C8:C21" si="7">IF(B8="O/N",0,IF(B8="T/N",1,2))</f>
        <v>2</v>
      </c>
      <c r="D8" s="62" t="str">
        <f t="shared" ref="D8:D42" si="8">$D$1</f>
        <v>Eonia</v>
      </c>
      <c r="E8" s="63" t="str">
        <f t="shared" si="6"/>
        <v>EUR2WOIS_LCHQuote</v>
      </c>
      <c r="F8" s="123"/>
      <c r="G8" s="64" t="str">
        <f>_xll.qlOISRateHelper(,C8,B8,E8,$D8,,Permanent,Trigger,ObjectOverwrite)</f>
        <v>obj_00682#0001</v>
      </c>
      <c r="H8" s="48"/>
      <c r="I8" s="10" t="str">
        <f t="shared" si="4"/>
        <v>OIS</v>
      </c>
      <c r="J8" s="94" t="str">
        <f t="shared" si="5"/>
        <v>obj_00688#0001</v>
      </c>
      <c r="K8" s="146" t="str">
        <f>IFERROR(_xll.qlRateHelperQuoteName(J8,Trigger),"--")</f>
        <v>EUR1MOIS_LCHQuote</v>
      </c>
      <c r="L8" s="98">
        <f>IFERROR(_xll.qlRateHelperQuoteValue($J8,Trigger),"--")</f>
        <v>-1.2716667000000001E-3</v>
      </c>
      <c r="M8" s="97" t="b">
        <v>1</v>
      </c>
      <c r="N8" s="94">
        <v>50</v>
      </c>
      <c r="O8" s="94">
        <v>1</v>
      </c>
      <c r="P8" s="99">
        <f>IFERROR(_xll.qlRateHelperEarliestDate(J8,Trigger),"--")</f>
        <v>42256</v>
      </c>
      <c r="Q8" s="99">
        <f>IFERROR(_xll.qlRateHelperPillarDate(J8,Trigger),"--")</f>
        <v>42286</v>
      </c>
      <c r="S8" s="4" t="str">
        <f t="shared" si="0"/>
        <v>OIS</v>
      </c>
      <c r="T8" s="4" t="str">
        <v>obj_00688</v>
      </c>
      <c r="U8" s="4" t="str">
        <f>IFERROR(_xll.qlRateHelperQuoteName(T8,Trigger),"")</f>
        <v>EUR1MOIS_LCHQuote</v>
      </c>
      <c r="V8" s="70">
        <f>IFERROR(_xll.qlRateHelperRate(T8,Trigger),"")</f>
        <v>-1.2716667000000001E-3</v>
      </c>
      <c r="W8" s="104" t="str">
        <f>IF(ISERROR(_xll.qlSwapRateHelperSpread($T8)),IF(ISERROR(_xll.qlFuturesRateHelperConvexityAdjustment($T8)),"",_xll.qlFuturesRateHelperConvexityAdjustment($T8)),_xll.qlSwapRateHelperSpread($T8))</f>
        <v/>
      </c>
      <c r="X8" s="5">
        <f>IFERROR(_xll.qlRateHelperEarliestDate(T8,Trigger),"")</f>
        <v>42256</v>
      </c>
      <c r="Y8" s="5">
        <f>IFERROR(_xll.qlRateHelperPillarDate(T8,Trigger),"")</f>
        <v>42286</v>
      </c>
      <c r="Z8" s="70">
        <v>-1.294990460971123E-3</v>
      </c>
      <c r="AA8" s="77">
        <v>1.0001135398554386</v>
      </c>
      <c r="AB8" s="169">
        <v>42286</v>
      </c>
      <c r="AC8" s="170">
        <v>-1.2949904277368401E-3</v>
      </c>
      <c r="AD8" s="172">
        <f t="shared" si="2"/>
        <v>-3.3234282947186555E-11</v>
      </c>
      <c r="AE8" s="174">
        <v>1.0001135398525201</v>
      </c>
      <c r="AF8" s="173">
        <f t="shared" si="3"/>
        <v>2.9185542871346115E-12</v>
      </c>
      <c r="AG8" s="170"/>
    </row>
    <row r="9" spans="1:35" ht="11.25" customHeight="1" x14ac:dyDescent="0.2">
      <c r="A9" s="59" t="s">
        <v>70</v>
      </c>
      <c r="B9" s="60" t="s">
        <v>40</v>
      </c>
      <c r="C9" s="61">
        <f t="shared" si="7"/>
        <v>2</v>
      </c>
      <c r="D9" s="62" t="str">
        <f t="shared" si="8"/>
        <v>Eonia</v>
      </c>
      <c r="E9" s="63" t="str">
        <f t="shared" si="6"/>
        <v>EUR3WOIS_LCHQuote</v>
      </c>
      <c r="F9" s="123"/>
      <c r="G9" s="64" t="str">
        <f>_xll.qlOISRateHelper(,C9,B9,E9,$D9,,Permanent,Trigger,ObjectOverwrite)</f>
        <v>obj_00679#0001</v>
      </c>
      <c r="H9" s="48"/>
      <c r="I9" s="10" t="str">
        <f t="shared" si="4"/>
        <v>OIS</v>
      </c>
      <c r="J9" s="94" t="str">
        <f t="shared" si="5"/>
        <v>obj_0068b#0001</v>
      </c>
      <c r="K9" s="146" t="str">
        <f>IFERROR(_xll.qlRateHelperQuoteName(J9,Trigger),"--")</f>
        <v>EUR2MOIS_LCHQuote</v>
      </c>
      <c r="L9" s="98">
        <f>IFERROR(_xll.qlRateHelperQuoteValue($J9,Trigger),"--")</f>
        <v>-1.2899999999999999E-3</v>
      </c>
      <c r="M9" s="97" t="b">
        <v>1</v>
      </c>
      <c r="N9" s="94">
        <v>50</v>
      </c>
      <c r="O9" s="94">
        <v>1</v>
      </c>
      <c r="P9" s="99">
        <f>IFERROR(_xll.qlRateHelperEarliestDate(J9,Trigger),"--")</f>
        <v>42256</v>
      </c>
      <c r="Q9" s="99">
        <f>IFERROR(_xll.qlRateHelperPillarDate(J9,Trigger),"--")</f>
        <v>42317</v>
      </c>
      <c r="S9" s="4" t="str">
        <f t="shared" si="0"/>
        <v>OIS</v>
      </c>
      <c r="T9" s="4" t="str">
        <v>obj_0068b</v>
      </c>
      <c r="U9" s="4" t="str">
        <f>IFERROR(_xll.qlRateHelperQuoteName(T9,Trigger),"")</f>
        <v>EUR2MOIS_LCHQuote</v>
      </c>
      <c r="V9" s="70">
        <f>IFERROR(_xll.qlRateHelperRate(T9,Trigger),"")</f>
        <v>-1.2899999999999999E-3</v>
      </c>
      <c r="W9" s="104" t="str">
        <f>IF(ISERROR(_xll.qlSwapRateHelperSpread($T9)),IF(ISERROR(_xll.qlFuturesRateHelperConvexityAdjustment($T9)),"",_xll.qlFuturesRateHelperConvexityAdjustment($T9)),_xll.qlSwapRateHelperSpread($T9))</f>
        <v/>
      </c>
      <c r="X9" s="5">
        <f>IFERROR(_xll.qlRateHelperEarliestDate(T9,Trigger),"")</f>
        <v>42256</v>
      </c>
      <c r="Y9" s="5">
        <f>IFERROR(_xll.qlRateHelperPillarDate(T9,Trigger),"")</f>
        <v>42317</v>
      </c>
      <c r="Z9" s="70">
        <v>-1.3103082624175164E-3</v>
      </c>
      <c r="AA9" s="77">
        <v>1.0002261883727124</v>
      </c>
      <c r="AB9" s="169">
        <v>42317</v>
      </c>
      <c r="AC9" s="170">
        <v>-1.31030826241943E-3</v>
      </c>
      <c r="AD9" s="172">
        <f t="shared" si="2"/>
        <v>1.9136168344369153E-15</v>
      </c>
      <c r="AE9" s="174">
        <v>1.0002261883727099</v>
      </c>
      <c r="AF9" s="173">
        <f t="shared" si="3"/>
        <v>2.4424906541753444E-15</v>
      </c>
      <c r="AG9" s="170"/>
    </row>
    <row r="10" spans="1:35" ht="11.25" customHeight="1" x14ac:dyDescent="0.2">
      <c r="A10" s="59" t="s">
        <v>70</v>
      </c>
      <c r="B10" s="60" t="s">
        <v>2</v>
      </c>
      <c r="C10" s="61">
        <f t="shared" si="7"/>
        <v>2</v>
      </c>
      <c r="D10" s="62" t="str">
        <f t="shared" si="8"/>
        <v>Eonia</v>
      </c>
      <c r="E10" s="63" t="str">
        <f t="shared" si="6"/>
        <v>EUR1MOIS_LCHQuote</v>
      </c>
      <c r="F10" s="123"/>
      <c r="G10" s="64" t="str">
        <f>_xll.qlOISRateHelper(,C10,B10,E10,$D10,,Permanent,Trigger,ObjectOverwrite)</f>
        <v>obj_00688#0001</v>
      </c>
      <c r="H10" s="48"/>
      <c r="I10" s="10" t="str">
        <f t="shared" si="4"/>
        <v>OIS</v>
      </c>
      <c r="J10" s="94" t="str">
        <f t="shared" si="5"/>
        <v>obj_00665#0001</v>
      </c>
      <c r="K10" s="146" t="str">
        <f>IFERROR(_xll.qlRateHelperQuoteName(J10,Trigger),"--")</f>
        <v>EUR3MOIS_LCHQuote</v>
      </c>
      <c r="L10" s="98">
        <f>IFERROR(_xll.qlRateHelperQuoteValue($J10,Trigger),"--")</f>
        <v>-1.3066667E-3</v>
      </c>
      <c r="M10" s="97" t="b">
        <v>1</v>
      </c>
      <c r="N10" s="94">
        <v>50</v>
      </c>
      <c r="O10" s="94">
        <v>1</v>
      </c>
      <c r="P10" s="99">
        <f>IFERROR(_xll.qlRateHelperEarliestDate(J10,Trigger),"--")</f>
        <v>42256</v>
      </c>
      <c r="Q10" s="99">
        <f>IFERROR(_xll.qlRateHelperPillarDate(J10,Trigger),"--")</f>
        <v>42347</v>
      </c>
      <c r="S10" s="4" t="str">
        <f t="shared" si="0"/>
        <v>OIS</v>
      </c>
      <c r="T10" s="4" t="str">
        <v>obj_00665</v>
      </c>
      <c r="U10" s="4" t="str">
        <f>IFERROR(_xll.qlRateHelperQuoteName(T10,Trigger),"")</f>
        <v>EUR3MOIS_LCHQuote</v>
      </c>
      <c r="V10" s="70">
        <f>IFERROR(_xll.qlRateHelperRate(T10,Trigger),"")</f>
        <v>-1.3066667E-3</v>
      </c>
      <c r="W10" s="104" t="str">
        <f>IF(ISERROR(_xll.qlSwapRateHelperSpread($T10)),IF(ISERROR(_xll.qlFuturesRateHelperConvexityAdjustment($T10)),"",_xll.qlFuturesRateHelperConvexityAdjustment($T10)),_xll.qlSwapRateHelperSpread($T10))</f>
        <v/>
      </c>
      <c r="X10" s="5">
        <f>IFERROR(_xll.qlRateHelperEarliestDate(T10,Trigger),"")</f>
        <v>42256</v>
      </c>
      <c r="Y10" s="5">
        <f>IFERROR(_xll.qlRateHelperPillarDate(T10,Trigger),"")</f>
        <v>42347</v>
      </c>
      <c r="Z10" s="70">
        <v>-1.3261919199287094E-3</v>
      </c>
      <c r="AA10" s="77">
        <v>1.0003379635311982</v>
      </c>
      <c r="AB10" s="169">
        <v>42347</v>
      </c>
      <c r="AC10" s="170">
        <v>-1.32619189013825E-3</v>
      </c>
      <c r="AD10" s="172">
        <f t="shared" si="2"/>
        <v>-2.979045937885616E-11</v>
      </c>
      <c r="AE10" s="174">
        <v>1.00033796352361</v>
      </c>
      <c r="AF10" s="173">
        <f t="shared" si="3"/>
        <v>7.5881523287080199E-12</v>
      </c>
      <c r="AG10" s="170"/>
    </row>
    <row r="11" spans="1:35" ht="11.25" customHeight="1" x14ac:dyDescent="0.2">
      <c r="A11" s="59" t="s">
        <v>70</v>
      </c>
      <c r="B11" s="60" t="s">
        <v>41</v>
      </c>
      <c r="C11" s="61">
        <f t="shared" si="7"/>
        <v>2</v>
      </c>
      <c r="D11" s="62" t="str">
        <f t="shared" si="8"/>
        <v>Eonia</v>
      </c>
      <c r="E11" s="63" t="str">
        <f t="shared" si="6"/>
        <v>EUR2MOIS_LCHQuote</v>
      </c>
      <c r="F11" s="123"/>
      <c r="G11" s="64" t="str">
        <f>_xll.qlOISRateHelper(,C11,B11,E11,$D11,,Permanent,Trigger,ObjectOverwrite)</f>
        <v>obj_0068b#0001</v>
      </c>
      <c r="H11" s="48"/>
      <c r="I11" s="10" t="str">
        <f t="shared" si="4"/>
        <v>OIS</v>
      </c>
      <c r="J11" s="94" t="str">
        <f t="shared" si="5"/>
        <v>obj_0067d#0001</v>
      </c>
      <c r="K11" s="146" t="str">
        <f>IFERROR(_xll.qlRateHelperQuoteName(J11,Trigger),"--")</f>
        <v>EUR4MOIS_LCHQuote</v>
      </c>
      <c r="L11" s="98">
        <f>IFERROR(_xll.qlRateHelperQuoteValue($J11,Trigger),"--")</f>
        <v>-1.33125E-3</v>
      </c>
      <c r="M11" s="97" t="b">
        <v>1</v>
      </c>
      <c r="N11" s="94">
        <v>50</v>
      </c>
      <c r="O11" s="94">
        <v>1</v>
      </c>
      <c r="P11" s="99">
        <f>IFERROR(_xll.qlRateHelperEarliestDate(J11,Trigger),"--")</f>
        <v>42256</v>
      </c>
      <c r="Q11" s="99">
        <f>IFERROR(_xll.qlRateHelperPillarDate(J11,Trigger),"--")</f>
        <v>42380</v>
      </c>
      <c r="S11" s="4" t="str">
        <f t="shared" si="0"/>
        <v>OIS</v>
      </c>
      <c r="T11" s="4" t="str">
        <v>obj_0067d</v>
      </c>
      <c r="U11" s="4" t="str">
        <f>IFERROR(_xll.qlRateHelperQuoteName(T11,Trigger),"")</f>
        <v>EUR4MOIS_LCHQuote</v>
      </c>
      <c r="V11" s="70">
        <f>IFERROR(_xll.qlRateHelperRate(T11,Trigger),"")</f>
        <v>-1.33125E-3</v>
      </c>
      <c r="W11" s="104" t="str">
        <f>IF(ISERROR(_xll.qlSwapRateHelperSpread($T11)),IF(ISERROR(_xll.qlFuturesRateHelperConvexityAdjustment($T11)),"",_xll.qlFuturesRateHelperConvexityAdjustment($T11)),_xll.qlSwapRateHelperSpread($T11))</f>
        <v/>
      </c>
      <c r="X11" s="5">
        <f>IFERROR(_xll.qlRateHelperEarliestDate(T11,Trigger),"")</f>
        <v>42256</v>
      </c>
      <c r="Y11" s="5">
        <f>IFERROR(_xll.qlRateHelperPillarDate(T11,Trigger),"")</f>
        <v>42380</v>
      </c>
      <c r="Z11" s="70">
        <v>-1.350506949114921E-3</v>
      </c>
      <c r="AA11" s="77">
        <v>1.0004663110881007</v>
      </c>
      <c r="AB11" s="169">
        <v>42380</v>
      </c>
      <c r="AC11" s="170">
        <v>-1.35050694911565E-3</v>
      </c>
      <c r="AD11" s="172">
        <f t="shared" si="2"/>
        <v>7.2901754077925318E-16</v>
      </c>
      <c r="AE11" s="174">
        <v>1.0004663110881</v>
      </c>
      <c r="AF11" s="173">
        <f t="shared" si="3"/>
        <v>0</v>
      </c>
      <c r="AG11" s="170"/>
    </row>
    <row r="12" spans="1:35" ht="11.25" customHeight="1" x14ac:dyDescent="0.2">
      <c r="A12" s="59" t="s">
        <v>70</v>
      </c>
      <c r="B12" s="60" t="s">
        <v>0</v>
      </c>
      <c r="C12" s="61">
        <f t="shared" si="7"/>
        <v>2</v>
      </c>
      <c r="D12" s="62" t="str">
        <f t="shared" si="8"/>
        <v>Eonia</v>
      </c>
      <c r="E12" s="63" t="str">
        <f t="shared" si="6"/>
        <v>EUR3MOIS_LCHQuote</v>
      </c>
      <c r="F12" s="123"/>
      <c r="G12" s="64" t="str">
        <f>_xll.qlOISRateHelper(,C12,B12,E12,$D12,,Permanent,Trigger,ObjectOverwrite)</f>
        <v>obj_00665#0001</v>
      </c>
      <c r="H12" s="48"/>
      <c r="I12" s="10" t="str">
        <f t="shared" si="4"/>
        <v>OIS</v>
      </c>
      <c r="J12" s="94" t="str">
        <f t="shared" si="5"/>
        <v>obj_0066e#0001</v>
      </c>
      <c r="K12" s="146" t="str">
        <f>IFERROR(_xll.qlRateHelperQuoteName(J12,Trigger),"--")</f>
        <v>EUR5MOIS_LCHQuote</v>
      </c>
      <c r="L12" s="98">
        <f>IFERROR(_xll.qlRateHelperQuoteValue($J12,Trigger),"--")</f>
        <v>-1.3466667000000001E-3</v>
      </c>
      <c r="M12" s="97" t="b">
        <v>1</v>
      </c>
      <c r="N12" s="94">
        <v>50</v>
      </c>
      <c r="O12" s="94">
        <v>1</v>
      </c>
      <c r="P12" s="99">
        <f>IFERROR(_xll.qlRateHelperEarliestDate(J12,Trigger),"--")</f>
        <v>42256</v>
      </c>
      <c r="Q12" s="99">
        <f>IFERROR(_xll.qlRateHelperPillarDate(J12,Trigger),"--")</f>
        <v>42409</v>
      </c>
      <c r="S12" s="4" t="str">
        <f t="shared" si="0"/>
        <v>OIS</v>
      </c>
      <c r="T12" s="4" t="str">
        <v>obj_0066e</v>
      </c>
      <c r="U12" s="4" t="str">
        <f>IFERROR(_xll.qlRateHelperQuoteName(T12,Trigger),"")</f>
        <v>EUR5MOIS_LCHQuote</v>
      </c>
      <c r="V12" s="70">
        <f>IFERROR(_xll.qlRateHelperRate(T12,Trigger),"")</f>
        <v>-1.3466667000000001E-3</v>
      </c>
      <c r="W12" s="104" t="str">
        <f>IF(ISERROR(_xll.qlSwapRateHelperSpread($T12)),IF(ISERROR(_xll.qlFuturesRateHelperConvexityAdjustment($T12)),"",_xll.qlFuturesRateHelperConvexityAdjustment($T12)),_xll.qlSwapRateHelperSpread($T12))</f>
        <v/>
      </c>
      <c r="X12" s="5">
        <f>IFERROR(_xll.qlRateHelperEarliestDate(T12,Trigger),"")</f>
        <v>42256</v>
      </c>
      <c r="Y12" s="5">
        <f>IFERROR(_xll.qlRateHelperPillarDate(T12,Trigger),"")</f>
        <v>42409</v>
      </c>
      <c r="Z12" s="70">
        <v>-1.3659306990934171E-3</v>
      </c>
      <c r="AA12" s="77">
        <v>1.0005802210257124</v>
      </c>
      <c r="AB12" s="169">
        <v>42409</v>
      </c>
      <c r="AC12" s="170">
        <v>-1.3659306689293999E-3</v>
      </c>
      <c r="AD12" s="172">
        <f t="shared" si="2"/>
        <v>-3.0164017117417785E-11</v>
      </c>
      <c r="AE12" s="174">
        <v>1.00058022101295</v>
      </c>
      <c r="AF12" s="173">
        <f t="shared" si="3"/>
        <v>1.2762457757276024E-11</v>
      </c>
      <c r="AG12" s="170"/>
    </row>
    <row r="13" spans="1:35" ht="11.25" customHeight="1" x14ac:dyDescent="0.2">
      <c r="A13" s="59" t="s">
        <v>70</v>
      </c>
      <c r="B13" s="60" t="s">
        <v>42</v>
      </c>
      <c r="C13" s="61">
        <f t="shared" si="7"/>
        <v>2</v>
      </c>
      <c r="D13" s="62" t="str">
        <f t="shared" si="8"/>
        <v>Eonia</v>
      </c>
      <c r="E13" s="63" t="str">
        <f t="shared" si="6"/>
        <v>EUR4MOIS_LCHQuote</v>
      </c>
      <c r="F13" s="123"/>
      <c r="G13" s="64" t="str">
        <f>_xll.qlOISRateHelper(,C13,B13,E13,$D13,,Permanent,Trigger,ObjectOverwrite)</f>
        <v>obj_0067d#0001</v>
      </c>
      <c r="H13" s="48"/>
      <c r="I13" s="10" t="str">
        <f t="shared" si="4"/>
        <v>OIS</v>
      </c>
      <c r="J13" s="94" t="str">
        <f t="shared" si="5"/>
        <v>obj_00677#0001</v>
      </c>
      <c r="K13" s="146" t="str">
        <f>IFERROR(_xll.qlRateHelperQuoteName(J13,Trigger),"--")</f>
        <v>EUR6MOIS_LCHQuote</v>
      </c>
      <c r="L13" s="98">
        <f>IFERROR(_xll.qlRateHelperQuoteValue($J13,Trigger),"--")</f>
        <v>-1.3749999999999999E-3</v>
      </c>
      <c r="M13" s="97" t="b">
        <v>1</v>
      </c>
      <c r="N13" s="94">
        <v>50</v>
      </c>
      <c r="O13" s="94">
        <v>1</v>
      </c>
      <c r="P13" s="99">
        <f>IFERROR(_xll.qlRateHelperEarliestDate(J13,Trigger),"--")</f>
        <v>42256</v>
      </c>
      <c r="Q13" s="99">
        <f>IFERROR(_xll.qlRateHelperPillarDate(J13,Trigger),"--")</f>
        <v>42438</v>
      </c>
      <c r="S13" s="4" t="str">
        <f t="shared" si="0"/>
        <v>OIS</v>
      </c>
      <c r="T13" s="4" t="str">
        <v>obj_00677</v>
      </c>
      <c r="U13" s="4" t="str">
        <f>IFERROR(_xll.qlRateHelperQuoteName(T13,Trigger),"")</f>
        <v>EUR6MOIS_LCHQuote</v>
      </c>
      <c r="V13" s="70">
        <f>IFERROR(_xll.qlRateHelperRate(T13,Trigger),"")</f>
        <v>-1.3749999999999999E-3</v>
      </c>
      <c r="W13" s="104" t="str">
        <f>IF(ISERROR(_xll.qlSwapRateHelperSpread($T13)),IF(ISERROR(_xll.qlFuturesRateHelperConvexityAdjustment($T13)),"",_xll.qlFuturesRateHelperConvexityAdjustment($T13)),_xll.qlSwapRateHelperSpread($T13))</f>
        <v/>
      </c>
      <c r="X13" s="5">
        <f>IFERROR(_xll.qlRateHelperEarliestDate(T13,Trigger),"")</f>
        <v>42256</v>
      </c>
      <c r="Y13" s="5">
        <f>IFERROR(_xll.qlRateHelperPillarDate(T13,Trigger),"")</f>
        <v>42438</v>
      </c>
      <c r="Z13" s="70">
        <v>-1.394411443584642E-3</v>
      </c>
      <c r="AA13" s="77">
        <v>1.0007031832973154</v>
      </c>
      <c r="AB13" s="169">
        <v>42438</v>
      </c>
      <c r="AC13" s="170">
        <v>-1.3944114435847201E-3</v>
      </c>
      <c r="AD13" s="172">
        <f t="shared" si="2"/>
        <v>7.8062556418956319E-17</v>
      </c>
      <c r="AE13" s="174">
        <v>1.0007031832973201</v>
      </c>
      <c r="AF13" s="173">
        <f t="shared" si="3"/>
        <v>-4.6629367034256575E-15</v>
      </c>
      <c r="AG13" s="170"/>
    </row>
    <row r="14" spans="1:35" ht="11.25" customHeight="1" x14ac:dyDescent="0.2">
      <c r="A14" s="59" t="s">
        <v>70</v>
      </c>
      <c r="B14" s="60" t="s">
        <v>43</v>
      </c>
      <c r="C14" s="61">
        <f t="shared" si="7"/>
        <v>2</v>
      </c>
      <c r="D14" s="62" t="str">
        <f t="shared" si="8"/>
        <v>Eonia</v>
      </c>
      <c r="E14" s="63" t="str">
        <f t="shared" si="6"/>
        <v>EUR5MOIS_LCHQuote</v>
      </c>
      <c r="F14" s="123"/>
      <c r="G14" s="64" t="str">
        <f>_xll.qlOISRateHelper(,C14,B14,E14,$D14,,Permanent,Trigger,ObjectOverwrite)</f>
        <v>obj_0066e#0001</v>
      </c>
      <c r="H14" s="48"/>
      <c r="I14" s="10" t="str">
        <f t="shared" si="4"/>
        <v>OIS</v>
      </c>
      <c r="J14" s="94" t="str">
        <f t="shared" si="5"/>
        <v>obj_00653#0001</v>
      </c>
      <c r="K14" s="146" t="str">
        <f>IFERROR(_xll.qlRateHelperQuoteName(J14,Trigger),"--")</f>
        <v>EUR7MOIS_LCHQuote</v>
      </c>
      <c r="L14" s="98">
        <f>IFERROR(_xll.qlRateHelperQuoteValue($J14,Trigger),"--")</f>
        <v>-1.40375E-3</v>
      </c>
      <c r="M14" s="97" t="b">
        <v>1</v>
      </c>
      <c r="N14" s="94">
        <v>50</v>
      </c>
      <c r="O14" s="94">
        <v>1</v>
      </c>
      <c r="P14" s="99">
        <f>IFERROR(_xll.qlRateHelperEarliestDate(J14,Trigger),"--")</f>
        <v>42256</v>
      </c>
      <c r="Q14" s="99">
        <f>IFERROR(_xll.qlRateHelperPillarDate(J14,Trigger),"--")</f>
        <v>42471</v>
      </c>
      <c r="S14" s="4" t="str">
        <f t="shared" si="0"/>
        <v>OIS</v>
      </c>
      <c r="T14" s="4" t="str">
        <v>obj_00653</v>
      </c>
      <c r="U14" s="4" t="str">
        <f>IFERROR(_xll.qlRateHelperQuoteName(T14,Trigger),"")</f>
        <v>EUR7MOIS_LCHQuote</v>
      </c>
      <c r="V14" s="70">
        <f>IFERROR(_xll.qlRateHelperRate(T14,Trigger),"")</f>
        <v>-1.40375E-3</v>
      </c>
      <c r="W14" s="104" t="str">
        <f>IF(ISERROR(_xll.qlSwapRateHelperSpread($T14)),IF(ISERROR(_xll.qlFuturesRateHelperConvexityAdjustment($T14)),"",_xll.qlFuturesRateHelperConvexityAdjustment($T14)),_xll.qlSwapRateHelperSpread($T14))</f>
        <v/>
      </c>
      <c r="X14" s="5">
        <f>IFERROR(_xll.qlRateHelperEarliestDate(T14,Trigger),"")</f>
        <v>42256</v>
      </c>
      <c r="Y14" s="5">
        <f>IFERROR(_xll.qlRateHelperPillarDate(T14,Trigger),"")</f>
        <v>42471</v>
      </c>
      <c r="Z14" s="70">
        <v>-1.4234291477081421E-3</v>
      </c>
      <c r="AA14" s="77">
        <v>1.0008466160539717</v>
      </c>
      <c r="AB14" s="169">
        <v>42471</v>
      </c>
      <c r="AC14" s="170">
        <v>-1.4234291475210699E-3</v>
      </c>
      <c r="AD14" s="172">
        <f t="shared" si="2"/>
        <v>-1.8707214596846988E-13</v>
      </c>
      <c r="AE14" s="174">
        <v>1.00084661605397</v>
      </c>
      <c r="AF14" s="173">
        <f t="shared" si="3"/>
        <v>1.7763568394002505E-15</v>
      </c>
      <c r="AG14" s="170"/>
    </row>
    <row r="15" spans="1:35" ht="11.25" customHeight="1" x14ac:dyDescent="0.2">
      <c r="A15" s="59" t="s">
        <v>70</v>
      </c>
      <c r="B15" s="60" t="s">
        <v>3</v>
      </c>
      <c r="C15" s="61">
        <f t="shared" si="7"/>
        <v>2</v>
      </c>
      <c r="D15" s="62" t="str">
        <f t="shared" si="8"/>
        <v>Eonia</v>
      </c>
      <c r="E15" s="63" t="str">
        <f t="shared" si="6"/>
        <v>EUR6MOIS_LCHQuote</v>
      </c>
      <c r="F15" s="123"/>
      <c r="G15" s="64" t="str">
        <f>_xll.qlOISRateHelper(,C15,B15,E15,$D15,,Permanent,Trigger,ObjectOverwrite)</f>
        <v>obj_00677#0001</v>
      </c>
      <c r="H15" s="48"/>
      <c r="I15" s="10" t="str">
        <f t="shared" si="4"/>
        <v>OIS</v>
      </c>
      <c r="J15" s="94" t="str">
        <f t="shared" si="5"/>
        <v>obj_0068c#0001</v>
      </c>
      <c r="K15" s="146" t="str">
        <f>IFERROR(_xll.qlRateHelperQuoteName(J15,Trigger),"--")</f>
        <v>EUR8MOIS_LCHQuote</v>
      </c>
      <c r="L15" s="98">
        <f>IFERROR(_xll.qlRateHelperQuoteValue($J15,Trigger),"--")</f>
        <v>-1.4137500000000001E-3</v>
      </c>
      <c r="M15" s="97" t="b">
        <v>1</v>
      </c>
      <c r="N15" s="94">
        <v>50</v>
      </c>
      <c r="O15" s="94">
        <v>1</v>
      </c>
      <c r="P15" s="99">
        <f>IFERROR(_xll.qlRateHelperEarliestDate(J15,Trigger),"--")</f>
        <v>42256</v>
      </c>
      <c r="Q15" s="99">
        <f>IFERROR(_xll.qlRateHelperPillarDate(J15,Trigger),"--")</f>
        <v>42499</v>
      </c>
      <c r="S15" s="4" t="str">
        <f t="shared" si="0"/>
        <v>OIS</v>
      </c>
      <c r="T15" s="4" t="str">
        <v>obj_0068c</v>
      </c>
      <c r="U15" s="4" t="str">
        <f>IFERROR(_xll.qlRateHelperQuoteName(T15,Trigger),"")</f>
        <v>EUR8MOIS_LCHQuote</v>
      </c>
      <c r="V15" s="70">
        <f>IFERROR(_xll.qlRateHelperRate(T15,Trigger),"")</f>
        <v>-1.4137500000000001E-3</v>
      </c>
      <c r="W15" s="104" t="str">
        <f>IF(ISERROR(_xll.qlSwapRateHelperSpread($T15)),IF(ISERROR(_xll.qlFuturesRateHelperConvexityAdjustment($T15)),"",_xll.qlFuturesRateHelperConvexityAdjustment($T15)),_xll.qlSwapRateHelperSpread($T15))</f>
        <v/>
      </c>
      <c r="X15" s="5">
        <f>IFERROR(_xll.qlRateHelperEarliestDate(T15,Trigger),"")</f>
        <v>42256</v>
      </c>
      <c r="Y15" s="5">
        <f>IFERROR(_xll.qlRateHelperPillarDate(T15,Trigger),"")</f>
        <v>42499</v>
      </c>
      <c r="Z15" s="70">
        <v>-1.4336193435175594E-3</v>
      </c>
      <c r="AA15" s="77">
        <v>1.0009627555879763</v>
      </c>
      <c r="AB15" s="169">
        <v>42499</v>
      </c>
      <c r="AC15" s="170">
        <v>-1.43361934351748E-3</v>
      </c>
      <c r="AD15" s="172">
        <f t="shared" si="2"/>
        <v>-7.9363599025938925E-17</v>
      </c>
      <c r="AE15" s="174">
        <v>1.0009627555879801</v>
      </c>
      <c r="AF15" s="173">
        <f t="shared" si="3"/>
        <v>-3.7747582837255322E-15</v>
      </c>
      <c r="AG15" s="170"/>
    </row>
    <row r="16" spans="1:35" ht="11.25" customHeight="1" x14ac:dyDescent="0.2">
      <c r="A16" s="59" t="s">
        <v>70</v>
      </c>
      <c r="B16" s="60" t="s">
        <v>44</v>
      </c>
      <c r="C16" s="61">
        <f t="shared" si="7"/>
        <v>2</v>
      </c>
      <c r="D16" s="62" t="str">
        <f t="shared" si="8"/>
        <v>Eonia</v>
      </c>
      <c r="E16" s="63" t="str">
        <f t="shared" si="6"/>
        <v>EUR7MOIS_LCHQuote</v>
      </c>
      <c r="F16" s="123"/>
      <c r="G16" s="64" t="str">
        <f>_xll.qlOISRateHelper(,C16,B16,E16,$D16,,Permanent,Trigger,ObjectOverwrite)</f>
        <v>obj_00653#0001</v>
      </c>
      <c r="H16" s="48"/>
      <c r="I16" s="10" t="str">
        <f t="shared" si="4"/>
        <v>OIS</v>
      </c>
      <c r="J16" s="94" t="str">
        <f t="shared" si="5"/>
        <v>obj_00689#0001</v>
      </c>
      <c r="K16" s="146" t="str">
        <f>IFERROR(_xll.qlRateHelperQuoteName(J16,Trigger),"--")</f>
        <v>EUR9MOIS_LCHQuote</v>
      </c>
      <c r="L16" s="98">
        <f>IFERROR(_xll.qlRateHelperQuoteValue($J16,Trigger),"--")</f>
        <v>-1.4224999999999999E-3</v>
      </c>
      <c r="M16" s="97" t="b">
        <v>1</v>
      </c>
      <c r="N16" s="94">
        <v>50</v>
      </c>
      <c r="O16" s="94">
        <v>1</v>
      </c>
      <c r="P16" s="99">
        <f>IFERROR(_xll.qlRateHelperEarliestDate(J16,Trigger),"--")</f>
        <v>42256</v>
      </c>
      <c r="Q16" s="99">
        <f>IFERROR(_xll.qlRateHelperPillarDate(J16,Trigger),"--")</f>
        <v>42530</v>
      </c>
      <c r="S16" s="4" t="str">
        <f t="shared" si="0"/>
        <v>OIS</v>
      </c>
      <c r="T16" s="4" t="str">
        <v>obj_00689</v>
      </c>
      <c r="U16" s="4" t="str">
        <f>IFERROR(_xll.qlRateHelperQuoteName(T16,Trigger),"")</f>
        <v>EUR9MOIS_LCHQuote</v>
      </c>
      <c r="V16" s="70">
        <f>IFERROR(_xll.qlRateHelperRate(T16,Trigger),"")</f>
        <v>-1.4224999999999999E-3</v>
      </c>
      <c r="W16" s="104" t="str">
        <f>IF(ISERROR(_xll.qlSwapRateHelperSpread($T16)),IF(ISERROR(_xll.qlFuturesRateHelperConvexityAdjustment($T16)),"",_xll.qlFuturesRateHelperConvexityAdjustment($T16)),_xll.qlSwapRateHelperSpread($T16))</f>
        <v/>
      </c>
      <c r="X16" s="5">
        <f>IFERROR(_xll.qlRateHelperEarliestDate(T16,Trigger),"")</f>
        <v>42256</v>
      </c>
      <c r="Y16" s="5">
        <f>IFERROR(_xll.qlRateHelperPillarDate(T16,Trigger),"")</f>
        <v>42530</v>
      </c>
      <c r="Z16" s="70">
        <v>-1.4425734287889286E-3</v>
      </c>
      <c r="AA16" s="77">
        <v>1.0010914178107677</v>
      </c>
      <c r="AB16" s="169">
        <v>42530</v>
      </c>
      <c r="AC16" s="170">
        <v>-1.4425734285710399E-3</v>
      </c>
      <c r="AD16" s="172">
        <f t="shared" si="2"/>
        <v>-2.1788864115745987E-13</v>
      </c>
      <c r="AE16" s="174">
        <v>1.0010914178107699</v>
      </c>
      <c r="AF16" s="173">
        <f t="shared" si="3"/>
        <v>-2.2204460492503131E-15</v>
      </c>
      <c r="AG16" s="170"/>
    </row>
    <row r="17" spans="1:33" ht="11.25" customHeight="1" x14ac:dyDescent="0.2">
      <c r="A17" s="59" t="s">
        <v>70</v>
      </c>
      <c r="B17" s="60" t="s">
        <v>45</v>
      </c>
      <c r="C17" s="61">
        <f t="shared" si="7"/>
        <v>2</v>
      </c>
      <c r="D17" s="62" t="str">
        <f t="shared" si="8"/>
        <v>Eonia</v>
      </c>
      <c r="E17" s="63" t="str">
        <f t="shared" si="6"/>
        <v>EUR8MOIS_LCHQuote</v>
      </c>
      <c r="F17" s="123"/>
      <c r="G17" s="64" t="str">
        <f>_xll.qlOISRateHelper(,C17,B17,E17,$D17,,Permanent,Trigger,ObjectOverwrite)</f>
        <v>obj_0068c#0001</v>
      </c>
      <c r="H17" s="48"/>
      <c r="I17" s="10" t="str">
        <f t="shared" si="4"/>
        <v>OIS</v>
      </c>
      <c r="J17" s="94" t="str">
        <f t="shared" si="5"/>
        <v>obj_00652#0001</v>
      </c>
      <c r="K17" s="146" t="str">
        <f>IFERROR(_xll.qlRateHelperQuoteName(J17,Trigger),"--")</f>
        <v>EUR10MOIS_LCHQuote</v>
      </c>
      <c r="L17" s="98">
        <f>IFERROR(_xll.qlRateHelperQuoteValue($J17,Trigger),"--")</f>
        <v>-1.4287499999999999E-3</v>
      </c>
      <c r="M17" s="97" t="b">
        <v>1</v>
      </c>
      <c r="N17" s="94">
        <v>50</v>
      </c>
      <c r="O17" s="94">
        <v>1</v>
      </c>
      <c r="P17" s="99">
        <f>IFERROR(_xll.qlRateHelperEarliestDate(J17,Trigger),"--")</f>
        <v>42256</v>
      </c>
      <c r="Q17" s="99">
        <f>IFERROR(_xll.qlRateHelperPillarDate(J17,Trigger),"--")</f>
        <v>42562</v>
      </c>
      <c r="S17" s="4" t="str">
        <f t="shared" si="0"/>
        <v>OIS</v>
      </c>
      <c r="T17" s="4" t="str">
        <v>obj_00652</v>
      </c>
      <c r="U17" s="4" t="str">
        <f>IFERROR(_xll.qlRateHelperQuoteName(T17,Trigger),"")</f>
        <v>EUR10MOIS_LCHQuote</v>
      </c>
      <c r="V17" s="70">
        <f>IFERROR(_xll.qlRateHelperRate(T17,Trigger),"")</f>
        <v>-1.4287499999999999E-3</v>
      </c>
      <c r="W17" s="104" t="str">
        <f>IF(ISERROR(_xll.qlSwapRateHelperSpread($T17)),IF(ISERROR(_xll.qlFuturesRateHelperConvexityAdjustment($T17)),"",_xll.qlFuturesRateHelperConvexityAdjustment($T17)),_xll.qlSwapRateHelperSpread($T17))</f>
        <v/>
      </c>
      <c r="X17" s="5">
        <f>IFERROR(_xll.qlRateHelperEarliestDate(T17,Trigger),"")</f>
        <v>42256</v>
      </c>
      <c r="Y17" s="5">
        <f>IFERROR(_xll.qlRateHelperPillarDate(T17,Trigger),"")</f>
        <v>42562</v>
      </c>
      <c r="Z17" s="70">
        <v>-1.4490157476335602E-3</v>
      </c>
      <c r="AA17" s="77">
        <v>1.0012234789370722</v>
      </c>
      <c r="AB17" s="169">
        <v>42562</v>
      </c>
      <c r="AC17" s="170">
        <v>-1.4490157476338399E-3</v>
      </c>
      <c r="AD17" s="172">
        <f t="shared" si="2"/>
        <v>2.7972416050126014E-16</v>
      </c>
      <c r="AE17" s="174">
        <v>1.00122347893707</v>
      </c>
      <c r="AF17" s="173">
        <f t="shared" si="3"/>
        <v>2.2204460492503131E-15</v>
      </c>
      <c r="AG17" s="170"/>
    </row>
    <row r="18" spans="1:33" ht="11.25" customHeight="1" x14ac:dyDescent="0.2">
      <c r="A18" s="59" t="s">
        <v>70</v>
      </c>
      <c r="B18" s="60" t="s">
        <v>46</v>
      </c>
      <c r="C18" s="61">
        <f t="shared" si="7"/>
        <v>2</v>
      </c>
      <c r="D18" s="62" t="str">
        <f t="shared" si="8"/>
        <v>Eonia</v>
      </c>
      <c r="E18" s="63" t="str">
        <f t="shared" si="6"/>
        <v>EUR9MOIS_LCHQuote</v>
      </c>
      <c r="F18" s="123"/>
      <c r="G18" s="64" t="str">
        <f>_xll.qlOISRateHelper(,C18,B18,E18,$D18,,Permanent,Trigger,ObjectOverwrite)</f>
        <v>obj_00689#0001</v>
      </c>
      <c r="H18" s="48"/>
      <c r="I18" s="10" t="str">
        <f t="shared" si="4"/>
        <v>OIS</v>
      </c>
      <c r="J18" s="94" t="str">
        <f t="shared" si="5"/>
        <v>obj_0066b#0001</v>
      </c>
      <c r="K18" s="146" t="str">
        <f>IFERROR(_xll.qlRateHelperQuoteName(J18,Trigger),"--")</f>
        <v>EUR11MOIS_LCHQuote</v>
      </c>
      <c r="L18" s="98">
        <f>IFERROR(_xll.qlRateHelperQuoteValue($J18,Trigger),"--")</f>
        <v>-1.4583332999999999E-3</v>
      </c>
      <c r="M18" s="97" t="b">
        <v>1</v>
      </c>
      <c r="N18" s="94">
        <v>50</v>
      </c>
      <c r="O18" s="94">
        <v>1</v>
      </c>
      <c r="P18" s="99">
        <f>IFERROR(_xll.qlRateHelperEarliestDate(J18,Trigger),"--")</f>
        <v>42256</v>
      </c>
      <c r="Q18" s="99">
        <f>IFERROR(_xll.qlRateHelperPillarDate(J18,Trigger),"--")</f>
        <v>42591</v>
      </c>
      <c r="S18" s="4" t="str">
        <f t="shared" si="0"/>
        <v>OIS</v>
      </c>
      <c r="T18" s="4" t="str">
        <v>obj_0066b</v>
      </c>
      <c r="U18" s="4" t="str">
        <f>IFERROR(_xll.qlRateHelperQuoteName(T18,Trigger),"")</f>
        <v>EUR11MOIS_LCHQuote</v>
      </c>
      <c r="V18" s="70">
        <f>IFERROR(_xll.qlRateHelperRate(T18,Trigger),"")</f>
        <v>-1.4583332999999999E-3</v>
      </c>
      <c r="W18" s="104" t="str">
        <f>IF(ISERROR(_xll.qlSwapRateHelperSpread($T18)),IF(ISERROR(_xll.qlFuturesRateHelperConvexityAdjustment($T18)),"",_xll.qlFuturesRateHelperConvexityAdjustment($T18)),_xll.qlSwapRateHelperSpread($T18))</f>
        <v/>
      </c>
      <c r="X18" s="5">
        <f>IFERROR(_xll.qlRateHelperEarliestDate(T18,Trigger),"")</f>
        <v>42256</v>
      </c>
      <c r="Y18" s="5">
        <f>IFERROR(_xll.qlRateHelperPillarDate(T18,Trigger),"")</f>
        <v>42591</v>
      </c>
      <c r="Z18" s="70">
        <v>-1.4789944743978411E-3</v>
      </c>
      <c r="AA18" s="77">
        <v>1.0013664701347089</v>
      </c>
      <c r="AB18" s="169">
        <v>42591</v>
      </c>
      <c r="AC18" s="170">
        <v>-1.4789945046753299E-3</v>
      </c>
      <c r="AD18" s="172">
        <f t="shared" si="2"/>
        <v>3.027748884942838E-11</v>
      </c>
      <c r="AE18" s="174">
        <v>1.0013664701627001</v>
      </c>
      <c r="AF18" s="173">
        <f t="shared" si="3"/>
        <v>-2.7991164941454372E-11</v>
      </c>
      <c r="AG18" s="170"/>
    </row>
    <row r="19" spans="1:33" ht="11.25" customHeight="1" x14ac:dyDescent="0.2">
      <c r="A19" s="59" t="s">
        <v>70</v>
      </c>
      <c r="B19" s="60" t="s">
        <v>47</v>
      </c>
      <c r="C19" s="61">
        <f t="shared" si="7"/>
        <v>2</v>
      </c>
      <c r="D19" s="62" t="str">
        <f t="shared" si="8"/>
        <v>Eonia</v>
      </c>
      <c r="E19" s="63" t="str">
        <f t="shared" si="6"/>
        <v>EUR10MOIS_LCHQuote</v>
      </c>
      <c r="F19" s="123"/>
      <c r="G19" s="64" t="str">
        <f>_xll.qlOISRateHelper(,C19,B19,E19,$D19,,Permanent,Trigger,ObjectOverwrite)</f>
        <v>obj_00652#0001</v>
      </c>
      <c r="H19" s="48"/>
      <c r="I19" s="10" t="str">
        <f t="shared" si="4"/>
        <v>OIS</v>
      </c>
      <c r="J19" s="94" t="str">
        <f t="shared" si="5"/>
        <v>obj_0065d#0001</v>
      </c>
      <c r="K19" s="146" t="str">
        <f>IFERROR(_xll.qlRateHelperQuoteName(J19,Trigger),"--")</f>
        <v>EUR1YOIS_LCHQuote</v>
      </c>
      <c r="L19" s="98">
        <f>IFERROR(_xll.qlRateHelperQuoteValue($J19,Trigger),"--")</f>
        <v>-1.4766667E-3</v>
      </c>
      <c r="M19" s="97" t="b">
        <v>1</v>
      </c>
      <c r="N19" s="94">
        <v>50</v>
      </c>
      <c r="O19" s="94">
        <v>1</v>
      </c>
      <c r="P19" s="99">
        <f>IFERROR(_xll.qlRateHelperEarliestDate(J19,Trigger),"--")</f>
        <v>42256</v>
      </c>
      <c r="Q19" s="99">
        <f>IFERROR(_xll.qlRateHelperPillarDate(J19,Trigger),"--")</f>
        <v>42622</v>
      </c>
      <c r="S19" s="4" t="str">
        <f t="shared" si="0"/>
        <v>OIS</v>
      </c>
      <c r="T19" s="4" t="str">
        <v>obj_0065d</v>
      </c>
      <c r="U19" s="4" t="str">
        <f>IFERROR(_xll.qlRateHelperQuoteName(T19,Trigger),"")</f>
        <v>EUR1YOIS_LCHQuote</v>
      </c>
      <c r="V19" s="70">
        <f>IFERROR(_xll.qlRateHelperRate(T19,Trigger),"")</f>
        <v>-1.4766667E-3</v>
      </c>
      <c r="W19" s="104" t="str">
        <f>IF(ISERROR(_xll.qlSwapRateHelperSpread($T19)),IF(ISERROR(_xll.qlFuturesRateHelperConvexityAdjustment($T19)),"",_xll.qlFuturesRateHelperConvexityAdjustment($T19)),_xll.qlSwapRateHelperSpread($T19))</f>
        <v/>
      </c>
      <c r="X19" s="5">
        <f>IFERROR(_xll.qlRateHelperEarliestDate(T19,Trigger),"")</f>
        <v>42256</v>
      </c>
      <c r="Y19" s="5">
        <f>IFERROR(_xll.qlRateHelperPillarDate(T19,Trigger),"")</f>
        <v>42622</v>
      </c>
      <c r="Z19" s="70">
        <v>-1.4976519600122839E-3</v>
      </c>
      <c r="AA19" s="77">
        <v>1.0015111019939318</v>
      </c>
      <c r="AB19" s="169">
        <v>42622</v>
      </c>
      <c r="AC19" s="170">
        <v>-1.4976519297154401E-3</v>
      </c>
      <c r="AD19" s="172">
        <f t="shared" si="2"/>
        <v>-3.0296843809771157E-11</v>
      </c>
      <c r="AE19" s="174">
        <v>1.00151110196334</v>
      </c>
      <c r="AF19" s="173">
        <f t="shared" si="3"/>
        <v>3.0591751354336338E-11</v>
      </c>
      <c r="AG19" s="170"/>
    </row>
    <row r="20" spans="1:33" ht="11.25" customHeight="1" x14ac:dyDescent="0.2">
      <c r="A20" s="59" t="s">
        <v>70</v>
      </c>
      <c r="B20" s="60" t="s">
        <v>48</v>
      </c>
      <c r="C20" s="61">
        <f t="shared" si="7"/>
        <v>2</v>
      </c>
      <c r="D20" s="62" t="str">
        <f t="shared" si="8"/>
        <v>Eonia</v>
      </c>
      <c r="E20" s="63" t="str">
        <f t="shared" si="6"/>
        <v>EUR11MOIS_LCHQuote</v>
      </c>
      <c r="F20" s="123"/>
      <c r="G20" s="64" t="str">
        <f>_xll.qlOISRateHelper(,C20,B20,E20,$D20,,Permanent,Trigger,ObjectOverwrite)</f>
        <v>obj_0066b#0001</v>
      </c>
      <c r="H20" s="48"/>
      <c r="I20" s="10" t="str">
        <f t="shared" si="4"/>
        <v>OIS</v>
      </c>
      <c r="J20" s="94" t="str">
        <f t="shared" si="5"/>
        <v>obj_0066f#0001</v>
      </c>
      <c r="K20" s="146" t="str">
        <f>IFERROR(_xll.qlRateHelperQuoteName(J20,Trigger),"--")</f>
        <v>EUR15MOIS_LCHQuote</v>
      </c>
      <c r="L20" s="98">
        <f>IFERROR(_xll.qlRateHelperQuoteValue($J20,Trigger),"--")</f>
        <v>-1.4866667E-3</v>
      </c>
      <c r="M20" s="97" t="b">
        <v>1</v>
      </c>
      <c r="N20" s="94">
        <v>50</v>
      </c>
      <c r="O20" s="94">
        <v>1</v>
      </c>
      <c r="P20" s="99">
        <f>IFERROR(_xll.qlRateHelperEarliestDate(J20,Trigger),"--")</f>
        <v>42256</v>
      </c>
      <c r="Q20" s="99">
        <f>IFERROR(_xll.qlRateHelperPillarDate(J20,Trigger),"--")</f>
        <v>42713</v>
      </c>
      <c r="S20" s="4" t="str">
        <f t="shared" si="0"/>
        <v>OIS</v>
      </c>
      <c r="T20" s="4" t="str">
        <v>obj_0066f</v>
      </c>
      <c r="U20" s="4" t="str">
        <f>IFERROR(_xll.qlRateHelperQuoteName(T20,Trigger),"")</f>
        <v>EUR15MOIS_LCHQuote</v>
      </c>
      <c r="V20" s="70">
        <f>IFERROR(_xll.qlRateHelperRate(T20,Trigger),"")</f>
        <v>-1.4866667E-3</v>
      </c>
      <c r="W20" s="104" t="str">
        <f>IF(ISERROR(_xll.qlSwapRateHelperSpread($T20)),IF(ISERROR(_xll.qlFuturesRateHelperConvexityAdjustment($T20)),"",_xll.qlFuturesRateHelperConvexityAdjustment($T20)),_xll.qlSwapRateHelperSpread($T20))</f>
        <v/>
      </c>
      <c r="X20" s="5">
        <f>IFERROR(_xll.qlRateHelperEarliestDate(T20,Trigger),"")</f>
        <v>42256</v>
      </c>
      <c r="Y20" s="5">
        <f>IFERROR(_xll.qlRateHelperPillarDate(T20,Trigger),"")</f>
        <v>42713</v>
      </c>
      <c r="Z20" s="70">
        <v>-1.5077070602654001E-3</v>
      </c>
      <c r="AA20" s="77">
        <v>1.0018977917938001</v>
      </c>
      <c r="AB20" s="169">
        <v>42713</v>
      </c>
      <c r="AC20" s="170">
        <v>-1.50770702488882E-3</v>
      </c>
      <c r="AD20" s="172">
        <f t="shared" si="2"/>
        <v>-3.5376580137524982E-11</v>
      </c>
      <c r="AE20" s="174">
        <v>1.00189779174923</v>
      </c>
      <c r="AF20" s="173">
        <f t="shared" si="3"/>
        <v>4.4570125368181834E-11</v>
      </c>
      <c r="AG20" s="170"/>
    </row>
    <row r="21" spans="1:33" ht="11.25" customHeight="1" x14ac:dyDescent="0.2">
      <c r="A21" s="59" t="s">
        <v>70</v>
      </c>
      <c r="B21" s="60" t="s">
        <v>28</v>
      </c>
      <c r="C21" s="61">
        <f t="shared" si="7"/>
        <v>2</v>
      </c>
      <c r="D21" s="62" t="str">
        <f t="shared" si="8"/>
        <v>Eonia</v>
      </c>
      <c r="E21" s="63" t="str">
        <f t="shared" si="6"/>
        <v>EUR1YOIS_LCHQuote</v>
      </c>
      <c r="F21" s="123"/>
      <c r="G21" s="64" t="str">
        <f>_xll.qlOISRateHelper(,C21,B21,E21,$D21,,Permanent,Trigger,ObjectOverwrite)</f>
        <v>obj_0065d#0001</v>
      </c>
      <c r="H21" s="48"/>
      <c r="I21" s="10" t="str">
        <f t="shared" si="4"/>
        <v>OIS</v>
      </c>
      <c r="J21" s="94" t="str">
        <f t="shared" si="5"/>
        <v>obj_0066d#0001</v>
      </c>
      <c r="K21" s="146" t="str">
        <f>IFERROR(_xll.qlRateHelperQuoteName(J21,Trigger),"--")</f>
        <v>EUR18MOIS_LCHQuote</v>
      </c>
      <c r="L21" s="98">
        <f>IFERROR(_xll.qlRateHelperQuoteValue($J21,Trigger),"--")</f>
        <v>-1.4300000000000001E-3</v>
      </c>
      <c r="M21" s="97" t="b">
        <v>1</v>
      </c>
      <c r="N21" s="94">
        <v>50</v>
      </c>
      <c r="O21" s="94">
        <v>1</v>
      </c>
      <c r="P21" s="99">
        <f>IFERROR(_xll.qlRateHelperEarliestDate(J21,Trigger),"--")</f>
        <v>42256</v>
      </c>
      <c r="Q21" s="99">
        <f>IFERROR(_xll.qlRateHelperPillarDate(J21,Trigger),"--")</f>
        <v>42803</v>
      </c>
      <c r="S21" s="4" t="str">
        <f t="shared" si="0"/>
        <v>OIS</v>
      </c>
      <c r="T21" s="4" t="str">
        <v>obj_0066d</v>
      </c>
      <c r="U21" s="4" t="str">
        <f>IFERROR(_xll.qlRateHelperQuoteName(T21,Trigger),"")</f>
        <v>EUR18MOIS_LCHQuote</v>
      </c>
      <c r="V21" s="70">
        <f>IFERROR(_xll.qlRateHelperRate(T21,Trigger),"")</f>
        <v>-1.4300000000000001E-3</v>
      </c>
      <c r="W21" s="104" t="str">
        <f>IF(ISERROR(_xll.qlSwapRateHelperSpread($T21)),IF(ISERROR(_xll.qlFuturesRateHelperConvexityAdjustment($T21)),"",_xll.qlFuturesRateHelperConvexityAdjustment($T21)),_xll.qlSwapRateHelperSpread($T21))</f>
        <v/>
      </c>
      <c r="X21" s="5">
        <f>IFERROR(_xll.qlRateHelperEarliestDate(T21,Trigger),"")</f>
        <v>42256</v>
      </c>
      <c r="Y21" s="5">
        <f>IFERROR(_xll.qlRateHelperPillarDate(T21,Trigger),"")</f>
        <v>42803</v>
      </c>
      <c r="Z21" s="70">
        <v>-1.4504624805384925E-3</v>
      </c>
      <c r="AA21" s="77">
        <v>1.0021840360653416</v>
      </c>
      <c r="AB21" s="169">
        <v>42803</v>
      </c>
      <c r="AC21" s="170">
        <v>-1.45046248053852E-3</v>
      </c>
      <c r="AD21" s="172">
        <f t="shared" si="2"/>
        <v>2.7538735181131813E-17</v>
      </c>
      <c r="AE21" s="174">
        <v>1.00218403606534</v>
      </c>
      <c r="AF21" s="173">
        <f t="shared" si="3"/>
        <v>0</v>
      </c>
      <c r="AG21" s="170"/>
    </row>
    <row r="22" spans="1:33" ht="11.25" customHeight="1" x14ac:dyDescent="0.2">
      <c r="A22" s="59" t="s">
        <v>70</v>
      </c>
      <c r="B22" s="60" t="s">
        <v>49</v>
      </c>
      <c r="C22" s="61">
        <f t="shared" ref="C22:C42" si="9">IF(B22="O/N",0,IF(B22="T/N",1,2))</f>
        <v>2</v>
      </c>
      <c r="D22" s="62" t="str">
        <f t="shared" si="8"/>
        <v>Eonia</v>
      </c>
      <c r="E22" s="63" t="str">
        <f t="shared" si="6"/>
        <v>EUR15MOIS_LCHQuote</v>
      </c>
      <c r="F22" s="123"/>
      <c r="G22" s="64" t="str">
        <f>_xll.qlOISRateHelper(,C22,B22,E22,$D22,,Permanent,Trigger,ObjectOverwrite)</f>
        <v>obj_0066f#0001</v>
      </c>
      <c r="I22" s="10" t="str">
        <f t="shared" si="4"/>
        <v>OIS</v>
      </c>
      <c r="J22" s="94" t="str">
        <f t="shared" si="5"/>
        <v>obj_00673#0001</v>
      </c>
      <c r="K22" s="146" t="str">
        <f>IFERROR(_xll.qlRateHelperQuoteName(J22,Trigger),"--")</f>
        <v>EUR21MOIS_LCHQuote</v>
      </c>
      <c r="L22" s="98">
        <f>IFERROR(_xll.qlRateHelperQuoteValue($J22,Trigger),"--")</f>
        <v>-1.415E-3</v>
      </c>
      <c r="M22" s="97" t="b">
        <v>1</v>
      </c>
      <c r="N22" s="94">
        <v>50</v>
      </c>
      <c r="O22" s="94">
        <v>1</v>
      </c>
      <c r="P22" s="99">
        <f>IFERROR(_xll.qlRateHelperEarliestDate(J22,Trigger),"--")</f>
        <v>42256</v>
      </c>
      <c r="Q22" s="99">
        <f>IFERROR(_xll.qlRateHelperPillarDate(J22,Trigger),"--")</f>
        <v>42895</v>
      </c>
      <c r="S22" s="4" t="str">
        <f t="shared" si="0"/>
        <v>OIS</v>
      </c>
      <c r="T22" s="4" t="str">
        <v>obj_00673</v>
      </c>
      <c r="U22" s="4" t="str">
        <f>IFERROR(_xll.qlRateHelperQuoteName(T22,Trigger),"")</f>
        <v>EUR21MOIS_LCHQuote</v>
      </c>
      <c r="V22" s="70">
        <f>IFERROR(_xll.qlRateHelperRate(T22,Trigger),"")</f>
        <v>-1.415E-3</v>
      </c>
      <c r="W22" s="104" t="str">
        <f>IF(ISERROR(_xll.qlSwapRateHelperSpread($T22)),IF(ISERROR(_xll.qlFuturesRateHelperConvexityAdjustment($T22)),"",_xll.qlFuturesRateHelperConvexityAdjustment($T22)),_xll.qlSwapRateHelperSpread($T22))</f>
        <v/>
      </c>
      <c r="X22" s="5">
        <f>IFERROR(_xll.qlRateHelperEarliestDate(T22,Trigger),"")</f>
        <v>42256</v>
      </c>
      <c r="Y22" s="5">
        <f>IFERROR(_xll.qlRateHelperPillarDate(T22,Trigger),"")</f>
        <v>42895</v>
      </c>
      <c r="Z22" s="70">
        <v>-1.4353993275019565E-3</v>
      </c>
      <c r="AA22" s="77">
        <v>1.0025239770557297</v>
      </c>
      <c r="AB22" s="169">
        <v>42895</v>
      </c>
      <c r="AC22" s="170">
        <v>-1.4353993275019301E-3</v>
      </c>
      <c r="AD22" s="172">
        <f t="shared" si="2"/>
        <v>-2.6454533008646308E-17</v>
      </c>
      <c r="AE22" s="174">
        <v>1.0025239770557299</v>
      </c>
      <c r="AF22" s="173">
        <f t="shared" si="3"/>
        <v>0</v>
      </c>
      <c r="AG22" s="170"/>
    </row>
    <row r="23" spans="1:33" ht="11.25" customHeight="1" x14ac:dyDescent="0.2">
      <c r="A23" s="59" t="s">
        <v>70</v>
      </c>
      <c r="B23" s="60" t="s">
        <v>50</v>
      </c>
      <c r="C23" s="61">
        <f t="shared" si="9"/>
        <v>2</v>
      </c>
      <c r="D23" s="62" t="str">
        <f t="shared" si="8"/>
        <v>Eonia</v>
      </c>
      <c r="E23" s="63" t="str">
        <f t="shared" si="6"/>
        <v>EUR18MOIS_LCHQuote</v>
      </c>
      <c r="F23" s="123"/>
      <c r="G23" s="64" t="str">
        <f>_xll.qlOISRateHelper(,C23,B23,E23,$D23,,Permanent,Trigger,ObjectOverwrite)</f>
        <v>obj_0066d#0001</v>
      </c>
      <c r="I23" s="10" t="str">
        <f t="shared" si="4"/>
        <v>OIS</v>
      </c>
      <c r="J23" s="94" t="str">
        <f t="shared" si="5"/>
        <v>obj_00675#0001</v>
      </c>
      <c r="K23" s="146" t="str">
        <f>IFERROR(_xll.qlRateHelperQuoteName(J23,Trigger),"--")</f>
        <v>EUR2YOIS_LCHQuote</v>
      </c>
      <c r="L23" s="98">
        <f>IFERROR(_xll.qlRateHelperQuoteValue($J23,Trigger),"--")</f>
        <v>-1.3062499999999999E-3</v>
      </c>
      <c r="M23" s="97" t="b">
        <v>1</v>
      </c>
      <c r="N23" s="94">
        <v>50</v>
      </c>
      <c r="O23" s="94">
        <v>1</v>
      </c>
      <c r="P23" s="99">
        <f>IFERROR(_xll.qlRateHelperEarliestDate(J23,Trigger),"--")</f>
        <v>42256</v>
      </c>
      <c r="Q23" s="99">
        <f>IFERROR(_xll.qlRateHelperPillarDate(J23,Trigger),"--")</f>
        <v>42989</v>
      </c>
      <c r="S23" s="4" t="str">
        <f t="shared" si="0"/>
        <v>OIS</v>
      </c>
      <c r="T23" s="4" t="str">
        <v>obj_00675</v>
      </c>
      <c r="U23" s="4" t="str">
        <f>IFERROR(_xll.qlRateHelperQuoteName(T23,Trigger),"")</f>
        <v>EUR2YOIS_LCHQuote</v>
      </c>
      <c r="V23" s="70">
        <f>IFERROR(_xll.qlRateHelperRate(T23,Trigger),"")</f>
        <v>-1.3062499999999999E-3</v>
      </c>
      <c r="W23" s="104" t="str">
        <f>IF(ISERROR(_xll.qlSwapRateHelperSpread($T23)),IF(ISERROR(_xll.qlFuturesRateHelperConvexityAdjustment($T23)),"",_xll.qlFuturesRateHelperConvexityAdjustment($T23)),_xll.qlSwapRateHelperSpread($T23))</f>
        <v/>
      </c>
      <c r="X23" s="5">
        <f>IFERROR(_xll.qlRateHelperEarliestDate(T23,Trigger),"")</f>
        <v>42256</v>
      </c>
      <c r="Y23" s="5">
        <f>IFERROR(_xll.qlRateHelperPillarDate(T23,Trigger),"")</f>
        <v>42989</v>
      </c>
      <c r="Z23" s="70">
        <v>-1.3255340881619566E-3</v>
      </c>
      <c r="AA23" s="77">
        <v>1.0026727917334484</v>
      </c>
      <c r="AB23" s="169">
        <v>42989</v>
      </c>
      <c r="AC23" s="170">
        <v>-1.32553408814191E-3</v>
      </c>
      <c r="AD23" s="172">
        <f t="shared" si="2"/>
        <v>-2.004668132882248E-14</v>
      </c>
      <c r="AE23" s="174">
        <v>1.0026727917334</v>
      </c>
      <c r="AF23" s="173">
        <f t="shared" si="3"/>
        <v>4.8405723873656825E-14</v>
      </c>
      <c r="AG23" s="170"/>
    </row>
    <row r="24" spans="1:33" ht="11.25" customHeight="1" x14ac:dyDescent="0.2">
      <c r="A24" s="59" t="s">
        <v>70</v>
      </c>
      <c r="B24" s="60" t="s">
        <v>51</v>
      </c>
      <c r="C24" s="61">
        <f t="shared" si="9"/>
        <v>2</v>
      </c>
      <c r="D24" s="62" t="str">
        <f t="shared" si="8"/>
        <v>Eonia</v>
      </c>
      <c r="E24" s="63" t="str">
        <f t="shared" si="6"/>
        <v>EUR21MOIS_LCHQuote</v>
      </c>
      <c r="F24" s="123"/>
      <c r="G24" s="64" t="str">
        <f>_xll.qlOISRateHelper(,C24,B24,E24,$D24,,Permanent,Trigger,ObjectOverwrite)</f>
        <v>obj_00673#0001</v>
      </c>
      <c r="I24" s="10" t="str">
        <f t="shared" si="4"/>
        <v>OIS</v>
      </c>
      <c r="J24" s="94" t="str">
        <f t="shared" si="5"/>
        <v>obj_00672#0001</v>
      </c>
      <c r="K24" s="146" t="str">
        <f>IFERROR(_xll.qlRateHelperQuoteName(J24,Trigger),"--")</f>
        <v>EUR3YOIS_LCHQuote</v>
      </c>
      <c r="L24" s="98" t="str">
        <f>IFERROR(_xll.qlRateHelperQuoteValue($J24,Trigger),"--")</f>
        <v>--</v>
      </c>
      <c r="M24" s="97" t="b">
        <v>0</v>
      </c>
      <c r="N24" s="94">
        <v>50</v>
      </c>
      <c r="O24" s="94">
        <v>1</v>
      </c>
      <c r="P24" s="99">
        <f>IFERROR(_xll.qlRateHelperEarliestDate(J24,Trigger),"--")</f>
        <v>42256</v>
      </c>
      <c r="Q24" s="99">
        <f>IFERROR(_xll.qlRateHelperPillarDate(J24,Trigger),"--")</f>
        <v>43353</v>
      </c>
      <c r="S24" s="4" t="str">
        <f t="shared" si="0"/>
        <v>BasSw</v>
      </c>
      <c r="T24" s="4" t="str">
        <v>obj_00692</v>
      </c>
      <c r="U24" s="4" t="str">
        <f>IFERROR(_xll.qlRateHelperQuoteName(T24,Trigger),"")</f>
        <v>EUR1EON3E3Y_LCHQuote</v>
      </c>
      <c r="V24" s="70">
        <f>IFERROR(_xll.qlRateHelperRate(T24,Trigger),"")</f>
        <v>-8.0670000000000004E-4</v>
      </c>
      <c r="W24" s="104" t="str">
        <f>IF(ISERROR(_xll.qlSwapRateHelperSpread($T24)),IF(ISERROR(_xll.qlFuturesRateHelperConvexityAdjustment($T24)),"",_xll.qlFuturesRateHelperConvexityAdjustment($T24)),_xll.qlSwapRateHelperSpread($T24))</f>
        <v/>
      </c>
      <c r="X24" s="5">
        <f>IFERROR(_xll.qlRateHelperEarliestDate(T24,Trigger),"")</f>
        <v>42256</v>
      </c>
      <c r="Y24" s="5">
        <f>IFERROR(_xll.qlRateHelperPillarDate(T24,Trigger),"")</f>
        <v>43353</v>
      </c>
      <c r="Z24" s="70">
        <v>-8.1972371623824359E-4</v>
      </c>
      <c r="AA24" s="77">
        <v>1.0024712028233713</v>
      </c>
      <c r="AB24" s="169">
        <v>43353</v>
      </c>
      <c r="AC24" s="170">
        <v>-8.1972371638538999E-4</v>
      </c>
      <c r="AD24" s="172">
        <f t="shared" si="2"/>
        <v>1.4714640096669118E-13</v>
      </c>
      <c r="AE24" s="174">
        <v>1.00247120282335</v>
      </c>
      <c r="AF24" s="173">
        <f t="shared" si="3"/>
        <v>2.1316282072803006E-14</v>
      </c>
      <c r="AG24" s="170"/>
    </row>
    <row r="25" spans="1:33" ht="11.25" customHeight="1" x14ac:dyDescent="0.2">
      <c r="A25" s="59" t="s">
        <v>70</v>
      </c>
      <c r="B25" s="60" t="s">
        <v>52</v>
      </c>
      <c r="C25" s="61">
        <f t="shared" si="9"/>
        <v>2</v>
      </c>
      <c r="D25" s="62" t="str">
        <f t="shared" si="8"/>
        <v>Eonia</v>
      </c>
      <c r="E25" s="63" t="str">
        <f t="shared" si="6"/>
        <v>EUR2YOIS_LCHQuote</v>
      </c>
      <c r="F25" s="123"/>
      <c r="G25" s="64" t="str">
        <f>_xll.qlOISRateHelper(,C25,B25,E25,$D25,,Permanent,Trigger,ObjectOverwrite)</f>
        <v>obj_00675#0001</v>
      </c>
      <c r="I25" s="10" t="str">
        <f t="shared" si="4"/>
        <v>OIS</v>
      </c>
      <c r="J25" s="94" t="str">
        <f t="shared" si="5"/>
        <v>obj_00667#0001</v>
      </c>
      <c r="K25" s="146" t="str">
        <f>IFERROR(_xll.qlRateHelperQuoteName(J25,Trigger),"--")</f>
        <v>EUR4YOIS_LCHQuote</v>
      </c>
      <c r="L25" s="98" t="str">
        <f>IFERROR(_xll.qlRateHelperQuoteValue($J25,Trigger),"--")</f>
        <v>--</v>
      </c>
      <c r="M25" s="97" t="b">
        <v>0</v>
      </c>
      <c r="N25" s="94">
        <v>50</v>
      </c>
      <c r="O25" s="94">
        <v>1</v>
      </c>
      <c r="P25" s="99">
        <f>IFERROR(_xll.qlRateHelperEarliestDate(J25,Trigger),"--")</f>
        <v>42256</v>
      </c>
      <c r="Q25" s="99">
        <f>IFERROR(_xll.qlRateHelperPillarDate(J25,Trigger),"--")</f>
        <v>43717</v>
      </c>
      <c r="S25" s="4" t="str">
        <f t="shared" si="0"/>
        <v>BasSw</v>
      </c>
      <c r="T25" s="4" t="str">
        <v>obj_0064b</v>
      </c>
      <c r="U25" s="4" t="str">
        <f>IFERROR(_xll.qlRateHelperQuoteName(T25,Trigger),"")</f>
        <v>EUR1EON3E4Y_LCHQuote</v>
      </c>
      <c r="V25" s="70">
        <f>IFERROR(_xll.qlRateHelperRate(T25,Trigger),"")</f>
        <v>1.0133329999999999E-4</v>
      </c>
      <c r="W25" s="104" t="str">
        <f>IF(ISERROR(_xll.qlSwapRateHelperSpread($T25)),IF(ISERROR(_xll.qlFuturesRateHelperConvexityAdjustment($T25)),"",_xll.qlFuturesRateHelperConvexityAdjustment($T25)),_xll.qlSwapRateHelperSpread($T25))</f>
        <v/>
      </c>
      <c r="X25" s="5">
        <f>IFERROR(_xll.qlRateHelperEarliestDate(T25,Trigger),"")</f>
        <v>42256</v>
      </c>
      <c r="Y25" s="5">
        <f>IFERROR(_xll.qlRateHelperPillarDate(T25,Trigger),"")</f>
        <v>43717</v>
      </c>
      <c r="Z25" s="70">
        <v>1.0089618689632656E-4</v>
      </c>
      <c r="AA25" s="77">
        <v>0.99959566773301878</v>
      </c>
      <c r="AB25" s="169">
        <v>43717</v>
      </c>
      <c r="AC25" s="170">
        <v>1.0089621732733999E-4</v>
      </c>
      <c r="AD25" s="172">
        <f t="shared" si="2"/>
        <v>-3.043101343559295E-11</v>
      </c>
      <c r="AE25" s="174">
        <v>0.99959566761109397</v>
      </c>
      <c r="AF25" s="173">
        <f t="shared" si="3"/>
        <v>1.2192480358663715E-10</v>
      </c>
      <c r="AG25" s="170"/>
    </row>
    <row r="26" spans="1:33" ht="11.25" customHeight="1" x14ac:dyDescent="0.2">
      <c r="A26" s="59" t="s">
        <v>70</v>
      </c>
      <c r="B26" s="60" t="s">
        <v>53</v>
      </c>
      <c r="C26" s="61">
        <f t="shared" si="9"/>
        <v>2</v>
      </c>
      <c r="D26" s="62" t="str">
        <f t="shared" si="8"/>
        <v>Eonia</v>
      </c>
      <c r="E26" s="63" t="str">
        <f t="shared" si="6"/>
        <v>EUR3YOIS_LCHQuote</v>
      </c>
      <c r="F26" s="123"/>
      <c r="G26" s="64" t="str">
        <f>_xll.qlOISRateHelper(,C26,B26,E26,$D26,,Permanent,Trigger,ObjectOverwrite)</f>
        <v>obj_00672#0001</v>
      </c>
      <c r="I26" s="10" t="str">
        <f t="shared" si="4"/>
        <v>OIS</v>
      </c>
      <c r="J26" s="94" t="str">
        <f t="shared" si="5"/>
        <v>obj_0067a#0001</v>
      </c>
      <c r="K26" s="146" t="str">
        <f>IFERROR(_xll.qlRateHelperQuoteName(J26,Trigger),"--")</f>
        <v>EUR5YOIS_LCHQuote</v>
      </c>
      <c r="L26" s="98" t="str">
        <f>IFERROR(_xll.qlRateHelperQuoteValue($J26,Trigger),"--")</f>
        <v>--</v>
      </c>
      <c r="M26" s="97" t="b">
        <v>0</v>
      </c>
      <c r="N26" s="94">
        <v>50</v>
      </c>
      <c r="O26" s="94">
        <v>1</v>
      </c>
      <c r="P26" s="99">
        <f>IFERROR(_xll.qlRateHelperEarliestDate(J26,Trigger),"--")</f>
        <v>42256</v>
      </c>
      <c r="Q26" s="99">
        <f>IFERROR(_xll.qlRateHelperPillarDate(J26,Trigger),"--")</f>
        <v>44083</v>
      </c>
      <c r="S26" s="4" t="str">
        <f t="shared" si="0"/>
        <v>BasSw</v>
      </c>
      <c r="T26" s="4" t="str">
        <v>obj_0064c</v>
      </c>
      <c r="U26" s="4" t="str">
        <f>IFERROR(_xll.qlRateHelperQuoteName(T26,Trigger),"")</f>
        <v>EUR1EON3E5Y_LCHQuote</v>
      </c>
      <c r="V26" s="70">
        <f>IFERROR(_xll.qlRateHelperRate(T26,Trigger),"")</f>
        <v>1.2237000000000001E-3</v>
      </c>
      <c r="W26" s="104" t="str">
        <f>IF(ISERROR(_xll.qlSwapRateHelperSpread($T26)),IF(ISERROR(_xll.qlFuturesRateHelperConvexityAdjustment($T26)),"",_xll.qlFuturesRateHelperConvexityAdjustment($T26)),_xll.qlSwapRateHelperSpread($T26))</f>
        <v/>
      </c>
      <c r="X26" s="5">
        <f>IFERROR(_xll.qlRateHelperEarliestDate(T26,Trigger),"")</f>
        <v>42256</v>
      </c>
      <c r="Y26" s="5">
        <f>IFERROR(_xll.qlRateHelperPillarDate(T26,Trigger),"")</f>
        <v>44083</v>
      </c>
      <c r="Z26" s="70">
        <v>1.2416972272662695E-3</v>
      </c>
      <c r="AA26" s="77">
        <v>0.99379722336318943</v>
      </c>
      <c r="AB26" s="169">
        <v>44083</v>
      </c>
      <c r="AC26" s="170">
        <v>1.2416972272284699E-3</v>
      </c>
      <c r="AD26" s="172">
        <f t="shared" si="2"/>
        <v>3.7799624541534627E-14</v>
      </c>
      <c r="AE26" s="174">
        <v>0.99379722336337795</v>
      </c>
      <c r="AF26" s="173">
        <f t="shared" si="3"/>
        <v>-1.8851586958135158E-13</v>
      </c>
      <c r="AG26" s="170"/>
    </row>
    <row r="27" spans="1:33" ht="11.25" customHeight="1" x14ac:dyDescent="0.2">
      <c r="A27" s="59" t="s">
        <v>70</v>
      </c>
      <c r="B27" s="60" t="s">
        <v>54</v>
      </c>
      <c r="C27" s="61">
        <f t="shared" si="9"/>
        <v>2</v>
      </c>
      <c r="D27" s="62" t="str">
        <f t="shared" si="8"/>
        <v>Eonia</v>
      </c>
      <c r="E27" s="63" t="str">
        <f t="shared" si="6"/>
        <v>EUR4YOIS_LCHQuote</v>
      </c>
      <c r="F27" s="123"/>
      <c r="G27" s="64" t="str">
        <f>_xll.qlOISRateHelper(,C27,B27,E27,$D27,,Permanent,Trigger,ObjectOverwrite)</f>
        <v>obj_00667#0001</v>
      </c>
      <c r="I27" s="10" t="str">
        <f t="shared" si="4"/>
        <v>OIS</v>
      </c>
      <c r="J27" s="94" t="str">
        <f t="shared" si="5"/>
        <v>obj_0064a#0001</v>
      </c>
      <c r="K27" s="146" t="str">
        <f>IFERROR(_xll.qlRateHelperQuoteName(J27,Trigger),"--")</f>
        <v>EUR6YOIS_LCHQuote</v>
      </c>
      <c r="L27" s="98" t="str">
        <f>IFERROR(_xll.qlRateHelperQuoteValue($J27,Trigger),"--")</f>
        <v>--</v>
      </c>
      <c r="M27" s="97" t="b">
        <v>0</v>
      </c>
      <c r="N27" s="94">
        <v>50</v>
      </c>
      <c r="O27" s="94">
        <v>1</v>
      </c>
      <c r="P27" s="99">
        <f>IFERROR(_xll.qlRateHelperEarliestDate(J27,Trigger),"--")</f>
        <v>42256</v>
      </c>
      <c r="Q27" s="99">
        <f>IFERROR(_xll.qlRateHelperPillarDate(J27,Trigger),"--")</f>
        <v>44448</v>
      </c>
      <c r="S27" s="4" t="str">
        <f t="shared" si="0"/>
        <v>BasSw</v>
      </c>
      <c r="T27" s="4" t="str">
        <v>obj_00658</v>
      </c>
      <c r="U27" s="4" t="str">
        <f>IFERROR(_xll.qlRateHelperQuoteName(T27,Trigger),"")</f>
        <v>EUR1EON3E6Y_LCHQuote</v>
      </c>
      <c r="V27" s="70">
        <f>IFERROR(_xll.qlRateHelperRate(T27,Trigger),"")</f>
        <v>2.5276500000000002E-3</v>
      </c>
      <c r="W27" s="104" t="str">
        <f>IF(ISERROR(_xll.qlSwapRateHelperSpread($T27)),IF(ISERROR(_xll.qlFuturesRateHelperConvexityAdjustment($T27)),"",_xll.qlFuturesRateHelperConvexityAdjustment($T27)),_xll.qlSwapRateHelperSpread($T27))</f>
        <v/>
      </c>
      <c r="X27" s="5">
        <f>IFERROR(_xll.qlRateHelperEarliestDate(T27,Trigger),"")</f>
        <v>42256</v>
      </c>
      <c r="Y27" s="5">
        <f>IFERROR(_xll.qlRateHelperPillarDate(T27,Trigger),"")</f>
        <v>44448</v>
      </c>
      <c r="Z27" s="70">
        <v>2.5724264221911913E-3</v>
      </c>
      <c r="AA27" s="77">
        <v>0.9846561849962856</v>
      </c>
      <c r="AB27" s="169">
        <v>44448</v>
      </c>
      <c r="AC27" s="170">
        <v>2.57242642212582E-3</v>
      </c>
      <c r="AD27" s="172">
        <f t="shared" si="2"/>
        <v>6.5371319468709999E-14</v>
      </c>
      <c r="AE27" s="174">
        <v>0.98465618499667396</v>
      </c>
      <c r="AF27" s="173">
        <f t="shared" si="3"/>
        <v>-3.8835601401387976E-13</v>
      </c>
      <c r="AG27" s="170"/>
    </row>
    <row r="28" spans="1:33" ht="11.25" customHeight="1" x14ac:dyDescent="0.2">
      <c r="A28" s="59" t="s">
        <v>70</v>
      </c>
      <c r="B28" s="60" t="s">
        <v>55</v>
      </c>
      <c r="C28" s="61">
        <f t="shared" si="9"/>
        <v>2</v>
      </c>
      <c r="D28" s="62" t="str">
        <f t="shared" si="8"/>
        <v>Eonia</v>
      </c>
      <c r="E28" s="63" t="str">
        <f t="shared" si="6"/>
        <v>EUR5YOIS_LCHQuote</v>
      </c>
      <c r="F28" s="123"/>
      <c r="G28" s="64" t="str">
        <f>_xll.qlOISRateHelper(,C28,B28,E28,$D28,,Permanent,Trigger,ObjectOverwrite)</f>
        <v>obj_0067a#0001</v>
      </c>
      <c r="I28" s="10" t="str">
        <f t="shared" si="4"/>
        <v>OIS</v>
      </c>
      <c r="J28" s="94" t="str">
        <f t="shared" si="5"/>
        <v>obj_0065c#0001</v>
      </c>
      <c r="K28" s="146" t="str">
        <f>IFERROR(_xll.qlRateHelperQuoteName(J28,Trigger),"--")</f>
        <v>EUR7YOIS_LCHQuote</v>
      </c>
      <c r="L28" s="98" t="str">
        <f>IFERROR(_xll.qlRateHelperQuoteValue($J28,Trigger),"--")</f>
        <v>--</v>
      </c>
      <c r="M28" s="97" t="b">
        <v>0</v>
      </c>
      <c r="N28" s="94">
        <v>50</v>
      </c>
      <c r="O28" s="94">
        <v>1</v>
      </c>
      <c r="P28" s="99">
        <f>IFERROR(_xll.qlRateHelperEarliestDate(J28,Trigger),"--")</f>
        <v>42256</v>
      </c>
      <c r="Q28" s="99">
        <f>IFERROR(_xll.qlRateHelperPillarDate(J28,Trigger),"--")</f>
        <v>44813</v>
      </c>
      <c r="S28" s="4" t="str">
        <f t="shared" si="0"/>
        <v>BasSw</v>
      </c>
      <c r="T28" s="4" t="str">
        <v>obj_00661</v>
      </c>
      <c r="U28" s="4" t="str">
        <f>IFERROR(_xll.qlRateHelperQuoteName(T28,Trigger),"")</f>
        <v>EUR1EON3E7Y_LCHQuote</v>
      </c>
      <c r="V28" s="70">
        <f>IFERROR(_xll.qlRateHelperRate(T28,Trigger),"")</f>
        <v>3.90245E-3</v>
      </c>
      <c r="W28" s="104" t="str">
        <f>IF(ISERROR(_xll.qlSwapRateHelperSpread($T28)),IF(ISERROR(_xll.qlFuturesRateHelperConvexityAdjustment($T28)),"",_xll.qlFuturesRateHelperConvexityAdjustment($T28)),_xll.qlSwapRateHelperSpread($T28))</f>
        <v/>
      </c>
      <c r="X28" s="5">
        <f>IFERROR(_xll.qlRateHelperEarliestDate(T28,Trigger),"")</f>
        <v>42256</v>
      </c>
      <c r="Y28" s="5">
        <f>IFERROR(_xll.qlRateHelperPillarDate(T28,Trigger),"")</f>
        <v>44813</v>
      </c>
      <c r="Z28" s="70">
        <v>3.9834125721902288E-3</v>
      </c>
      <c r="AA28" s="77">
        <v>0.97245882682408891</v>
      </c>
      <c r="AB28" s="169">
        <v>44813</v>
      </c>
      <c r="AC28" s="170">
        <v>3.9834125721027102E-3</v>
      </c>
      <c r="AD28" s="172">
        <f t="shared" si="2"/>
        <v>8.7518534086505895E-14</v>
      </c>
      <c r="AE28" s="174">
        <v>0.97245882682468698</v>
      </c>
      <c r="AF28" s="173">
        <f t="shared" si="3"/>
        <v>-5.9807714336557183E-13</v>
      </c>
      <c r="AG28" s="170"/>
    </row>
    <row r="29" spans="1:33" ht="11.25" customHeight="1" x14ac:dyDescent="0.2">
      <c r="A29" s="59" t="s">
        <v>70</v>
      </c>
      <c r="B29" s="60" t="s">
        <v>56</v>
      </c>
      <c r="C29" s="61">
        <f t="shared" si="9"/>
        <v>2</v>
      </c>
      <c r="D29" s="62" t="str">
        <f t="shared" si="8"/>
        <v>Eonia</v>
      </c>
      <c r="E29" s="63" t="str">
        <f t="shared" si="6"/>
        <v>EUR6YOIS_LCHQuote</v>
      </c>
      <c r="F29" s="123"/>
      <c r="G29" s="64" t="str">
        <f>_xll.qlOISRateHelper(,C29,B29,E29,$D29,,Permanent,Trigger,ObjectOverwrite)</f>
        <v>obj_0064a#0001</v>
      </c>
      <c r="I29" s="10" t="str">
        <f t="shared" si="4"/>
        <v>OIS</v>
      </c>
      <c r="J29" s="94" t="str">
        <f t="shared" si="5"/>
        <v>obj_00683#0001</v>
      </c>
      <c r="K29" s="146" t="str">
        <f>IFERROR(_xll.qlRateHelperQuoteName(J29,Trigger),"--")</f>
        <v>EUR8YOIS_LCHQuote</v>
      </c>
      <c r="L29" s="98" t="str">
        <f>IFERROR(_xll.qlRateHelperQuoteValue($J29,Trigger),"--")</f>
        <v>--</v>
      </c>
      <c r="M29" s="97" t="b">
        <v>0</v>
      </c>
      <c r="N29" s="94">
        <v>50</v>
      </c>
      <c r="O29" s="94">
        <v>1</v>
      </c>
      <c r="P29" s="99">
        <f>IFERROR(_xll.qlRateHelperEarliestDate(J29,Trigger),"--")</f>
        <v>42256</v>
      </c>
      <c r="Q29" s="99">
        <f>IFERROR(_xll.qlRateHelperPillarDate(J29,Trigger),"--")</f>
        <v>45180</v>
      </c>
      <c r="S29" s="4" t="str">
        <f t="shared" si="0"/>
        <v>BasSw</v>
      </c>
      <c r="T29" s="4" t="str">
        <v>obj_00676</v>
      </c>
      <c r="U29" s="4" t="str">
        <f>IFERROR(_xll.qlRateHelperQuoteName(T29,Trigger),"")</f>
        <v>EUR1EON3E8Y_LCHQuote</v>
      </c>
      <c r="V29" s="70">
        <f>IFERROR(_xll.qlRateHelperRate(T29,Trigger),"")</f>
        <v>5.2477499999999998E-3</v>
      </c>
      <c r="W29" s="104" t="str">
        <f>IF(ISERROR(_xll.qlSwapRateHelperSpread($T29)),IF(ISERROR(_xll.qlFuturesRateHelperConvexityAdjustment($T29)),"",_xll.qlFuturesRateHelperConvexityAdjustment($T29)),_xll.qlSwapRateHelperSpread($T29))</f>
        <v/>
      </c>
      <c r="X29" s="5">
        <f>IFERROR(_xll.qlRateHelperEarliestDate(T29,Trigger),"")</f>
        <v>42256</v>
      </c>
      <c r="Y29" s="5">
        <f>IFERROR(_xll.qlRateHelperPillarDate(T29,Trigger),"")</f>
        <v>45180</v>
      </c>
      <c r="Z29" s="70">
        <v>5.3735794199748542E-3</v>
      </c>
      <c r="AA29" s="77">
        <v>0.95783766421553151</v>
      </c>
      <c r="AB29" s="169">
        <v>45180</v>
      </c>
      <c r="AC29" s="170">
        <v>5.3735794198708099E-3</v>
      </c>
      <c r="AD29" s="172">
        <f t="shared" si="2"/>
        <v>1.0404437728039895E-13</v>
      </c>
      <c r="AE29" s="174">
        <v>0.95783766421633199</v>
      </c>
      <c r="AF29" s="173">
        <f t="shared" si="3"/>
        <v>-8.0047080075473787E-13</v>
      </c>
      <c r="AG29" s="170"/>
    </row>
    <row r="30" spans="1:33" ht="11.25" customHeight="1" x14ac:dyDescent="0.2">
      <c r="A30" s="59" t="s">
        <v>70</v>
      </c>
      <c r="B30" s="60" t="s">
        <v>57</v>
      </c>
      <c r="C30" s="61">
        <f t="shared" si="9"/>
        <v>2</v>
      </c>
      <c r="D30" s="62" t="str">
        <f t="shared" si="8"/>
        <v>Eonia</v>
      </c>
      <c r="E30" s="63" t="str">
        <f t="shared" si="6"/>
        <v>EUR7YOIS_LCHQuote</v>
      </c>
      <c r="F30" s="123"/>
      <c r="G30" s="64" t="str">
        <f>_xll.qlOISRateHelper(,C30,B30,E30,$D30,,Permanent,Trigger,ObjectOverwrite)</f>
        <v>obj_0065c#0001</v>
      </c>
      <c r="I30" s="10" t="str">
        <f t="shared" si="4"/>
        <v>OIS</v>
      </c>
      <c r="J30" s="94" t="str">
        <f t="shared" si="5"/>
        <v>obj_00657#0001</v>
      </c>
      <c r="K30" s="146" t="str">
        <f>IFERROR(_xll.qlRateHelperQuoteName(J30,Trigger),"--")</f>
        <v>EUR9YOIS_LCHQuote</v>
      </c>
      <c r="L30" s="98" t="str">
        <f>IFERROR(_xll.qlRateHelperQuoteValue($J30,Trigger),"--")</f>
        <v>--</v>
      </c>
      <c r="M30" s="97" t="b">
        <v>0</v>
      </c>
      <c r="N30" s="94">
        <v>50</v>
      </c>
      <c r="O30" s="94">
        <v>1</v>
      </c>
      <c r="P30" s="99">
        <f>IFERROR(_xll.qlRateHelperEarliestDate(J30,Trigger),"--")</f>
        <v>42256</v>
      </c>
      <c r="Q30" s="99">
        <f>IFERROR(_xll.qlRateHelperPillarDate(J30,Trigger),"--")</f>
        <v>45544</v>
      </c>
      <c r="S30" s="4" t="str">
        <f t="shared" si="0"/>
        <v>BasSw</v>
      </c>
      <c r="T30" s="4" t="str">
        <v>obj_00687</v>
      </c>
      <c r="U30" s="4" t="str">
        <f>IFERROR(_xll.qlRateHelperQuoteName(T30,Trigger),"")</f>
        <v>EUR1EON3E9Y_LCHQuote</v>
      </c>
      <c r="V30" s="70">
        <f>IFERROR(_xll.qlRateHelperRate(T30,Trigger),"")</f>
        <v>6.4872999999999997E-3</v>
      </c>
      <c r="W30" s="104" t="str">
        <f>IF(ISERROR(_xll.qlSwapRateHelperSpread($T30)),IF(ISERROR(_xll.qlFuturesRateHelperConvexityAdjustment($T30)),"",_xll.qlFuturesRateHelperConvexityAdjustment($T30)),_xll.qlSwapRateHelperSpread($T30))</f>
        <v/>
      </c>
      <c r="X30" s="5">
        <f>IFERROR(_xll.qlRateHelperEarliestDate(T30,Trigger),"")</f>
        <v>42256</v>
      </c>
      <c r="Y30" s="5">
        <f>IFERROR(_xll.qlRateHelperPillarDate(T30,Trigger),"")</f>
        <v>45544</v>
      </c>
      <c r="Z30" s="70">
        <v>6.6641475059471501E-3</v>
      </c>
      <c r="AA30" s="77">
        <v>0.94169991451327018</v>
      </c>
      <c r="AB30" s="169">
        <v>45544</v>
      </c>
      <c r="AC30" s="170">
        <v>6.66414750581953E-3</v>
      </c>
      <c r="AD30" s="172">
        <f t="shared" si="2"/>
        <v>1.2762013668066174E-13</v>
      </c>
      <c r="AE30" s="174">
        <v>0.94169991451425095</v>
      </c>
      <c r="AF30" s="173">
        <f t="shared" si="3"/>
        <v>-9.8077101995386329E-13</v>
      </c>
      <c r="AG30" s="170"/>
    </row>
    <row r="31" spans="1:33" ht="11.25" customHeight="1" x14ac:dyDescent="0.2">
      <c r="A31" s="59" t="s">
        <v>70</v>
      </c>
      <c r="B31" s="60" t="s">
        <v>58</v>
      </c>
      <c r="C31" s="61">
        <f t="shared" si="9"/>
        <v>2</v>
      </c>
      <c r="D31" s="62" t="str">
        <f t="shared" si="8"/>
        <v>Eonia</v>
      </c>
      <c r="E31" s="63" t="str">
        <f t="shared" si="6"/>
        <v>EUR8YOIS_LCHQuote</v>
      </c>
      <c r="F31" s="123"/>
      <c r="G31" s="64" t="str">
        <f>_xll.qlOISRateHelper(,C31,B31,E31,$D31,,Permanent,Trigger,ObjectOverwrite)</f>
        <v>obj_00683#0001</v>
      </c>
      <c r="I31" s="10" t="str">
        <f t="shared" si="4"/>
        <v>OIS</v>
      </c>
      <c r="J31" s="94" t="str">
        <f t="shared" si="5"/>
        <v>obj_00669#0001</v>
      </c>
      <c r="K31" s="146" t="str">
        <f>IFERROR(_xll.qlRateHelperQuoteName(J31,Trigger),"--")</f>
        <v>EUR10YOIS_LCHQuote</v>
      </c>
      <c r="L31" s="98" t="str">
        <f>IFERROR(_xll.qlRateHelperQuoteValue($J31,Trigger),"--")</f>
        <v>--</v>
      </c>
      <c r="M31" s="97" t="b">
        <v>0</v>
      </c>
      <c r="N31" s="94">
        <v>50</v>
      </c>
      <c r="O31" s="94">
        <v>1</v>
      </c>
      <c r="P31" s="99">
        <f>IFERROR(_xll.qlRateHelperEarliestDate(J31,Trigger),"--")</f>
        <v>42256</v>
      </c>
      <c r="Q31" s="99">
        <f>IFERROR(_xll.qlRateHelperPillarDate(J31,Trigger),"--")</f>
        <v>45909</v>
      </c>
      <c r="S31" s="4" t="str">
        <f t="shared" si="0"/>
        <v>BasSw</v>
      </c>
      <c r="T31" s="4" t="str">
        <v>obj_0066a</v>
      </c>
      <c r="U31" s="4" t="str">
        <f>IFERROR(_xll.qlRateHelperQuoteName(T31,Trigger),"")</f>
        <v>EUR1EON3E10Y_LCHQuote</v>
      </c>
      <c r="V31" s="70">
        <f>IFERROR(_xll.qlRateHelperRate(T31,Trigger),"")</f>
        <v>7.6016E-3</v>
      </c>
      <c r="W31" s="104" t="str">
        <f>IF(ISERROR(_xll.qlSwapRateHelperSpread($T31)),IF(ISERROR(_xll.qlFuturesRateHelperConvexityAdjustment($T31)),"",_xll.qlFuturesRateHelperConvexityAdjustment($T31)),_xll.qlSwapRateHelperSpread($T31))</f>
        <v/>
      </c>
      <c r="X31" s="5">
        <f>IFERROR(_xll.qlRateHelperEarliestDate(T31,Trigger),"")</f>
        <v>42256</v>
      </c>
      <c r="Y31" s="5">
        <f>IFERROR(_xll.qlRateHelperPillarDate(T31,Trigger),"")</f>
        <v>45909</v>
      </c>
      <c r="Z31" s="70">
        <v>7.8331235682888595E-3</v>
      </c>
      <c r="AA31" s="77">
        <v>0.92455888273480358</v>
      </c>
      <c r="AB31" s="169">
        <v>45909</v>
      </c>
      <c r="AC31" s="170">
        <v>7.8331235680956998E-3</v>
      </c>
      <c r="AD31" s="172">
        <f t="shared" si="2"/>
        <v>1.9315972432654149E-13</v>
      </c>
      <c r="AE31" s="174">
        <v>0.924558882735945</v>
      </c>
      <c r="AF31" s="173">
        <f t="shared" si="3"/>
        <v>-1.1414202916171234E-12</v>
      </c>
      <c r="AG31" s="170"/>
    </row>
    <row r="32" spans="1:33" ht="11.25" customHeight="1" x14ac:dyDescent="0.2">
      <c r="A32" s="59" t="s">
        <v>70</v>
      </c>
      <c r="B32" s="60" t="s">
        <v>59</v>
      </c>
      <c r="C32" s="61">
        <f t="shared" si="9"/>
        <v>2</v>
      </c>
      <c r="D32" s="62" t="str">
        <f t="shared" si="8"/>
        <v>Eonia</v>
      </c>
      <c r="E32" s="63" t="str">
        <f t="shared" si="6"/>
        <v>EUR9YOIS_LCHQuote</v>
      </c>
      <c r="F32" s="123"/>
      <c r="G32" s="64" t="str">
        <f>_xll.qlOISRateHelper(,C32,B32,E32,$D32,,Permanent,Trigger,ObjectOverwrite)</f>
        <v>obj_00657#0001</v>
      </c>
      <c r="I32" s="10" t="str">
        <f t="shared" si="4"/>
        <v>OIS</v>
      </c>
      <c r="J32" s="94" t="str">
        <f t="shared" si="5"/>
        <v>obj_00668#0001</v>
      </c>
      <c r="K32" s="146" t="str">
        <f>IFERROR(_xll.qlRateHelperQuoteName(J32,Trigger),"--")</f>
        <v>EUR11YOIS_LCHQuote</v>
      </c>
      <c r="L32" s="98" t="str">
        <f>IFERROR(_xll.qlRateHelperQuoteValue($J32,Trigger),"--")</f>
        <v>--</v>
      </c>
      <c r="M32" s="97" t="b">
        <v>0</v>
      </c>
      <c r="N32" s="94">
        <v>50</v>
      </c>
      <c r="O32" s="94">
        <v>1</v>
      </c>
      <c r="P32" s="99">
        <f>IFERROR(_xll.qlRateHelperEarliestDate(J32,Trigger),"--")</f>
        <v>42256</v>
      </c>
      <c r="Q32" s="99">
        <f>IFERROR(_xll.qlRateHelperPillarDate(J32,Trigger),"--")</f>
        <v>46274</v>
      </c>
      <c r="S32" s="4" t="str">
        <f t="shared" si="0"/>
        <v>BasSw</v>
      </c>
      <c r="T32" s="4" t="str">
        <v>obj_00671</v>
      </c>
      <c r="U32" s="4" t="str">
        <f>IFERROR(_xll.qlRateHelperQuoteName(T32,Trigger),"")</f>
        <v>EUR1EON3E12Y_LCHQuote</v>
      </c>
      <c r="V32" s="70">
        <f>IFERROR(_xll.qlRateHelperRate(T32,Trigger),"")</f>
        <v>9.5183000000000004E-3</v>
      </c>
      <c r="W32" s="104" t="str">
        <f>IF(ISERROR(_xll.qlSwapRateHelperSpread($T32)),IF(ISERROR(_xll.qlFuturesRateHelperConvexityAdjustment($T32)),"",_xll.qlFuturesRateHelperConvexityAdjustment($T32)),_xll.qlSwapRateHelperSpread($T32))</f>
        <v/>
      </c>
      <c r="X32" s="5">
        <f>IFERROR(_xll.qlRateHelperEarliestDate(T32,Trigger),"")</f>
        <v>42256</v>
      </c>
      <c r="Y32" s="5">
        <f>IFERROR(_xll.qlRateHelperPillarDate(T32,Trigger),"")</f>
        <v>46639</v>
      </c>
      <c r="Z32" s="70">
        <v>9.8677457495077777E-3</v>
      </c>
      <c r="AA32" s="77">
        <v>0.88821445196622406</v>
      </c>
      <c r="AB32" s="169">
        <v>46639</v>
      </c>
      <c r="AC32" s="170">
        <v>9.8677457493775902E-3</v>
      </c>
      <c r="AD32" s="172">
        <f t="shared" si="2"/>
        <v>1.3018752742510742E-13</v>
      </c>
      <c r="AE32" s="174">
        <v>0.88821445196868898</v>
      </c>
      <c r="AF32" s="173">
        <f t="shared" si="3"/>
        <v>-2.4649171592727726E-12</v>
      </c>
      <c r="AG32" s="170"/>
    </row>
    <row r="33" spans="1:33" ht="11.25" customHeight="1" x14ac:dyDescent="0.2">
      <c r="A33" s="59" t="s">
        <v>70</v>
      </c>
      <c r="B33" s="60" t="s">
        <v>60</v>
      </c>
      <c r="C33" s="61">
        <f t="shared" si="9"/>
        <v>2</v>
      </c>
      <c r="D33" s="62" t="str">
        <f t="shared" si="8"/>
        <v>Eonia</v>
      </c>
      <c r="E33" s="63" t="str">
        <f t="shared" si="6"/>
        <v>EUR10YOIS_LCHQuote</v>
      </c>
      <c r="F33" s="123"/>
      <c r="G33" s="64" t="str">
        <f>_xll.qlOISRateHelper(,C33,B33,E33,$D33,,Permanent,Trigger,ObjectOverwrite)</f>
        <v>obj_00669#0001</v>
      </c>
      <c r="I33" s="10" t="str">
        <f t="shared" si="4"/>
        <v>OIS</v>
      </c>
      <c r="J33" s="94" t="str">
        <f t="shared" si="5"/>
        <v>obj_00663#0001</v>
      </c>
      <c r="K33" s="146" t="str">
        <f>IFERROR(_xll.qlRateHelperQuoteName(J33,Trigger),"--")</f>
        <v>EUR12YOIS_LCHQuote</v>
      </c>
      <c r="L33" s="98" t="str">
        <f>IFERROR(_xll.qlRateHelperQuoteValue($J33,Trigger),"--")</f>
        <v>--</v>
      </c>
      <c r="M33" s="97" t="b">
        <v>0</v>
      </c>
      <c r="N33" s="94">
        <v>50</v>
      </c>
      <c r="O33" s="94">
        <v>1</v>
      </c>
      <c r="P33" s="99">
        <f>IFERROR(_xll.qlRateHelperEarliestDate(J33,Trigger),"--")</f>
        <v>42256</v>
      </c>
      <c r="Q33" s="99">
        <f>IFERROR(_xll.qlRateHelperPillarDate(J33,Trigger),"--")</f>
        <v>46639</v>
      </c>
      <c r="S33" s="4" t="str">
        <f t="shared" si="0"/>
        <v>BasSw</v>
      </c>
      <c r="T33" s="4" t="str">
        <v>obj_00674</v>
      </c>
      <c r="U33" s="4" t="str">
        <f>IFERROR(_xll.qlRateHelperQuoteName(T33,Trigger),"")</f>
        <v>EUR1EON3E15Y_LCHQuote</v>
      </c>
      <c r="V33" s="70">
        <f>IFERROR(_xll.qlRateHelperRate(T33,Trigger),"")</f>
        <v>1.1520799999999999E-2</v>
      </c>
      <c r="W33" s="104" t="str">
        <f>IF(ISERROR(_xll.qlSwapRateHelperSpread($T33)),IF(ISERROR(_xll.qlFuturesRateHelperConvexityAdjustment($T33)),"",_xll.qlFuturesRateHelperConvexityAdjustment($T33)),_xll.qlSwapRateHelperSpread($T33))</f>
        <v/>
      </c>
      <c r="X33" s="5">
        <f>IFERROR(_xll.qlRateHelperEarliestDate(T33,Trigger),"")</f>
        <v>42256</v>
      </c>
      <c r="Y33" s="5">
        <f>IFERROR(_xll.qlRateHelperPillarDate(T33,Trigger),"")</f>
        <v>47735</v>
      </c>
      <c r="Z33" s="70">
        <v>1.2027215901009091E-2</v>
      </c>
      <c r="AA33" s="77">
        <v>0.83479940742577718</v>
      </c>
      <c r="AB33" s="169">
        <v>47735</v>
      </c>
      <c r="AC33" s="170">
        <v>1.2027215900878701E-2</v>
      </c>
      <c r="AD33" s="172">
        <f t="shared" si="2"/>
        <v>1.3039049007179671E-13</v>
      </c>
      <c r="AE33" s="174">
        <v>0.83479940742633996</v>
      </c>
      <c r="AF33" s="173">
        <f t="shared" si="3"/>
        <v>-5.6277205118249185E-13</v>
      </c>
      <c r="AG33" s="170"/>
    </row>
    <row r="34" spans="1:33" ht="11.25" customHeight="1" x14ac:dyDescent="0.2">
      <c r="A34" s="59" t="s">
        <v>70</v>
      </c>
      <c r="B34" s="60" t="s">
        <v>98</v>
      </c>
      <c r="C34" s="61">
        <f t="shared" si="9"/>
        <v>2</v>
      </c>
      <c r="D34" s="62" t="str">
        <f t="shared" si="8"/>
        <v>Eonia</v>
      </c>
      <c r="E34" s="63" t="str">
        <f t="shared" si="6"/>
        <v>EUR11YOIS_LCHQuote</v>
      </c>
      <c r="F34" s="123"/>
      <c r="G34" s="64" t="str">
        <f>_xll.qlOISRateHelper(,C34,B34,E34,$D34,,Permanent,Trigger,ObjectOverwrite)</f>
        <v>obj_00668#0001</v>
      </c>
      <c r="I34" s="10" t="str">
        <f t="shared" si="4"/>
        <v>OIS</v>
      </c>
      <c r="J34" s="94" t="str">
        <f t="shared" si="5"/>
        <v>obj_0067b#0001</v>
      </c>
      <c r="K34" s="146" t="str">
        <f>IFERROR(_xll.qlRateHelperQuoteName(J34,Trigger),"--")</f>
        <v>EUR15YOIS_LCHQuote</v>
      </c>
      <c r="L34" s="98" t="str">
        <f>IFERROR(_xll.qlRateHelperQuoteValue($J34,Trigger),"--")</f>
        <v>--</v>
      </c>
      <c r="M34" s="97" t="b">
        <v>0</v>
      </c>
      <c r="N34" s="94">
        <v>50</v>
      </c>
      <c r="O34" s="94">
        <v>1</v>
      </c>
      <c r="P34" s="99">
        <f>IFERROR(_xll.qlRateHelperEarliestDate(J34,Trigger),"--")</f>
        <v>42256</v>
      </c>
      <c r="Q34" s="99">
        <f>IFERROR(_xll.qlRateHelperPillarDate(J34,Trigger),"--")</f>
        <v>47735</v>
      </c>
      <c r="S34" s="4" t="str">
        <f t="shared" si="0"/>
        <v>BasSw</v>
      </c>
      <c r="T34" s="4" t="str">
        <v>obj_00684</v>
      </c>
      <c r="U34" s="4" t="str">
        <f>IFERROR(_xll.qlRateHelperQuoteName(T34,Trigger),"")</f>
        <v>EUR1EON3E20Y_LCHQuote</v>
      </c>
      <c r="V34" s="70">
        <f>IFERROR(_xll.qlRateHelperRate(T34,Trigger),"")</f>
        <v>1.32628E-2</v>
      </c>
      <c r="W34" s="104" t="str">
        <f>IF(ISERROR(_xll.qlSwapRateHelperSpread($T34)),IF(ISERROR(_xll.qlFuturesRateHelperConvexityAdjustment($T34)),"",_xll.qlFuturesRateHelperConvexityAdjustment($T34)),_xll.qlSwapRateHelperSpread($T34))</f>
        <v/>
      </c>
      <c r="X34" s="5">
        <f>IFERROR(_xll.qlRateHelperEarliestDate(T34,Trigger),"")</f>
        <v>42256</v>
      </c>
      <c r="Y34" s="5">
        <f>IFERROR(_xll.qlRateHelperPillarDate(T34,Trigger),"")</f>
        <v>49562</v>
      </c>
      <c r="Z34" s="70">
        <v>1.3923888214591193E-2</v>
      </c>
      <c r="AA34" s="77">
        <v>0.75687173843048094</v>
      </c>
      <c r="AB34" s="169">
        <v>49562</v>
      </c>
      <c r="AC34" s="170">
        <v>1.39238882143632E-2</v>
      </c>
      <c r="AD34" s="172">
        <f t="shared" si="2"/>
        <v>2.2799297172415578E-13</v>
      </c>
      <c r="AE34" s="174">
        <v>0.75687173843274602</v>
      </c>
      <c r="AF34" s="173">
        <f t="shared" si="3"/>
        <v>-2.2650770148402444E-12</v>
      </c>
      <c r="AG34" s="170"/>
    </row>
    <row r="35" spans="1:33" ht="11.25" customHeight="1" x14ac:dyDescent="0.2">
      <c r="A35" s="59" t="s">
        <v>70</v>
      </c>
      <c r="B35" s="60" t="s">
        <v>61</v>
      </c>
      <c r="C35" s="61">
        <f t="shared" si="9"/>
        <v>2</v>
      </c>
      <c r="D35" s="62" t="str">
        <f t="shared" si="8"/>
        <v>Eonia</v>
      </c>
      <c r="E35" s="63" t="str">
        <f t="shared" si="6"/>
        <v>EUR12YOIS_LCHQuote</v>
      </c>
      <c r="F35" s="123"/>
      <c r="G35" s="64" t="str">
        <f>_xll.qlOISRateHelper(,C35,B35,E35,$D35,,Permanent,Trigger,ObjectOverwrite)</f>
        <v>obj_00663#0001</v>
      </c>
      <c r="I35" s="10" t="str">
        <f t="shared" si="4"/>
        <v>OIS</v>
      </c>
      <c r="J35" s="94" t="str">
        <f t="shared" si="5"/>
        <v>obj_0065f#0001</v>
      </c>
      <c r="K35" s="146" t="str">
        <f>IFERROR(_xll.qlRateHelperQuoteName(J35,Trigger),"--")</f>
        <v>EUR20YOIS_LCHQuote</v>
      </c>
      <c r="L35" s="98" t="str">
        <f>IFERROR(_xll.qlRateHelperQuoteValue($J35,Trigger),"--")</f>
        <v>--</v>
      </c>
      <c r="M35" s="97" t="b">
        <v>0</v>
      </c>
      <c r="N35" s="94">
        <v>50</v>
      </c>
      <c r="O35" s="94">
        <v>1</v>
      </c>
      <c r="P35" s="99">
        <f>IFERROR(_xll.qlRateHelperEarliestDate(J35,Trigger),"--")</f>
        <v>42256</v>
      </c>
      <c r="Q35" s="99">
        <f>IFERROR(_xll.qlRateHelperPillarDate(J35,Trigger),"--")</f>
        <v>49562</v>
      </c>
      <c r="S35" s="4" t="str">
        <f t="shared" si="0"/>
        <v>BasSw</v>
      </c>
      <c r="T35" s="4" t="str">
        <v>obj_0064e</v>
      </c>
      <c r="U35" s="4" t="str">
        <f>IFERROR(_xll.qlRateHelperQuoteName(T35,Trigger),"")</f>
        <v>EUR1EON3E25Y_LCHQuote</v>
      </c>
      <c r="V35" s="70">
        <f>IFERROR(_xll.qlRateHelperRate(T35,Trigger),"")</f>
        <v>1.3800400000000001E-2</v>
      </c>
      <c r="W35" s="104" t="str">
        <f>IF(ISERROR(_xll.qlSwapRateHelperSpread($T35)),IF(ISERROR(_xll.qlFuturesRateHelperConvexityAdjustment($T35)),"",_xll.qlFuturesRateHelperConvexityAdjustment($T35)),_xll.qlSwapRateHelperSpread($T35))</f>
        <v/>
      </c>
      <c r="X35" s="5">
        <f>IFERROR(_xll.qlRateHelperEarliestDate(T35,Trigger),"")</f>
        <v>42256</v>
      </c>
      <c r="Y35" s="5">
        <f>IFERROR(_xll.qlRateHelperPillarDate(T35,Trigger),"")</f>
        <v>51389</v>
      </c>
      <c r="Z35" s="70">
        <v>1.4458221027622644E-2</v>
      </c>
      <c r="AA35" s="77">
        <v>0.6966145625486897</v>
      </c>
      <c r="AB35" s="169">
        <v>51389</v>
      </c>
      <c r="AC35" s="170">
        <v>1.44582210273072E-2</v>
      </c>
      <c r="AD35" s="172">
        <f t="shared" si="2"/>
        <v>3.1544385159509858E-13</v>
      </c>
      <c r="AE35" s="174">
        <v>0.69661456254995802</v>
      </c>
      <c r="AF35" s="173">
        <f t="shared" si="3"/>
        <v>-1.2683187833317788E-12</v>
      </c>
      <c r="AG35" s="170"/>
    </row>
    <row r="36" spans="1:33" ht="11.25" customHeight="1" x14ac:dyDescent="0.2">
      <c r="A36" s="59" t="s">
        <v>70</v>
      </c>
      <c r="B36" s="60" t="s">
        <v>62</v>
      </c>
      <c r="C36" s="61">
        <f t="shared" si="9"/>
        <v>2</v>
      </c>
      <c r="D36" s="62" t="str">
        <f t="shared" si="8"/>
        <v>Eonia</v>
      </c>
      <c r="E36" s="63" t="str">
        <f t="shared" si="6"/>
        <v>EUR15YOIS_LCHQuote</v>
      </c>
      <c r="F36" s="123"/>
      <c r="G36" s="64" t="str">
        <f>_xll.qlOISRateHelper(,C36,B36,E36,$D36,,Permanent,Trigger,ObjectOverwrite)</f>
        <v>obj_0067b#0001</v>
      </c>
      <c r="I36" s="10" t="str">
        <f t="shared" si="4"/>
        <v>OIS</v>
      </c>
      <c r="J36" s="94" t="str">
        <f t="shared" si="5"/>
        <v>obj_0068d#0001</v>
      </c>
      <c r="K36" s="146" t="str">
        <f>IFERROR(_xll.qlRateHelperQuoteName(J36,Trigger),"--")</f>
        <v>EUR25YOIS_LCHQuote</v>
      </c>
      <c r="L36" s="98" t="str">
        <f>IFERROR(_xll.qlRateHelperQuoteValue($J36,Trigger),"--")</f>
        <v>--</v>
      </c>
      <c r="M36" s="97" t="b">
        <v>0</v>
      </c>
      <c r="N36" s="94">
        <v>50</v>
      </c>
      <c r="O36" s="94">
        <v>1</v>
      </c>
      <c r="P36" s="99">
        <f>IFERROR(_xll.qlRateHelperEarliestDate(J36,Trigger),"--")</f>
        <v>42256</v>
      </c>
      <c r="Q36" s="99">
        <f>IFERROR(_xll.qlRateHelperPillarDate(J36,Trigger),"--")</f>
        <v>51389</v>
      </c>
      <c r="S36" s="4" t="str">
        <f t="shared" si="0"/>
        <v>BasSw</v>
      </c>
      <c r="T36" s="4" t="str">
        <v>obj_00651</v>
      </c>
      <c r="U36" s="4" t="str">
        <f>IFERROR(_xll.qlRateHelperQuoteName(T36,Trigger),"")</f>
        <v>EUR1EON3E30Y_LCHQuote</v>
      </c>
      <c r="V36" s="70">
        <f>IFERROR(_xll.qlRateHelperRate(T36,Trigger),"")</f>
        <v>1.40553E-2</v>
      </c>
      <c r="W36" s="104" t="str">
        <f>IF(ISERROR(_xll.qlSwapRateHelperSpread($T36)),IF(ISERROR(_xll.qlFuturesRateHelperConvexityAdjustment($T36)),"",_xll.qlFuturesRateHelperConvexityAdjustment($T36)),_xll.qlSwapRateHelperSpread($T36))</f>
        <v/>
      </c>
      <c r="X36" s="5">
        <f>IFERROR(_xll.qlRateHelperEarliestDate(T36,Trigger),"")</f>
        <v>42256</v>
      </c>
      <c r="Y36" s="5">
        <f>IFERROR(_xll.qlRateHelperPillarDate(T36,Trigger),"")</f>
        <v>53216</v>
      </c>
      <c r="Z36" s="70">
        <v>1.4684176929405782E-2</v>
      </c>
      <c r="AA36" s="77">
        <v>0.64360479941738269</v>
      </c>
      <c r="AB36" s="169">
        <v>53216</v>
      </c>
      <c r="AC36" s="170">
        <v>1.4684176929340801E-2</v>
      </c>
      <c r="AD36" s="172">
        <f t="shared" si="2"/>
        <v>6.4981006686615217E-14</v>
      </c>
      <c r="AE36" s="174">
        <v>0.64360479941895399</v>
      </c>
      <c r="AF36" s="173">
        <f t="shared" si="3"/>
        <v>-1.5712986467519841E-12</v>
      </c>
      <c r="AG36" s="170"/>
    </row>
    <row r="37" spans="1:33" ht="11.25" customHeight="1" x14ac:dyDescent="0.2">
      <c r="A37" s="59" t="s">
        <v>70</v>
      </c>
      <c r="B37" s="60" t="s">
        <v>63</v>
      </c>
      <c r="C37" s="61">
        <f t="shared" si="9"/>
        <v>2</v>
      </c>
      <c r="D37" s="62" t="str">
        <f t="shared" si="8"/>
        <v>Eonia</v>
      </c>
      <c r="E37" s="63" t="str">
        <f t="shared" si="6"/>
        <v>EUR20YOIS_LCHQuote</v>
      </c>
      <c r="F37" s="123"/>
      <c r="G37" s="64" t="str">
        <f>_xll.qlOISRateHelper(,C37,B37,E37,$D37,,Permanent,Trigger,ObjectOverwrite)</f>
        <v>obj_0065f#0001</v>
      </c>
      <c r="I37" s="10" t="str">
        <f t="shared" si="4"/>
        <v>OIS</v>
      </c>
      <c r="J37" s="94" t="str">
        <f t="shared" si="5"/>
        <v>obj_0068a#0001</v>
      </c>
      <c r="K37" s="146" t="str">
        <f>IFERROR(_xll.qlRateHelperQuoteName(J37,Trigger),"--")</f>
        <v>EUR30YOIS_LCHQuote</v>
      </c>
      <c r="L37" s="98" t="str">
        <f>IFERROR(_xll.qlRateHelperQuoteValue($J37,Trigger),"--")</f>
        <v>--</v>
      </c>
      <c r="M37" s="97" t="b">
        <v>0</v>
      </c>
      <c r="N37" s="94">
        <v>50</v>
      </c>
      <c r="O37" s="94">
        <v>1</v>
      </c>
      <c r="P37" s="99">
        <f>IFERROR(_xll.qlRateHelperEarliestDate(J37,Trigger),"--")</f>
        <v>42256</v>
      </c>
      <c r="Q37" s="99">
        <f>IFERROR(_xll.qlRateHelperPillarDate(J37,Trigger),"--")</f>
        <v>53216</v>
      </c>
      <c r="S37" s="4" t="str">
        <f t="shared" si="0"/>
        <v>BasSw</v>
      </c>
      <c r="T37" s="4" t="str">
        <v>obj_0064f</v>
      </c>
      <c r="U37" s="4" t="str">
        <f>IFERROR(_xll.qlRateHelperQuoteName(T37,Trigger),"")</f>
        <v>EUR1EON3E40Y_LCHQuote</v>
      </c>
      <c r="V37" s="70">
        <f>IFERROR(_xll.qlRateHelperRate(T37,Trigger),"")</f>
        <v>1.44525E-2</v>
      </c>
      <c r="W37" s="104" t="str">
        <f>IF(ISERROR(_xll.qlSwapRateHelperSpread($T37)),IF(ISERROR(_xll.qlFuturesRateHelperConvexityAdjustment($T37)),"",_xll.qlFuturesRateHelperConvexityAdjustment($T37)),_xll.qlSwapRateHelperSpread($T37))</f>
        <v/>
      </c>
      <c r="X37" s="5">
        <f>IFERROR(_xll.qlRateHelperEarliestDate(T37,Trigger),"")</f>
        <v>42256</v>
      </c>
      <c r="Y37" s="5">
        <f>IFERROR(_xll.qlRateHelperPillarDate(T37,Trigger),"")</f>
        <v>56866</v>
      </c>
      <c r="Z37" s="70">
        <v>1.5073063567265397E-2</v>
      </c>
      <c r="AA37" s="77">
        <v>0.54726514421018591</v>
      </c>
      <c r="AB37" s="169">
        <v>56866</v>
      </c>
      <c r="AC37" s="170">
        <v>1.5073063567215E-2</v>
      </c>
      <c r="AD37" s="172">
        <f t="shared" si="2"/>
        <v>5.03971864240782E-14</v>
      </c>
      <c r="AE37" s="174">
        <v>0.54726514421181705</v>
      </c>
      <c r="AF37" s="173">
        <f t="shared" si="3"/>
        <v>-1.63113966777928E-12</v>
      </c>
      <c r="AG37" s="170"/>
    </row>
    <row r="38" spans="1:33" ht="11.25" customHeight="1" x14ac:dyDescent="0.2">
      <c r="A38" s="59" t="s">
        <v>70</v>
      </c>
      <c r="B38" s="60" t="s">
        <v>64</v>
      </c>
      <c r="C38" s="61">
        <f t="shared" si="9"/>
        <v>2</v>
      </c>
      <c r="D38" s="62" t="str">
        <f t="shared" si="8"/>
        <v>Eonia</v>
      </c>
      <c r="E38" s="63" t="str">
        <f t="shared" si="6"/>
        <v>EUR25YOIS_LCHQuote</v>
      </c>
      <c r="F38" s="123"/>
      <c r="G38" s="64" t="str">
        <f>_xll.qlOISRateHelper(,C38,B38,E38,$D38,,Permanent,Trigger,ObjectOverwrite)</f>
        <v>obj_0068d#0001</v>
      </c>
      <c r="I38" s="10" t="str">
        <f t="shared" si="4"/>
        <v>OIS</v>
      </c>
      <c r="J38" s="94" t="str">
        <f t="shared" si="5"/>
        <v>obj_00659#0001</v>
      </c>
      <c r="K38" s="146" t="str">
        <f>IFERROR(_xll.qlRateHelperQuoteName(J38,Trigger),"--")</f>
        <v>EUR40YOIS_LCHQuote</v>
      </c>
      <c r="L38" s="98" t="str">
        <f>IFERROR(_xll.qlRateHelperQuoteValue($J38,Trigger),"--")</f>
        <v>--</v>
      </c>
      <c r="M38" s="97" t="b">
        <v>0</v>
      </c>
      <c r="N38" s="94">
        <v>50</v>
      </c>
      <c r="O38" s="94">
        <v>1</v>
      </c>
      <c r="P38" s="99">
        <f>IFERROR(_xll.qlRateHelperEarliestDate(J38,Trigger),"--")</f>
        <v>42256</v>
      </c>
      <c r="Q38" s="99">
        <f>IFERROR(_xll.qlRateHelperPillarDate(J38,Trigger),"--")</f>
        <v>56866</v>
      </c>
      <c r="S38" s="4" t="str">
        <f t="shared" si="0"/>
        <v>BasSw</v>
      </c>
      <c r="T38" s="4" t="str">
        <v>obj_00650</v>
      </c>
      <c r="U38" s="4" t="str">
        <f>IFERROR(_xll.qlRateHelperQuoteName(T38,Trigger),"")</f>
        <v>EUR1EON3E50Y_LCHQuote</v>
      </c>
      <c r="V38" s="70">
        <f>IFERROR(_xll.qlRateHelperRate(T38,Trigger),"")</f>
        <v>1.4257499999999999E-2</v>
      </c>
      <c r="W38" s="104" t="str">
        <f>IF(ISERROR(_xll.qlSwapRateHelperSpread($T38)),IF(ISERROR(_xll.qlFuturesRateHelperConvexityAdjustment($T38)),"",_xll.qlFuturesRateHelperConvexityAdjustment($T38)),_xll.qlSwapRateHelperSpread($T38))</f>
        <v/>
      </c>
      <c r="X38" s="5">
        <f>IFERROR(_xll.qlRateHelperEarliestDate(T38,Trigger),"")</f>
        <v>42256</v>
      </c>
      <c r="Y38" s="5">
        <f>IFERROR(_xll.qlRateHelperPillarDate(T38,Trigger),"")</f>
        <v>60519</v>
      </c>
      <c r="Z38" s="70">
        <v>1.4690348670645366E-2</v>
      </c>
      <c r="AA38" s="77">
        <v>0.47984241273402706</v>
      </c>
      <c r="AB38" s="169">
        <v>60519</v>
      </c>
      <c r="AC38" s="170">
        <v>1.4690348670605801E-2</v>
      </c>
      <c r="AD38" s="172">
        <f t="shared" si="2"/>
        <v>3.9565573040079016E-14</v>
      </c>
      <c r="AE38" s="174">
        <v>0.47984241273561001</v>
      </c>
      <c r="AF38" s="173">
        <f t="shared" si="3"/>
        <v>-1.5829559885105482E-12</v>
      </c>
      <c r="AG38" s="170"/>
    </row>
    <row r="39" spans="1:33" ht="11.25" customHeight="1" x14ac:dyDescent="0.2">
      <c r="A39" s="59" t="s">
        <v>70</v>
      </c>
      <c r="B39" s="60" t="s">
        <v>66</v>
      </c>
      <c r="C39" s="61">
        <f t="shared" si="9"/>
        <v>2</v>
      </c>
      <c r="D39" s="62" t="str">
        <f t="shared" si="8"/>
        <v>Eonia</v>
      </c>
      <c r="E39" s="63" t="str">
        <f t="shared" si="6"/>
        <v>EUR30YOIS_LCHQuote</v>
      </c>
      <c r="F39" s="123"/>
      <c r="G39" s="64" t="str">
        <f>_xll.qlOISRateHelper(,C39,B39,E39,$D39,,Permanent,Trigger,ObjectOverwrite)</f>
        <v>obj_0068a#0001</v>
      </c>
      <c r="I39" s="10" t="str">
        <f t="shared" si="4"/>
        <v>OIS</v>
      </c>
      <c r="J39" s="94" t="str">
        <f t="shared" si="5"/>
        <v>obj_0064d#0001</v>
      </c>
      <c r="K39" s="146" t="str">
        <f>IFERROR(_xll.qlRateHelperQuoteName(J39,Trigger),"--")</f>
        <v>EUR50YOIS_LCHQuote</v>
      </c>
      <c r="L39" s="98" t="str">
        <f>IFERROR(_xll.qlRateHelperQuoteValue($J39,Trigger),"--")</f>
        <v>--</v>
      </c>
      <c r="M39" s="97" t="b">
        <v>0</v>
      </c>
      <c r="N39" s="94">
        <v>50</v>
      </c>
      <c r="O39" s="94">
        <v>1</v>
      </c>
      <c r="P39" s="99">
        <f>IFERROR(_xll.qlRateHelperEarliestDate(J39,Trigger),"--")</f>
        <v>42256</v>
      </c>
      <c r="Q39" s="99">
        <f>IFERROR(_xll.qlRateHelperPillarDate(J39,Trigger),"--")</f>
        <v>60519</v>
      </c>
      <c r="S39" s="4" t="str">
        <f t="shared" si="0"/>
        <v>BasSw</v>
      </c>
      <c r="T39" s="4" t="str">
        <v>obj_00681</v>
      </c>
      <c r="U39" s="4" t="str">
        <f>IFERROR(_xll.qlRateHelperQuoteName(T39,Trigger),"")</f>
        <v>EUR1EON3E60Y_LCHQuote</v>
      </c>
      <c r="V39" s="70">
        <f>IFERROR(_xll.qlRateHelperRate(T39,Trigger),"")</f>
        <v>1.39925E-2</v>
      </c>
      <c r="W39" s="104" t="str">
        <f>IF(ISERROR(_xll.qlSwapRateHelperSpread($T39)),IF(ISERROR(_xll.qlFuturesRateHelperConvexityAdjustment($T39)),"",_xll.qlFuturesRateHelperConvexityAdjustment($T39)),_xll.qlSwapRateHelperSpread($T39))</f>
        <v/>
      </c>
      <c r="X39" s="5">
        <f>IFERROR(_xll.qlRateHelperEarliestDate(T39,Trigger),"")</f>
        <v>42256</v>
      </c>
      <c r="Y39" s="5">
        <f>IFERROR(_xll.qlRateHelperPillarDate(T39,Trigger),"")</f>
        <v>64171</v>
      </c>
      <c r="Z39" s="70">
        <v>1.4233987525534243E-2</v>
      </c>
      <c r="AA39" s="77">
        <v>0.42571301573838749</v>
      </c>
      <c r="AB39" s="169">
        <v>64171</v>
      </c>
      <c r="AC39" s="170">
        <v>1.4233987525503001E-2</v>
      </c>
      <c r="AD39" s="172">
        <f t="shared" si="2"/>
        <v>3.1242369802342296E-14</v>
      </c>
      <c r="AE39" s="174">
        <v>0.42571301573909698</v>
      </c>
      <c r="AF39" s="173">
        <f t="shared" si="3"/>
        <v>-7.0948802388670629E-13</v>
      </c>
      <c r="AG39" s="170"/>
    </row>
    <row r="40" spans="1:33" ht="11.25" customHeight="1" x14ac:dyDescent="0.2">
      <c r="A40" s="59" t="s">
        <v>70</v>
      </c>
      <c r="B40" s="60" t="s">
        <v>68</v>
      </c>
      <c r="C40" s="61">
        <f t="shared" si="9"/>
        <v>2</v>
      </c>
      <c r="D40" s="62" t="str">
        <f t="shared" si="8"/>
        <v>Eonia</v>
      </c>
      <c r="E40" s="63" t="str">
        <f t="shared" si="6"/>
        <v>EUR40YOIS_LCHQuote</v>
      </c>
      <c r="F40" s="123"/>
      <c r="G40" s="64" t="str">
        <f>_xll.qlOISRateHelper(,C40,B40,E40,$D40,,Permanent,Trigger,ObjectOverwrite)</f>
        <v>obj_00659#0001</v>
      </c>
      <c r="I40" s="11" t="str">
        <f t="shared" si="4"/>
        <v>OIS</v>
      </c>
      <c r="J40" s="95" t="str">
        <f t="shared" si="5"/>
        <v>obj_0067e#0001</v>
      </c>
      <c r="K40" s="147" t="str">
        <f>IFERROR(_xll.qlRateHelperQuoteName(J40,Trigger),"--")</f>
        <v>EUR60YOIS_LCHQuote</v>
      </c>
      <c r="L40" s="101" t="str">
        <f>IFERROR(_xll.qlRateHelperQuoteValue($J40,Trigger),"--")</f>
        <v>--</v>
      </c>
      <c r="M40" s="100" t="b">
        <v>0</v>
      </c>
      <c r="N40" s="95">
        <v>50</v>
      </c>
      <c r="O40" s="95">
        <v>1</v>
      </c>
      <c r="P40" s="102">
        <f>IFERROR(_xll.qlRateHelperEarliestDate(J40,Trigger),"--")</f>
        <v>42256</v>
      </c>
      <c r="Q40" s="102">
        <f>IFERROR(_xll.qlRateHelperPillarDate(J40,Trigger),"--")</f>
        <v>64171</v>
      </c>
      <c r="S40" s="4" t="str">
        <f t="shared" si="0"/>
        <v/>
      </c>
      <c r="T40" s="4" t="e">
        <v>#N/A</v>
      </c>
      <c r="U40" s="4" t="str">
        <f>IFERROR(_xll.qlRateHelperQuoteName(T40,Trigger),"")</f>
        <v/>
      </c>
      <c r="V40" s="70" t="str">
        <f>IFERROR(_xll.qlRateHelperRate(T40,Trigger),"")</f>
        <v/>
      </c>
      <c r="W40" s="104" t="str">
        <f>IF(ISERROR(_xll.qlSwapRateHelperSpread($T40)),IF(ISERROR(_xll.qlFuturesRateHelperConvexityAdjustment($T40)),"",_xll.qlFuturesRateHelperConvexityAdjustment($T40)),_xll.qlSwapRateHelperSpread($T40))</f>
        <v/>
      </c>
      <c r="X40" s="5" t="str">
        <f>IFERROR(_xll.qlRateHelperEarliestDate(T40,Trigger),"")</f>
        <v/>
      </c>
      <c r="Y40" s="5" t="str">
        <f>IFERROR(_xll.qlRateHelperPillarDate(T40,Trigger),"")</f>
        <v/>
      </c>
      <c r="Z40" s="70" t="e">
        <v>#N/A</v>
      </c>
      <c r="AA40" s="77" t="e">
        <v>#N/A</v>
      </c>
      <c r="AB40" s="169" t="e">
        <v>#N/A</v>
      </c>
      <c r="AC40" s="170" t="e">
        <v>#N/A</v>
      </c>
      <c r="AD40" s="172" t="e">
        <f t="shared" si="2"/>
        <v>#N/A</v>
      </c>
      <c r="AE40" s="174" t="e">
        <v>#N/A</v>
      </c>
      <c r="AF40" s="173" t="e">
        <f t="shared" si="3"/>
        <v>#N/A</v>
      </c>
      <c r="AG40" s="170"/>
    </row>
    <row r="41" spans="1:33" ht="11.25" customHeight="1" x14ac:dyDescent="0.2">
      <c r="A41" s="59" t="s">
        <v>70</v>
      </c>
      <c r="B41" s="60" t="s">
        <v>69</v>
      </c>
      <c r="C41" s="61">
        <f t="shared" si="9"/>
        <v>2</v>
      </c>
      <c r="D41" s="62" t="str">
        <f t="shared" si="8"/>
        <v>Eonia</v>
      </c>
      <c r="E41" s="63" t="str">
        <f t="shared" si="6"/>
        <v>EUR50YOIS_LCHQuote</v>
      </c>
      <c r="F41" s="123"/>
      <c r="G41" s="64" t="str">
        <f>_xll.qlOISRateHelper(,C41,B41,E41,$D41,,Permanent,Trigger,ObjectOverwrite)</f>
        <v>obj_0064d#0001</v>
      </c>
      <c r="I41" s="10" t="str">
        <f>A45</f>
        <v>BasSw</v>
      </c>
      <c r="J41" s="94" t="str">
        <f>IF(ISBLANK(G45),"--",G45)</f>
        <v>obj_0068e#0001</v>
      </c>
      <c r="K41" s="146" t="str">
        <f>IFERROR(_xll.qlRateHelperQuoteName(J41,Trigger),"--")</f>
        <v>EUR1EON3E1Y_LCHQuote</v>
      </c>
      <c r="L41" s="98" t="str">
        <f>IFERROR(_xll.qlRateHelperQuoteValue($J41,Trigger),"--")</f>
        <v>--</v>
      </c>
      <c r="M41" s="97" t="b">
        <v>0</v>
      </c>
      <c r="N41" s="94">
        <v>50</v>
      </c>
      <c r="O41" s="94">
        <v>1</v>
      </c>
      <c r="P41" s="99">
        <f>IFERROR(_xll.qlRateHelperEarliestDate(J41,Trigger),"--")</f>
        <v>42256</v>
      </c>
      <c r="Q41" s="99">
        <f>IFERROR(_xll.qlRateHelperPillarDate(J41,Trigger),"--")</f>
        <v>42622</v>
      </c>
      <c r="S41" s="4" t="str">
        <f t="shared" si="0"/>
        <v/>
      </c>
      <c r="T41" s="4" t="e">
        <v>#N/A</v>
      </c>
      <c r="U41" s="4" t="str">
        <f>IFERROR(_xll.qlRateHelperQuoteName(T41,Trigger),"")</f>
        <v/>
      </c>
      <c r="V41" s="70" t="str">
        <f>IFERROR(_xll.qlRateHelperRate(T41,Trigger),"")</f>
        <v/>
      </c>
      <c r="W41" s="104" t="str">
        <f>IF(ISERROR(_xll.qlSwapRateHelperSpread($T41)),IF(ISERROR(_xll.qlFuturesRateHelperConvexityAdjustment($T41)),"",_xll.qlFuturesRateHelperConvexityAdjustment($T41)),_xll.qlSwapRateHelperSpread($T41))</f>
        <v/>
      </c>
      <c r="X41" s="5" t="str">
        <f>IFERROR(_xll.qlRateHelperEarliestDate(T41,Trigger),"")</f>
        <v/>
      </c>
      <c r="Y41" s="5" t="str">
        <f>IFERROR(_xll.qlRateHelperPillarDate(T41,Trigger),"")</f>
        <v/>
      </c>
      <c r="Z41" s="70" t="e">
        <v>#N/A</v>
      </c>
      <c r="AA41" s="77" t="e">
        <v>#N/A</v>
      </c>
      <c r="AB41" s="169" t="e">
        <v>#N/A</v>
      </c>
      <c r="AC41" s="170" t="e">
        <v>#N/A</v>
      </c>
      <c r="AD41" s="172" t="e">
        <f t="shared" si="2"/>
        <v>#N/A</v>
      </c>
      <c r="AE41" s="174" t="e">
        <v>#N/A</v>
      </c>
      <c r="AF41" s="173" t="e">
        <f t="shared" si="3"/>
        <v>#N/A</v>
      </c>
      <c r="AG41" s="170"/>
    </row>
    <row r="42" spans="1:33" ht="11.25" customHeight="1" x14ac:dyDescent="0.2">
      <c r="A42" s="1" t="s">
        <v>70</v>
      </c>
      <c r="B42" s="8" t="s">
        <v>112</v>
      </c>
      <c r="C42" s="7">
        <f t="shared" si="9"/>
        <v>2</v>
      </c>
      <c r="D42" s="9" t="str">
        <f t="shared" si="8"/>
        <v>Eonia</v>
      </c>
      <c r="E42" s="2" t="str">
        <f t="shared" si="6"/>
        <v>EUR60YOIS_LCHQuote</v>
      </c>
      <c r="F42" s="124"/>
      <c r="G42" s="3" t="str">
        <f>_xll.qlOISRateHelper(,C42,B42,E42,$D42,,Permanent,Trigger,ObjectOverwrite)</f>
        <v>obj_0067e#0001</v>
      </c>
      <c r="I42" s="10" t="str">
        <f t="shared" ref="I42:I77" si="10">A46</f>
        <v>BasSw</v>
      </c>
      <c r="J42" s="94" t="str">
        <f t="shared" ref="J42:J77" si="11">IF(ISBLANK(G46),"--",G46)</f>
        <v>obj_00691#0001</v>
      </c>
      <c r="K42" s="146" t="str">
        <f>IFERROR(_xll.qlRateHelperQuoteName(J42,Trigger),"--")</f>
        <v>EUR1EON3E15M_LCHQuote</v>
      </c>
      <c r="L42" s="98" t="str">
        <f>IFERROR(_xll.qlRateHelperQuoteValue($J42,Trigger),"--")</f>
        <v>--</v>
      </c>
      <c r="M42" s="97" t="b">
        <v>0</v>
      </c>
      <c r="N42" s="94">
        <v>50</v>
      </c>
      <c r="O42" s="94">
        <v>1</v>
      </c>
      <c r="P42" s="99">
        <f>IFERROR(_xll.qlRateHelperEarliestDate(J42,Trigger),"--")</f>
        <v>42256</v>
      </c>
      <c r="Q42" s="99">
        <f>IFERROR(_xll.qlRateHelperPillarDate(J42,Trigger),"--")</f>
        <v>42713</v>
      </c>
      <c r="S42" s="4" t="str">
        <f t="shared" si="0"/>
        <v/>
      </c>
      <c r="T42" s="4" t="e">
        <v>#N/A</v>
      </c>
      <c r="U42" s="4" t="str">
        <f>IFERROR(_xll.qlRateHelperQuoteName(T42,Trigger),"")</f>
        <v/>
      </c>
      <c r="V42" s="70" t="str">
        <f>IFERROR(_xll.qlRateHelperRate(T42,Trigger),"")</f>
        <v/>
      </c>
      <c r="W42" s="104" t="str">
        <f>IF(ISERROR(_xll.qlSwapRateHelperSpread($T42)),IF(ISERROR(_xll.qlFuturesRateHelperConvexityAdjustment($T42)),"",_xll.qlFuturesRateHelperConvexityAdjustment($T42)),_xll.qlSwapRateHelperSpread($T42))</f>
        <v/>
      </c>
      <c r="X42" s="5" t="str">
        <f>IFERROR(_xll.qlRateHelperEarliestDate(T42,Trigger),"")</f>
        <v/>
      </c>
      <c r="Y42" s="5" t="str">
        <f>IFERROR(_xll.qlRateHelperPillarDate(T42,Trigger),"")</f>
        <v/>
      </c>
      <c r="Z42" s="70" t="e">
        <v>#N/A</v>
      </c>
      <c r="AA42" s="77" t="e">
        <v>#N/A</v>
      </c>
      <c r="AB42" s="169" t="e">
        <v>#N/A</v>
      </c>
      <c r="AC42" s="170" t="e">
        <v>#N/A</v>
      </c>
      <c r="AD42" s="172" t="e">
        <f t="shared" si="2"/>
        <v>#N/A</v>
      </c>
      <c r="AE42" s="174" t="e">
        <v>#N/A</v>
      </c>
      <c r="AF42" s="173" t="e">
        <f t="shared" si="3"/>
        <v>#N/A</v>
      </c>
      <c r="AG42" s="170"/>
    </row>
    <row r="43" spans="1:33" ht="11.25" customHeight="1" x14ac:dyDescent="0.2">
      <c r="I43" s="10" t="str">
        <f t="shared" si="10"/>
        <v>BasSw</v>
      </c>
      <c r="J43" s="94" t="str">
        <f t="shared" si="11"/>
        <v>obj_00664#0001</v>
      </c>
      <c r="K43" s="146" t="str">
        <f>IFERROR(_xll.qlRateHelperQuoteName(J43,Trigger),"--")</f>
        <v>EUR1EON3E18M_LCHQuote</v>
      </c>
      <c r="L43" s="98" t="str">
        <f>IFERROR(_xll.qlRateHelperQuoteValue($J43,Trigger),"--")</f>
        <v>--</v>
      </c>
      <c r="M43" s="97" t="b">
        <v>0</v>
      </c>
      <c r="N43" s="94">
        <v>50</v>
      </c>
      <c r="O43" s="94">
        <v>1</v>
      </c>
      <c r="P43" s="99">
        <f>IFERROR(_xll.qlRateHelperEarliestDate(J43,Trigger),"--")</f>
        <v>42256</v>
      </c>
      <c r="Q43" s="99">
        <f>IFERROR(_xll.qlRateHelperPillarDate(J43,Trigger),"--")</f>
        <v>42803</v>
      </c>
      <c r="S43" s="4" t="str">
        <f t="shared" si="0"/>
        <v/>
      </c>
      <c r="T43" s="4" t="e">
        <v>#N/A</v>
      </c>
      <c r="U43" s="4" t="str">
        <f>IFERROR(_xll.qlRateHelperQuoteName(T43,Trigger),"")</f>
        <v/>
      </c>
      <c r="V43" s="70" t="str">
        <f>IFERROR(_xll.qlRateHelperRate(T43,Trigger),"")</f>
        <v/>
      </c>
      <c r="W43" s="104" t="str">
        <f>IF(ISERROR(_xll.qlSwapRateHelperSpread($T43)),IF(ISERROR(_xll.qlFuturesRateHelperConvexityAdjustment($T43)),"",_xll.qlFuturesRateHelperConvexityAdjustment($T43)),_xll.qlSwapRateHelperSpread($T43))</f>
        <v/>
      </c>
      <c r="X43" s="5" t="str">
        <f>IFERROR(_xll.qlRateHelperEarliestDate(T43,Trigger),"")</f>
        <v/>
      </c>
      <c r="Y43" s="5" t="str">
        <f>IFERROR(_xll.qlRateHelperPillarDate(T43,Trigger),"")</f>
        <v/>
      </c>
      <c r="Z43" s="70" t="e">
        <v>#N/A</v>
      </c>
      <c r="AA43" s="77" t="e">
        <v>#N/A</v>
      </c>
      <c r="AB43" s="169" t="e">
        <v>#N/A</v>
      </c>
      <c r="AC43" s="170" t="e">
        <v>#N/A</v>
      </c>
      <c r="AD43" s="172" t="e">
        <f t="shared" si="2"/>
        <v>#N/A</v>
      </c>
      <c r="AE43" s="174" t="e">
        <v>#N/A</v>
      </c>
      <c r="AF43" s="173" t="e">
        <f t="shared" si="3"/>
        <v>#N/A</v>
      </c>
      <c r="AG43" s="170"/>
    </row>
    <row r="44" spans="1:33" ht="12.75" customHeight="1" x14ac:dyDescent="0.2">
      <c r="A44" s="65" t="s">
        <v>9</v>
      </c>
      <c r="B44" s="65" t="s">
        <v>29</v>
      </c>
      <c r="C44" s="65" t="s">
        <v>78</v>
      </c>
      <c r="D44" s="65" t="s">
        <v>4</v>
      </c>
      <c r="E44" s="65" t="s">
        <v>1</v>
      </c>
      <c r="F44" s="65" t="s">
        <v>146</v>
      </c>
      <c r="G44" s="65" t="s">
        <v>24</v>
      </c>
      <c r="I44" s="10" t="str">
        <f t="shared" si="10"/>
        <v>BasSw</v>
      </c>
      <c r="J44" s="94" t="str">
        <f t="shared" si="11"/>
        <v>obj_00649#0001</v>
      </c>
      <c r="K44" s="146" t="str">
        <f>IFERROR(_xll.qlRateHelperQuoteName(J44,Trigger),"--")</f>
        <v>EUR1EON3E21M_LCHQuote</v>
      </c>
      <c r="L44" s="98" t="str">
        <f>IFERROR(_xll.qlRateHelperQuoteValue($J44,Trigger),"--")</f>
        <v>--</v>
      </c>
      <c r="M44" s="97" t="b">
        <v>0</v>
      </c>
      <c r="N44" s="94">
        <v>50</v>
      </c>
      <c r="O44" s="94">
        <v>1</v>
      </c>
      <c r="P44" s="99">
        <f>IFERROR(_xll.qlRateHelperEarliestDate(J44,Trigger),"--")</f>
        <v>42256</v>
      </c>
      <c r="Q44" s="99">
        <f>IFERROR(_xll.qlRateHelperPillarDate(J44,Trigger),"--")</f>
        <v>42895</v>
      </c>
      <c r="S44" s="4" t="str">
        <f t="shared" si="0"/>
        <v/>
      </c>
      <c r="T44" s="4" t="e">
        <v>#N/A</v>
      </c>
      <c r="U44" s="4" t="str">
        <f>IFERROR(_xll.qlRateHelperQuoteName(T44,Trigger),"")</f>
        <v/>
      </c>
      <c r="V44" s="70" t="str">
        <f>IFERROR(_xll.qlRateHelperRate(T44,Trigger),"")</f>
        <v/>
      </c>
      <c r="W44" s="104" t="str">
        <f>IF(ISERROR(_xll.qlSwapRateHelperSpread($T44)),IF(ISERROR(_xll.qlFuturesRateHelperConvexityAdjustment($T44)),"",_xll.qlFuturesRateHelperConvexityAdjustment($T44)),_xll.qlSwapRateHelperSpread($T44))</f>
        <v/>
      </c>
      <c r="X44" s="5" t="str">
        <f>IFERROR(_xll.qlRateHelperEarliestDate(T44,Trigger),"")</f>
        <v/>
      </c>
      <c r="Y44" s="5" t="str">
        <f>IFERROR(_xll.qlRateHelperPillarDate(T44,Trigger),"")</f>
        <v/>
      </c>
      <c r="Z44" s="70" t="e">
        <v>#N/A</v>
      </c>
      <c r="AA44" s="77" t="e">
        <v>#N/A</v>
      </c>
      <c r="AB44" s="169" t="e">
        <v>#N/A</v>
      </c>
      <c r="AC44" s="170" t="e">
        <v>#N/A</v>
      </c>
      <c r="AD44" s="172" t="e">
        <f t="shared" si="2"/>
        <v>#N/A</v>
      </c>
      <c r="AE44" s="174" t="e">
        <v>#N/A</v>
      </c>
      <c r="AF44" s="173" t="e">
        <f t="shared" si="3"/>
        <v>#N/A</v>
      </c>
      <c r="AG44" s="170"/>
    </row>
    <row r="45" spans="1:33" ht="11.25" customHeight="1" x14ac:dyDescent="0.2">
      <c r="A45" s="53" t="s">
        <v>118</v>
      </c>
      <c r="B45" s="54" t="s">
        <v>28</v>
      </c>
      <c r="C45" s="55">
        <v>2</v>
      </c>
      <c r="D45" s="56" t="str">
        <f t="shared" ref="D45:D65" si="12">$D$1</f>
        <v>Eonia</v>
      </c>
      <c r="E45" s="57" t="str">
        <f t="shared" ref="E45:E81" si="13">IF(LCHQuoteOverwrite,Currency&amp;"1EON3E"&amp;B45&amp;LCHQuoteSuffix,Currency&amp;"1EON3E"&amp;B45&amp;QuoteSuffix)</f>
        <v>EUR1EON3E1Y_LCHQuote</v>
      </c>
      <c r="F45" s="175">
        <v>0</v>
      </c>
      <c r="G45" s="58" t="str">
        <f>_xll.qlOISRateHelper(,$C45,$B45,$E45,$D45,,Permanent,Trigger,ObjectOverwrite)</f>
        <v>obj_0068e#0001</v>
      </c>
      <c r="I45" s="10" t="str">
        <f t="shared" si="10"/>
        <v>BasSw</v>
      </c>
      <c r="J45" s="94" t="str">
        <f t="shared" si="11"/>
        <v>obj_0065e#0001</v>
      </c>
      <c r="K45" s="146" t="str">
        <f>IFERROR(_xll.qlRateHelperQuoteName(J45,Trigger),"--")</f>
        <v>EUR1EON3E2Y_LCHQuote</v>
      </c>
      <c r="L45" s="98" t="str">
        <f>IFERROR(_xll.qlRateHelperQuoteValue($J45,Trigger),"--")</f>
        <v>--</v>
      </c>
      <c r="M45" s="97" t="b">
        <v>0</v>
      </c>
      <c r="N45" s="94">
        <v>50</v>
      </c>
      <c r="O45" s="94">
        <v>1</v>
      </c>
      <c r="P45" s="99">
        <f>IFERROR(_xll.qlRateHelperEarliestDate(J45,Trigger),"--")</f>
        <v>42256</v>
      </c>
      <c r="Q45" s="99">
        <f>IFERROR(_xll.qlRateHelperPillarDate(J45,Trigger),"--")</f>
        <v>42989</v>
      </c>
      <c r="S45" s="4" t="str">
        <f t="shared" ref="S45:S77" si="14">IFERROR(INDEX($I$3:$I$77,MATCH(U45,$K$3:$K$77,0),1),"")</f>
        <v/>
      </c>
      <c r="T45" s="4" t="e">
        <v>#N/A</v>
      </c>
      <c r="U45" s="4" t="str">
        <f>IFERROR(_xll.qlRateHelperQuoteName(T45,Trigger),"")</f>
        <v/>
      </c>
      <c r="V45" s="70" t="str">
        <f>IFERROR(_xll.qlRateHelperRate(T45,Trigger),"")</f>
        <v/>
      </c>
      <c r="W45" s="104" t="str">
        <f>IF(ISERROR(_xll.qlSwapRateHelperSpread($T45)),IF(ISERROR(_xll.qlFuturesRateHelperConvexityAdjustment($T45)),"",_xll.qlFuturesRateHelperConvexityAdjustment($T45)),_xll.qlSwapRateHelperSpread($T45))</f>
        <v/>
      </c>
      <c r="X45" s="5" t="str">
        <f>IFERROR(_xll.qlRateHelperEarliestDate(T45,Trigger),"")</f>
        <v/>
      </c>
      <c r="Y45" s="5" t="str">
        <f>IFERROR(_xll.qlRateHelperPillarDate(T45,Trigger),"")</f>
        <v/>
      </c>
      <c r="Z45" s="70" t="e">
        <v>#N/A</v>
      </c>
      <c r="AA45" s="77" t="e">
        <v>#N/A</v>
      </c>
      <c r="AB45" s="169" t="e">
        <v>#N/A</v>
      </c>
      <c r="AC45" s="170" t="e">
        <v>#N/A</v>
      </c>
      <c r="AD45" s="172" t="e">
        <f t="shared" si="2"/>
        <v>#N/A</v>
      </c>
      <c r="AE45" s="174" t="e">
        <v>#N/A</v>
      </c>
      <c r="AF45" s="173" t="e">
        <f t="shared" si="3"/>
        <v>#N/A</v>
      </c>
      <c r="AG45" s="170"/>
    </row>
    <row r="46" spans="1:33" ht="11.25" customHeight="1" x14ac:dyDescent="0.2">
      <c r="A46" s="59" t="s">
        <v>118</v>
      </c>
      <c r="B46" s="60" t="s">
        <v>49</v>
      </c>
      <c r="C46" s="61">
        <v>2</v>
      </c>
      <c r="D46" s="62" t="str">
        <f t="shared" si="12"/>
        <v>Eonia</v>
      </c>
      <c r="E46" s="63" t="str">
        <f t="shared" si="13"/>
        <v>EUR1EON3E15M_LCHQuote</v>
      </c>
      <c r="F46" s="176">
        <v>0</v>
      </c>
      <c r="G46" s="64" t="str">
        <f>_xll.qlOISRateHelper(,$C46,$B46,$E46,$D46,,Permanent,Trigger,ObjectOverwrite)</f>
        <v>obj_00691#0001</v>
      </c>
      <c r="I46" s="10" t="str">
        <f t="shared" si="10"/>
        <v>BasSw</v>
      </c>
      <c r="J46" s="94" t="str">
        <f t="shared" si="11"/>
        <v>obj_00692#0001</v>
      </c>
      <c r="K46" s="146" t="str">
        <f>IFERROR(_xll.qlRateHelperQuoteName(J46,Trigger),"--")</f>
        <v>EUR1EON3E3Y_LCHQuote</v>
      </c>
      <c r="L46" s="98">
        <f>IFERROR(_xll.qlRateHelperQuoteValue($J46,Trigger),"--")</f>
        <v>-8.0670000000000004E-4</v>
      </c>
      <c r="M46" s="97" t="b">
        <v>1</v>
      </c>
      <c r="N46" s="94">
        <v>50</v>
      </c>
      <c r="O46" s="94">
        <v>1</v>
      </c>
      <c r="P46" s="99">
        <f>IFERROR(_xll.qlRateHelperEarliestDate(J46,Trigger),"--")</f>
        <v>42256</v>
      </c>
      <c r="Q46" s="99">
        <f>IFERROR(_xll.qlRateHelperPillarDate(J46,Trigger),"--")</f>
        <v>43353</v>
      </c>
      <c r="S46" s="4" t="str">
        <f t="shared" si="14"/>
        <v/>
      </c>
      <c r="T46" s="4" t="e">
        <v>#N/A</v>
      </c>
      <c r="U46" s="4" t="str">
        <f>IFERROR(_xll.qlRateHelperQuoteName(T46,Trigger),"")</f>
        <v/>
      </c>
      <c r="V46" s="70" t="str">
        <f>IFERROR(_xll.qlRateHelperRate(T46,Trigger),"")</f>
        <v/>
      </c>
      <c r="W46" s="104" t="str">
        <f>IF(ISERROR(_xll.qlSwapRateHelperSpread($T46)),IF(ISERROR(_xll.qlFuturesRateHelperConvexityAdjustment($T46)),"",_xll.qlFuturesRateHelperConvexityAdjustment($T46)),_xll.qlSwapRateHelperSpread($T46))</f>
        <v/>
      </c>
      <c r="X46" s="5" t="str">
        <f>IFERROR(_xll.qlRateHelperEarliestDate(T46,Trigger),"")</f>
        <v/>
      </c>
      <c r="Y46" s="5" t="str">
        <f>IFERROR(_xll.qlRateHelperPillarDate(T46,Trigger),"")</f>
        <v/>
      </c>
      <c r="Z46" s="70" t="e">
        <v>#N/A</v>
      </c>
      <c r="AA46" s="77" t="e">
        <v>#N/A</v>
      </c>
      <c r="AB46" s="169" t="e">
        <v>#N/A</v>
      </c>
      <c r="AC46" s="170" t="e">
        <v>#N/A</v>
      </c>
      <c r="AD46" s="172" t="e">
        <f t="shared" si="2"/>
        <v>#N/A</v>
      </c>
      <c r="AE46" s="174" t="e">
        <v>#N/A</v>
      </c>
      <c r="AF46" s="173" t="e">
        <f t="shared" si="3"/>
        <v>#N/A</v>
      </c>
      <c r="AG46" s="170"/>
    </row>
    <row r="47" spans="1:33" ht="11.25" customHeight="1" x14ac:dyDescent="0.2">
      <c r="A47" s="59" t="s">
        <v>118</v>
      </c>
      <c r="B47" s="60" t="s">
        <v>50</v>
      </c>
      <c r="C47" s="61">
        <v>2</v>
      </c>
      <c r="D47" s="62" t="str">
        <f t="shared" si="12"/>
        <v>Eonia</v>
      </c>
      <c r="E47" s="63" t="str">
        <f t="shared" si="13"/>
        <v>EUR1EON3E18M_LCHQuote</v>
      </c>
      <c r="F47" s="176">
        <v>0</v>
      </c>
      <c r="G47" s="64" t="str">
        <f>_xll.qlOISRateHelper(,$C47,$B47,$E47,$D47,,Permanent,Trigger,ObjectOverwrite)</f>
        <v>obj_00664#0001</v>
      </c>
      <c r="I47" s="10" t="str">
        <f t="shared" si="10"/>
        <v>BasSw</v>
      </c>
      <c r="J47" s="94" t="str">
        <f t="shared" si="11"/>
        <v>obj_0064b#0001</v>
      </c>
      <c r="K47" s="146" t="str">
        <f>IFERROR(_xll.qlRateHelperQuoteName(J47,Trigger),"--")</f>
        <v>EUR1EON3E4Y_LCHQuote</v>
      </c>
      <c r="L47" s="98">
        <f>IFERROR(_xll.qlRateHelperQuoteValue($J47,Trigger),"--")</f>
        <v>1.0133329999999999E-4</v>
      </c>
      <c r="M47" s="97" t="b">
        <v>1</v>
      </c>
      <c r="N47" s="94">
        <v>50</v>
      </c>
      <c r="O47" s="94">
        <v>1</v>
      </c>
      <c r="P47" s="99">
        <f>IFERROR(_xll.qlRateHelperEarliestDate(J47,Trigger),"--")</f>
        <v>42256</v>
      </c>
      <c r="Q47" s="99">
        <f>IFERROR(_xll.qlRateHelperPillarDate(J47,Trigger),"--")</f>
        <v>43717</v>
      </c>
      <c r="S47" s="4" t="str">
        <f t="shared" si="14"/>
        <v/>
      </c>
      <c r="T47" s="4" t="e">
        <v>#N/A</v>
      </c>
      <c r="U47" s="4" t="str">
        <f>IFERROR(_xll.qlRateHelperQuoteName(T47,Trigger),"")</f>
        <v/>
      </c>
      <c r="V47" s="70" t="str">
        <f>IFERROR(_xll.qlRateHelperRate(T47,Trigger),"")</f>
        <v/>
      </c>
      <c r="W47" s="104" t="str">
        <f>IF(ISERROR(_xll.qlSwapRateHelperSpread($T47)),IF(ISERROR(_xll.qlFuturesRateHelperConvexityAdjustment($T47)),"",_xll.qlFuturesRateHelperConvexityAdjustment($T47)),_xll.qlSwapRateHelperSpread($T47))</f>
        <v/>
      </c>
      <c r="X47" s="5" t="str">
        <f>IFERROR(_xll.qlRateHelperEarliestDate(T47,Trigger),"")</f>
        <v/>
      </c>
      <c r="Y47" s="5" t="str">
        <f>IFERROR(_xll.qlRateHelperPillarDate(T47,Trigger),"")</f>
        <v/>
      </c>
      <c r="Z47" s="70" t="e">
        <v>#N/A</v>
      </c>
      <c r="AA47" s="77" t="e">
        <v>#N/A</v>
      </c>
      <c r="AB47" s="169" t="e">
        <v>#N/A</v>
      </c>
      <c r="AC47" s="170" t="e">
        <v>#N/A</v>
      </c>
      <c r="AD47" s="172" t="e">
        <f t="shared" si="2"/>
        <v>#N/A</v>
      </c>
      <c r="AE47" s="174" t="e">
        <v>#N/A</v>
      </c>
      <c r="AF47" s="173" t="e">
        <f t="shared" si="3"/>
        <v>#N/A</v>
      </c>
      <c r="AG47" s="170"/>
    </row>
    <row r="48" spans="1:33" ht="11.25" customHeight="1" x14ac:dyDescent="0.2">
      <c r="A48" s="59" t="s">
        <v>118</v>
      </c>
      <c r="B48" s="60" t="s">
        <v>51</v>
      </c>
      <c r="C48" s="61">
        <v>2</v>
      </c>
      <c r="D48" s="62" t="str">
        <f t="shared" si="12"/>
        <v>Eonia</v>
      </c>
      <c r="E48" s="63" t="str">
        <f t="shared" si="13"/>
        <v>EUR1EON3E21M_LCHQuote</v>
      </c>
      <c r="F48" s="176">
        <v>0</v>
      </c>
      <c r="G48" s="64" t="str">
        <f>_xll.qlOISRateHelper(,$C48,$B48,$E48,$D48,,Permanent,Trigger,ObjectOverwrite)</f>
        <v>obj_00649#0001</v>
      </c>
      <c r="I48" s="10" t="str">
        <f t="shared" si="10"/>
        <v>BasSw</v>
      </c>
      <c r="J48" s="94" t="str">
        <f t="shared" si="11"/>
        <v>obj_0064c#0001</v>
      </c>
      <c r="K48" s="146" t="str">
        <f>IFERROR(_xll.qlRateHelperQuoteName(J48,Trigger),"--")</f>
        <v>EUR1EON3E5Y_LCHQuote</v>
      </c>
      <c r="L48" s="98">
        <f>IFERROR(_xll.qlRateHelperQuoteValue($J48,Trigger),"--")</f>
        <v>1.2237000000000001E-3</v>
      </c>
      <c r="M48" s="97" t="b">
        <v>1</v>
      </c>
      <c r="N48" s="94">
        <v>50</v>
      </c>
      <c r="O48" s="94">
        <v>1</v>
      </c>
      <c r="P48" s="99">
        <f>IFERROR(_xll.qlRateHelperEarliestDate(J48,Trigger),"--")</f>
        <v>42256</v>
      </c>
      <c r="Q48" s="99">
        <f>IFERROR(_xll.qlRateHelperPillarDate(J48,Trigger),"--")</f>
        <v>44083</v>
      </c>
      <c r="S48" s="4" t="str">
        <f t="shared" si="14"/>
        <v/>
      </c>
      <c r="T48" s="4" t="e">
        <v>#N/A</v>
      </c>
      <c r="U48" s="4" t="str">
        <f>IFERROR(_xll.qlRateHelperQuoteName(T48,Trigger),"")</f>
        <v/>
      </c>
      <c r="V48" s="70" t="str">
        <f>IFERROR(_xll.qlRateHelperRate(T48,Trigger),"")</f>
        <v/>
      </c>
      <c r="W48" s="104" t="str">
        <f>IF(ISERROR(_xll.qlSwapRateHelperSpread($T48)),IF(ISERROR(_xll.qlFuturesRateHelperConvexityAdjustment($T48)),"",_xll.qlFuturesRateHelperConvexityAdjustment($T48)),_xll.qlSwapRateHelperSpread($T48))</f>
        <v/>
      </c>
      <c r="X48" s="5" t="str">
        <f>IFERROR(_xll.qlRateHelperEarliestDate(T48,Trigger),"")</f>
        <v/>
      </c>
      <c r="Y48" s="5" t="str">
        <f>IFERROR(_xll.qlRateHelperPillarDate(T48,Trigger),"")</f>
        <v/>
      </c>
      <c r="Z48" s="70" t="e">
        <v>#N/A</v>
      </c>
      <c r="AA48" s="77" t="e">
        <v>#N/A</v>
      </c>
      <c r="AB48" s="169" t="e">
        <v>#N/A</v>
      </c>
      <c r="AC48" s="170" t="e">
        <v>#N/A</v>
      </c>
      <c r="AD48" s="172" t="e">
        <f t="shared" si="2"/>
        <v>#N/A</v>
      </c>
      <c r="AE48" s="174" t="e">
        <v>#N/A</v>
      </c>
      <c r="AF48" s="173" t="e">
        <f t="shared" si="3"/>
        <v>#N/A</v>
      </c>
      <c r="AG48" s="170"/>
    </row>
    <row r="49" spans="1:33" ht="11.25" customHeight="1" x14ac:dyDescent="0.2">
      <c r="A49" s="59" t="s">
        <v>118</v>
      </c>
      <c r="B49" s="60" t="s">
        <v>52</v>
      </c>
      <c r="C49" s="61">
        <v>2</v>
      </c>
      <c r="D49" s="62" t="str">
        <f t="shared" si="12"/>
        <v>Eonia</v>
      </c>
      <c r="E49" s="63" t="str">
        <f t="shared" ref="E49:E63" si="15">IF(LCHQuoteOverwrite,Currency&amp;"1EON3E"&amp;B49&amp;LCHQuoteSuffix,Currency&amp;"1EON3E"&amp;B49&amp;QuoteSuffix)</f>
        <v>EUR1EON3E2Y_LCHQuote</v>
      </c>
      <c r="F49" s="176">
        <v>0</v>
      </c>
      <c r="G49" s="64" t="str">
        <f>_xll.qlOISRateHelper(,$C49,$B49,$E49,$D49,,Permanent,Trigger,ObjectOverwrite)</f>
        <v>obj_0065e#0001</v>
      </c>
      <c r="I49" s="10" t="str">
        <f t="shared" si="10"/>
        <v>BasSw</v>
      </c>
      <c r="J49" s="94" t="str">
        <f t="shared" si="11"/>
        <v>obj_00658#0001</v>
      </c>
      <c r="K49" s="146" t="str">
        <f>IFERROR(_xll.qlRateHelperQuoteName(J49,Trigger),"--")</f>
        <v>EUR1EON3E6Y_LCHQuote</v>
      </c>
      <c r="L49" s="98">
        <f>IFERROR(_xll.qlRateHelperQuoteValue($J49,Trigger),"--")</f>
        <v>2.5276500000000002E-3</v>
      </c>
      <c r="M49" s="97" t="b">
        <v>1</v>
      </c>
      <c r="N49" s="94">
        <v>50</v>
      </c>
      <c r="O49" s="94">
        <v>1</v>
      </c>
      <c r="P49" s="99">
        <f>IFERROR(_xll.qlRateHelperEarliestDate(J49,Trigger),"--")</f>
        <v>42256</v>
      </c>
      <c r="Q49" s="99">
        <f>IFERROR(_xll.qlRateHelperPillarDate(J49,Trigger),"--")</f>
        <v>44448</v>
      </c>
      <c r="S49" s="4" t="str">
        <f t="shared" si="14"/>
        <v/>
      </c>
      <c r="T49" s="4" t="e">
        <v>#N/A</v>
      </c>
      <c r="U49" s="4" t="str">
        <f>IFERROR(_xll.qlRateHelperQuoteName(T49,Trigger),"")</f>
        <v/>
      </c>
      <c r="V49" s="70" t="str">
        <f>IFERROR(_xll.qlRateHelperRate(T49,Trigger),"")</f>
        <v/>
      </c>
      <c r="W49" s="104" t="str">
        <f>IF(ISERROR(_xll.qlSwapRateHelperSpread($T49)),IF(ISERROR(_xll.qlFuturesRateHelperConvexityAdjustment($T49)),"",_xll.qlFuturesRateHelperConvexityAdjustment($T49)),_xll.qlSwapRateHelperSpread($T49))</f>
        <v/>
      </c>
      <c r="X49" s="5" t="str">
        <f>IFERROR(_xll.qlRateHelperEarliestDate(T49,Trigger),"")</f>
        <v/>
      </c>
      <c r="Y49" s="5" t="str">
        <f>IFERROR(_xll.qlRateHelperPillarDate(T49,Trigger),"")</f>
        <v/>
      </c>
      <c r="Z49" s="70" t="e">
        <v>#N/A</v>
      </c>
      <c r="AA49" s="77" t="e">
        <v>#N/A</v>
      </c>
      <c r="AB49" s="169" t="e">
        <v>#N/A</v>
      </c>
      <c r="AC49" s="170" t="e">
        <v>#N/A</v>
      </c>
      <c r="AD49" s="172" t="e">
        <f t="shared" si="2"/>
        <v>#N/A</v>
      </c>
      <c r="AE49" s="174" t="e">
        <v>#N/A</v>
      </c>
      <c r="AF49" s="173" t="e">
        <f t="shared" si="3"/>
        <v>#N/A</v>
      </c>
      <c r="AG49" s="170"/>
    </row>
    <row r="50" spans="1:33" ht="11.25" customHeight="1" x14ac:dyDescent="0.2">
      <c r="A50" s="59" t="s">
        <v>118</v>
      </c>
      <c r="B50" s="60" t="s">
        <v>53</v>
      </c>
      <c r="C50" s="61">
        <v>2</v>
      </c>
      <c r="D50" s="62" t="str">
        <f t="shared" si="12"/>
        <v>Eonia</v>
      </c>
      <c r="E50" s="63" t="str">
        <f t="shared" si="15"/>
        <v>EUR1EON3E3Y_LCHQuote</v>
      </c>
      <c r="F50" s="176">
        <v>0</v>
      </c>
      <c r="G50" s="64" t="str">
        <f>_xll.qlOISRateHelper(,$C50,$B50,$E50,$D50,,Permanent,Trigger,ObjectOverwrite)</f>
        <v>obj_00692#0001</v>
      </c>
      <c r="I50" s="10" t="str">
        <f t="shared" si="10"/>
        <v>BasSw</v>
      </c>
      <c r="J50" s="94" t="str">
        <f t="shared" si="11"/>
        <v>obj_00661#0001</v>
      </c>
      <c r="K50" s="146" t="str">
        <f>IFERROR(_xll.qlRateHelperQuoteName(J50,Trigger),"--")</f>
        <v>EUR1EON3E7Y_LCHQuote</v>
      </c>
      <c r="L50" s="98">
        <f>IFERROR(_xll.qlRateHelperQuoteValue($J50,Trigger),"--")</f>
        <v>3.90245E-3</v>
      </c>
      <c r="M50" s="97" t="b">
        <v>1</v>
      </c>
      <c r="N50" s="94">
        <v>50</v>
      </c>
      <c r="O50" s="94">
        <v>1</v>
      </c>
      <c r="P50" s="99">
        <f>IFERROR(_xll.qlRateHelperEarliestDate(J50,Trigger),"--")</f>
        <v>42256</v>
      </c>
      <c r="Q50" s="99">
        <f>IFERROR(_xll.qlRateHelperPillarDate(J50,Trigger),"--")</f>
        <v>44813</v>
      </c>
      <c r="S50" s="4" t="str">
        <f t="shared" si="14"/>
        <v/>
      </c>
      <c r="T50" s="4" t="e">
        <v>#N/A</v>
      </c>
      <c r="U50" s="4" t="str">
        <f>IFERROR(_xll.qlRateHelperQuoteName(T50,Trigger),"")</f>
        <v/>
      </c>
      <c r="V50" s="70" t="str">
        <f>IFERROR(_xll.qlRateHelperRate(T50,Trigger),"")</f>
        <v/>
      </c>
      <c r="W50" s="104" t="str">
        <f>IF(ISERROR(_xll.qlSwapRateHelperSpread($T50)),IF(ISERROR(_xll.qlFuturesRateHelperConvexityAdjustment($T50)),"",_xll.qlFuturesRateHelperConvexityAdjustment($T50)),_xll.qlSwapRateHelperSpread($T50))</f>
        <v/>
      </c>
      <c r="X50" s="5" t="str">
        <f>IFERROR(_xll.qlRateHelperEarliestDate(T50,Trigger),"")</f>
        <v/>
      </c>
      <c r="Y50" s="5" t="str">
        <f>IFERROR(_xll.qlRateHelperPillarDate(T50,Trigger),"")</f>
        <v/>
      </c>
      <c r="Z50" s="70" t="e">
        <v>#N/A</v>
      </c>
      <c r="AA50" s="77" t="e">
        <v>#N/A</v>
      </c>
      <c r="AB50" s="169" t="e">
        <v>#N/A</v>
      </c>
      <c r="AC50" s="170" t="e">
        <v>#N/A</v>
      </c>
      <c r="AD50" s="172" t="e">
        <f t="shared" si="2"/>
        <v>#N/A</v>
      </c>
      <c r="AE50" s="174" t="e">
        <v>#N/A</v>
      </c>
      <c r="AF50" s="173" t="e">
        <f t="shared" si="3"/>
        <v>#N/A</v>
      </c>
      <c r="AG50" s="170"/>
    </row>
    <row r="51" spans="1:33" ht="11.25" customHeight="1" x14ac:dyDescent="0.2">
      <c r="A51" s="59" t="s">
        <v>118</v>
      </c>
      <c r="B51" s="60" t="s">
        <v>54</v>
      </c>
      <c r="C51" s="61">
        <v>2</v>
      </c>
      <c r="D51" s="62" t="str">
        <f t="shared" si="12"/>
        <v>Eonia</v>
      </c>
      <c r="E51" s="63" t="str">
        <f t="shared" si="15"/>
        <v>EUR1EON3E4Y_LCHQuote</v>
      </c>
      <c r="F51" s="176">
        <v>0</v>
      </c>
      <c r="G51" s="64" t="str">
        <f>_xll.qlOISRateHelper(,$C51,$B51,$E51,$D51,,Permanent,Trigger,ObjectOverwrite)</f>
        <v>obj_0064b#0001</v>
      </c>
      <c r="I51" s="10" t="str">
        <f t="shared" si="10"/>
        <v>BasSw</v>
      </c>
      <c r="J51" s="94" t="str">
        <f t="shared" si="11"/>
        <v>obj_00676#0001</v>
      </c>
      <c r="K51" s="146" t="str">
        <f>IFERROR(_xll.qlRateHelperQuoteName(J51,Trigger),"--")</f>
        <v>EUR1EON3E8Y_LCHQuote</v>
      </c>
      <c r="L51" s="98">
        <f>IFERROR(_xll.qlRateHelperQuoteValue($J51,Trigger),"--")</f>
        <v>5.2477499999999998E-3</v>
      </c>
      <c r="M51" s="97" t="b">
        <v>1</v>
      </c>
      <c r="N51" s="94">
        <v>50</v>
      </c>
      <c r="O51" s="94">
        <v>1</v>
      </c>
      <c r="P51" s="99">
        <f>IFERROR(_xll.qlRateHelperEarliestDate(J51,Trigger),"--")</f>
        <v>42256</v>
      </c>
      <c r="Q51" s="99">
        <f>IFERROR(_xll.qlRateHelperPillarDate(J51,Trigger),"--")</f>
        <v>45180</v>
      </c>
      <c r="S51" s="4" t="str">
        <f t="shared" si="14"/>
        <v/>
      </c>
      <c r="T51" s="4" t="e">
        <v>#N/A</v>
      </c>
      <c r="U51" s="4" t="str">
        <f>IFERROR(_xll.qlRateHelperQuoteName(T51,Trigger),"")</f>
        <v/>
      </c>
      <c r="V51" s="70" t="str">
        <f>IFERROR(_xll.qlRateHelperRate(T51,Trigger),"")</f>
        <v/>
      </c>
      <c r="W51" s="104" t="str">
        <f>IF(ISERROR(_xll.qlSwapRateHelperSpread($T51)),IF(ISERROR(_xll.qlFuturesRateHelperConvexityAdjustment($T51)),"",_xll.qlFuturesRateHelperConvexityAdjustment($T51)),_xll.qlSwapRateHelperSpread($T51))</f>
        <v/>
      </c>
      <c r="X51" s="5" t="str">
        <f>IFERROR(_xll.qlRateHelperEarliestDate(T51,Trigger),"")</f>
        <v/>
      </c>
      <c r="Y51" s="5" t="str">
        <f>IFERROR(_xll.qlRateHelperPillarDate(T51,Trigger),"")</f>
        <v/>
      </c>
      <c r="Z51" s="70" t="e">
        <v>#N/A</v>
      </c>
      <c r="AA51" s="77" t="e">
        <v>#N/A</v>
      </c>
      <c r="AB51" s="169" t="e">
        <v>#N/A</v>
      </c>
      <c r="AC51" s="170" t="e">
        <v>#N/A</v>
      </c>
      <c r="AD51" s="172" t="e">
        <f t="shared" si="2"/>
        <v>#N/A</v>
      </c>
      <c r="AE51" s="174" t="e">
        <v>#N/A</v>
      </c>
      <c r="AF51" s="173" t="e">
        <f t="shared" si="3"/>
        <v>#N/A</v>
      </c>
      <c r="AG51" s="170"/>
    </row>
    <row r="52" spans="1:33" ht="11.25" customHeight="1" x14ac:dyDescent="0.2">
      <c r="A52" s="59" t="s">
        <v>118</v>
      </c>
      <c r="B52" s="60" t="s">
        <v>55</v>
      </c>
      <c r="C52" s="61">
        <v>2</v>
      </c>
      <c r="D52" s="62" t="str">
        <f t="shared" si="12"/>
        <v>Eonia</v>
      </c>
      <c r="E52" s="63" t="str">
        <f t="shared" si="15"/>
        <v>EUR1EON3E5Y_LCHQuote</v>
      </c>
      <c r="F52" s="176">
        <v>0</v>
      </c>
      <c r="G52" s="64" t="str">
        <f>_xll.qlOISRateHelper(,$C52,$B52,$E52,$D52,,Permanent,Trigger,ObjectOverwrite)</f>
        <v>obj_0064c#0001</v>
      </c>
      <c r="I52" s="10" t="str">
        <f t="shared" si="10"/>
        <v>BasSw</v>
      </c>
      <c r="J52" s="94" t="str">
        <f t="shared" si="11"/>
        <v>obj_00687#0001</v>
      </c>
      <c r="K52" s="146" t="str">
        <f>IFERROR(_xll.qlRateHelperQuoteName(J52,Trigger),"--")</f>
        <v>EUR1EON3E9Y_LCHQuote</v>
      </c>
      <c r="L52" s="98">
        <f>IFERROR(_xll.qlRateHelperQuoteValue($J52,Trigger),"--")</f>
        <v>6.4872999999999997E-3</v>
      </c>
      <c r="M52" s="97" t="b">
        <v>1</v>
      </c>
      <c r="N52" s="94">
        <v>50</v>
      </c>
      <c r="O52" s="94">
        <v>1</v>
      </c>
      <c r="P52" s="99">
        <f>IFERROR(_xll.qlRateHelperEarliestDate(J52,Trigger),"--")</f>
        <v>42256</v>
      </c>
      <c r="Q52" s="99">
        <f>IFERROR(_xll.qlRateHelperPillarDate(J52,Trigger),"--")</f>
        <v>45544</v>
      </c>
      <c r="S52" s="4" t="str">
        <f t="shared" si="14"/>
        <v/>
      </c>
      <c r="T52" s="4" t="e">
        <v>#N/A</v>
      </c>
      <c r="U52" s="4" t="str">
        <f>IFERROR(_xll.qlRateHelperQuoteName(T52,Trigger),"")</f>
        <v/>
      </c>
      <c r="V52" s="70" t="str">
        <f>IFERROR(_xll.qlRateHelperRate(T52,Trigger),"")</f>
        <v/>
      </c>
      <c r="W52" s="104" t="str">
        <f>IF(ISERROR(_xll.qlSwapRateHelperSpread($T52)),IF(ISERROR(_xll.qlFuturesRateHelperConvexityAdjustment($T52)),"",_xll.qlFuturesRateHelperConvexityAdjustment($T52)),_xll.qlSwapRateHelperSpread($T52))</f>
        <v/>
      </c>
      <c r="X52" s="5" t="str">
        <f>IFERROR(_xll.qlRateHelperEarliestDate(T52,Trigger),"")</f>
        <v/>
      </c>
      <c r="Y52" s="5" t="str">
        <f>IFERROR(_xll.qlRateHelperPillarDate(T52,Trigger),"")</f>
        <v/>
      </c>
      <c r="Z52" s="70" t="e">
        <v>#N/A</v>
      </c>
      <c r="AA52" s="77" t="e">
        <v>#N/A</v>
      </c>
      <c r="AB52" s="169" t="e">
        <v>#N/A</v>
      </c>
      <c r="AC52" s="170" t="e">
        <v>#N/A</v>
      </c>
      <c r="AD52" s="172" t="e">
        <f t="shared" si="2"/>
        <v>#N/A</v>
      </c>
      <c r="AE52" s="174" t="e">
        <v>#N/A</v>
      </c>
      <c r="AF52" s="173" t="e">
        <f t="shared" si="3"/>
        <v>#N/A</v>
      </c>
      <c r="AG52" s="170"/>
    </row>
    <row r="53" spans="1:33" ht="11.25" customHeight="1" x14ac:dyDescent="0.2">
      <c r="A53" s="59" t="s">
        <v>118</v>
      </c>
      <c r="B53" s="60" t="s">
        <v>56</v>
      </c>
      <c r="C53" s="61">
        <v>2</v>
      </c>
      <c r="D53" s="62" t="str">
        <f t="shared" si="12"/>
        <v>Eonia</v>
      </c>
      <c r="E53" s="63" t="str">
        <f t="shared" si="15"/>
        <v>EUR1EON3E6Y_LCHQuote</v>
      </c>
      <c r="F53" s="176">
        <v>0</v>
      </c>
      <c r="G53" s="64" t="str">
        <f>_xll.qlOISRateHelper(,$C53,$B53,$E53,$D53,,Permanent,Trigger,ObjectOverwrite)</f>
        <v>obj_00658#0001</v>
      </c>
      <c r="I53" s="10" t="str">
        <f t="shared" si="10"/>
        <v>BasSw</v>
      </c>
      <c r="J53" s="94" t="str">
        <f t="shared" si="11"/>
        <v>obj_0066a#0001</v>
      </c>
      <c r="K53" s="146" t="str">
        <f>IFERROR(_xll.qlRateHelperQuoteName(J53,Trigger),"--")</f>
        <v>EUR1EON3E10Y_LCHQuote</v>
      </c>
      <c r="L53" s="98">
        <f>IFERROR(_xll.qlRateHelperQuoteValue($J53,Trigger),"--")</f>
        <v>7.6016E-3</v>
      </c>
      <c r="M53" s="97" t="b">
        <v>1</v>
      </c>
      <c r="N53" s="94">
        <v>50</v>
      </c>
      <c r="O53" s="94">
        <v>1</v>
      </c>
      <c r="P53" s="99">
        <f>IFERROR(_xll.qlRateHelperEarliestDate(J53,Trigger),"--")</f>
        <v>42256</v>
      </c>
      <c r="Q53" s="99">
        <f>IFERROR(_xll.qlRateHelperPillarDate(J53,Trigger),"--")</f>
        <v>45909</v>
      </c>
      <c r="S53" s="4" t="str">
        <f t="shared" si="14"/>
        <v/>
      </c>
      <c r="T53" s="4" t="e">
        <v>#N/A</v>
      </c>
      <c r="U53" s="4" t="str">
        <f>IFERROR(_xll.qlRateHelperQuoteName(T53,Trigger),"")</f>
        <v/>
      </c>
      <c r="V53" s="70" t="str">
        <f>IFERROR(_xll.qlRateHelperRate(T53,Trigger),"")</f>
        <v/>
      </c>
      <c r="W53" s="104" t="str">
        <f>IF(ISERROR(_xll.qlSwapRateHelperSpread($T53)),IF(ISERROR(_xll.qlFuturesRateHelperConvexityAdjustment($T53)),"",_xll.qlFuturesRateHelperConvexityAdjustment($T53)),_xll.qlSwapRateHelperSpread($T53))</f>
        <v/>
      </c>
      <c r="X53" s="5" t="str">
        <f>IFERROR(_xll.qlRateHelperEarliestDate(T53,Trigger),"")</f>
        <v/>
      </c>
      <c r="Y53" s="5" t="str">
        <f>IFERROR(_xll.qlRateHelperPillarDate(T53,Trigger),"")</f>
        <v/>
      </c>
      <c r="Z53" s="70" t="e">
        <v>#N/A</v>
      </c>
      <c r="AA53" s="77" t="e">
        <v>#N/A</v>
      </c>
      <c r="AB53" s="169" t="e">
        <v>#N/A</v>
      </c>
      <c r="AC53" s="170" t="e">
        <v>#N/A</v>
      </c>
      <c r="AD53" s="172" t="e">
        <f t="shared" si="2"/>
        <v>#N/A</v>
      </c>
      <c r="AE53" s="174" t="e">
        <v>#N/A</v>
      </c>
      <c r="AF53" s="173" t="e">
        <f t="shared" si="3"/>
        <v>#N/A</v>
      </c>
      <c r="AG53" s="170"/>
    </row>
    <row r="54" spans="1:33" ht="11.25" customHeight="1" x14ac:dyDescent="0.2">
      <c r="A54" s="59" t="s">
        <v>118</v>
      </c>
      <c r="B54" s="60" t="s">
        <v>57</v>
      </c>
      <c r="C54" s="61">
        <v>2</v>
      </c>
      <c r="D54" s="62" t="str">
        <f t="shared" si="12"/>
        <v>Eonia</v>
      </c>
      <c r="E54" s="63" t="str">
        <f t="shared" si="15"/>
        <v>EUR1EON3E7Y_LCHQuote</v>
      </c>
      <c r="F54" s="176">
        <v>0</v>
      </c>
      <c r="G54" s="64" t="str">
        <f>_xll.qlOISRateHelper(,$C54,$B54,$E54,$D54,,Permanent,Trigger,ObjectOverwrite)</f>
        <v>obj_00661#0001</v>
      </c>
      <c r="I54" s="10" t="str">
        <f t="shared" si="10"/>
        <v>BasSw</v>
      </c>
      <c r="J54" s="94" t="str">
        <f t="shared" si="11"/>
        <v>obj_00662#0001</v>
      </c>
      <c r="K54" s="146" t="str">
        <f>IFERROR(_xll.qlRateHelperQuoteName(J54,Trigger),"--")</f>
        <v>EUR1EON3E11Y_LCHQuote</v>
      </c>
      <c r="L54" s="98" t="str">
        <f>IFERROR(_xll.qlRateHelperQuoteValue($J54,Trigger),"--")</f>
        <v>--</v>
      </c>
      <c r="M54" s="97" t="b">
        <v>0</v>
      </c>
      <c r="N54" s="94">
        <v>50</v>
      </c>
      <c r="O54" s="94">
        <v>1</v>
      </c>
      <c r="P54" s="99">
        <f>IFERROR(_xll.qlRateHelperEarliestDate(J54,Trigger),"--")</f>
        <v>42256</v>
      </c>
      <c r="Q54" s="99">
        <f>IFERROR(_xll.qlRateHelperPillarDate(J54,Trigger),"--")</f>
        <v>46274</v>
      </c>
      <c r="S54" s="4" t="str">
        <f t="shared" si="14"/>
        <v/>
      </c>
      <c r="T54" s="4" t="e">
        <v>#N/A</v>
      </c>
      <c r="U54" s="4" t="str">
        <f>IFERROR(_xll.qlRateHelperQuoteName(T54,Trigger),"")</f>
        <v/>
      </c>
      <c r="V54" s="70" t="str">
        <f>IFERROR(_xll.qlRateHelperRate(T54,Trigger),"")</f>
        <v/>
      </c>
      <c r="W54" s="104" t="str">
        <f>IF(ISERROR(_xll.qlSwapRateHelperSpread($T54)),IF(ISERROR(_xll.qlFuturesRateHelperConvexityAdjustment($T54)),"",_xll.qlFuturesRateHelperConvexityAdjustment($T54)),_xll.qlSwapRateHelperSpread($T54))</f>
        <v/>
      </c>
      <c r="X54" s="5" t="str">
        <f>IFERROR(_xll.qlRateHelperEarliestDate(T54,Trigger),"")</f>
        <v/>
      </c>
      <c r="Y54" s="5" t="str">
        <f>IFERROR(_xll.qlRateHelperPillarDate(T54,Trigger),"")</f>
        <v/>
      </c>
      <c r="Z54" s="70" t="e">
        <v>#N/A</v>
      </c>
      <c r="AA54" s="77" t="e">
        <v>#N/A</v>
      </c>
      <c r="AB54" s="169" t="e">
        <v>#N/A</v>
      </c>
      <c r="AC54" s="170" t="e">
        <v>#N/A</v>
      </c>
      <c r="AD54" s="172" t="e">
        <f t="shared" si="2"/>
        <v>#N/A</v>
      </c>
      <c r="AE54" s="174" t="e">
        <v>#N/A</v>
      </c>
      <c r="AF54" s="173" t="e">
        <f t="shared" si="3"/>
        <v>#N/A</v>
      </c>
      <c r="AG54" s="170"/>
    </row>
    <row r="55" spans="1:33" ht="11.25" customHeight="1" x14ac:dyDescent="0.2">
      <c r="A55" s="59" t="s">
        <v>118</v>
      </c>
      <c r="B55" s="60" t="s">
        <v>58</v>
      </c>
      <c r="C55" s="61">
        <v>2</v>
      </c>
      <c r="D55" s="62" t="str">
        <f t="shared" si="12"/>
        <v>Eonia</v>
      </c>
      <c r="E55" s="63" t="str">
        <f t="shared" si="15"/>
        <v>EUR1EON3E8Y_LCHQuote</v>
      </c>
      <c r="F55" s="176">
        <v>0</v>
      </c>
      <c r="G55" s="64" t="str">
        <f>_xll.qlOISRateHelper(,$C55,$B55,$E55,$D55,,Permanent,Trigger,ObjectOverwrite)</f>
        <v>obj_00676#0001</v>
      </c>
      <c r="I55" s="10" t="str">
        <f t="shared" si="10"/>
        <v>BasSw</v>
      </c>
      <c r="J55" s="94" t="str">
        <f t="shared" si="11"/>
        <v>obj_00671#0001</v>
      </c>
      <c r="K55" s="146" t="str">
        <f>IFERROR(_xll.qlRateHelperQuoteName(J55,Trigger),"--")</f>
        <v>EUR1EON3E12Y_LCHQuote</v>
      </c>
      <c r="L55" s="98">
        <f>IFERROR(_xll.qlRateHelperQuoteValue($J55,Trigger),"--")</f>
        <v>9.5183000000000004E-3</v>
      </c>
      <c r="M55" s="97" t="b">
        <v>1</v>
      </c>
      <c r="N55" s="94">
        <v>50</v>
      </c>
      <c r="O55" s="94">
        <v>1</v>
      </c>
      <c r="P55" s="99">
        <f>IFERROR(_xll.qlRateHelperEarliestDate(J55,Trigger),"--")</f>
        <v>42256</v>
      </c>
      <c r="Q55" s="99">
        <f>IFERROR(_xll.qlRateHelperPillarDate(J55,Trigger),"--")</f>
        <v>46639</v>
      </c>
      <c r="S55" s="4" t="str">
        <f t="shared" si="14"/>
        <v/>
      </c>
      <c r="T55" s="4" t="e">
        <v>#N/A</v>
      </c>
      <c r="U55" s="4" t="str">
        <f>IFERROR(_xll.qlRateHelperQuoteName(T55,Trigger),"")</f>
        <v/>
      </c>
      <c r="V55" s="70" t="str">
        <f>IFERROR(_xll.qlRateHelperRate(T55,Trigger),"")</f>
        <v/>
      </c>
      <c r="W55" s="104" t="str">
        <f>IF(ISERROR(_xll.qlSwapRateHelperSpread($T55)),IF(ISERROR(_xll.qlFuturesRateHelperConvexityAdjustment($T55)),"",_xll.qlFuturesRateHelperConvexityAdjustment($T55)),_xll.qlSwapRateHelperSpread($T55))</f>
        <v/>
      </c>
      <c r="X55" s="5" t="str">
        <f>IFERROR(_xll.qlRateHelperEarliestDate(T55,Trigger),"")</f>
        <v/>
      </c>
      <c r="Y55" s="5" t="str">
        <f>IFERROR(_xll.qlRateHelperPillarDate(T55,Trigger),"")</f>
        <v/>
      </c>
      <c r="Z55" s="70" t="e">
        <v>#N/A</v>
      </c>
      <c r="AA55" s="77" t="e">
        <v>#N/A</v>
      </c>
      <c r="AB55" s="169" t="e">
        <v>#N/A</v>
      </c>
      <c r="AC55" s="170" t="e">
        <v>#N/A</v>
      </c>
      <c r="AD55" s="172" t="e">
        <f t="shared" si="2"/>
        <v>#N/A</v>
      </c>
      <c r="AE55" s="174" t="e">
        <v>#N/A</v>
      </c>
      <c r="AF55" s="173" t="e">
        <f t="shared" si="3"/>
        <v>#N/A</v>
      </c>
      <c r="AG55" s="170"/>
    </row>
    <row r="56" spans="1:33" ht="11.25" customHeight="1" x14ac:dyDescent="0.2">
      <c r="A56" s="59" t="s">
        <v>118</v>
      </c>
      <c r="B56" s="60" t="s">
        <v>59</v>
      </c>
      <c r="C56" s="61">
        <v>2</v>
      </c>
      <c r="D56" s="62" t="str">
        <f t="shared" si="12"/>
        <v>Eonia</v>
      </c>
      <c r="E56" s="63" t="str">
        <f t="shared" si="15"/>
        <v>EUR1EON3E9Y_LCHQuote</v>
      </c>
      <c r="F56" s="176">
        <v>0</v>
      </c>
      <c r="G56" s="64" t="str">
        <f>_xll.qlOISRateHelper(,$C56,$B56,$E56,$D56,,Permanent,Trigger,ObjectOverwrite)</f>
        <v>obj_00687#0001</v>
      </c>
      <c r="I56" s="10" t="str">
        <f t="shared" si="10"/>
        <v>BasSw</v>
      </c>
      <c r="J56" s="94" t="str">
        <f t="shared" si="11"/>
        <v>obj_00680#0001</v>
      </c>
      <c r="K56" s="146" t="str">
        <f>IFERROR(_xll.qlRateHelperQuoteName(J56,Trigger),"--")</f>
        <v>EUR1EON3E13Y_LCHQuote</v>
      </c>
      <c r="L56" s="98" t="str">
        <f>IFERROR(_xll.qlRateHelperQuoteValue($J56,Trigger),"--")</f>
        <v>--</v>
      </c>
      <c r="M56" s="97" t="b">
        <v>0</v>
      </c>
      <c r="N56" s="94">
        <v>50</v>
      </c>
      <c r="O56" s="94">
        <v>1</v>
      </c>
      <c r="P56" s="99">
        <f>IFERROR(_xll.qlRateHelperEarliestDate(J56,Trigger),"--")</f>
        <v>42256</v>
      </c>
      <c r="Q56" s="99">
        <f>IFERROR(_xll.qlRateHelperPillarDate(J56,Trigger),"--")</f>
        <v>47007</v>
      </c>
      <c r="S56" s="4" t="str">
        <f t="shared" si="14"/>
        <v/>
      </c>
      <c r="T56" s="4" t="e">
        <v>#N/A</v>
      </c>
      <c r="U56" s="4" t="str">
        <f>IFERROR(_xll.qlRateHelperQuoteName(T56,Trigger),"")</f>
        <v/>
      </c>
      <c r="V56" s="70" t="str">
        <f>IFERROR(_xll.qlRateHelperRate(T56,Trigger),"")</f>
        <v/>
      </c>
      <c r="W56" s="104" t="str">
        <f>IF(ISERROR(_xll.qlSwapRateHelperSpread($T56)),IF(ISERROR(_xll.qlFuturesRateHelperConvexityAdjustment($T56)),"",_xll.qlFuturesRateHelperConvexityAdjustment($T56)),_xll.qlSwapRateHelperSpread($T56))</f>
        <v/>
      </c>
      <c r="X56" s="5" t="str">
        <f>IFERROR(_xll.qlRateHelperEarliestDate(T56,Trigger),"")</f>
        <v/>
      </c>
      <c r="Y56" s="5" t="str">
        <f>IFERROR(_xll.qlRateHelperPillarDate(T56,Trigger),"")</f>
        <v/>
      </c>
      <c r="Z56" s="70" t="e">
        <v>#N/A</v>
      </c>
      <c r="AA56" s="77" t="e">
        <v>#N/A</v>
      </c>
      <c r="AB56" s="169" t="e">
        <v>#N/A</v>
      </c>
      <c r="AC56" s="170" t="e">
        <v>#N/A</v>
      </c>
      <c r="AD56" s="172" t="e">
        <f t="shared" si="2"/>
        <v>#N/A</v>
      </c>
      <c r="AE56" s="174" t="e">
        <v>#N/A</v>
      </c>
      <c r="AF56" s="173" t="e">
        <f t="shared" si="3"/>
        <v>#N/A</v>
      </c>
      <c r="AG56" s="170"/>
    </row>
    <row r="57" spans="1:33" ht="11.25" customHeight="1" x14ac:dyDescent="0.2">
      <c r="A57" s="59" t="s">
        <v>118</v>
      </c>
      <c r="B57" s="60" t="s">
        <v>60</v>
      </c>
      <c r="C57" s="61">
        <v>2</v>
      </c>
      <c r="D57" s="62" t="str">
        <f t="shared" si="12"/>
        <v>Eonia</v>
      </c>
      <c r="E57" s="63" t="str">
        <f t="shared" si="15"/>
        <v>EUR1EON3E10Y_LCHQuote</v>
      </c>
      <c r="F57" s="176">
        <v>0</v>
      </c>
      <c r="G57" s="64" t="str">
        <f>_xll.qlOISRateHelper(,$C57,$B57,$E57,$D57,,Permanent,Trigger,ObjectOverwrite)</f>
        <v>obj_0066a#0001</v>
      </c>
      <c r="I57" s="10" t="str">
        <f t="shared" si="10"/>
        <v>BasSw</v>
      </c>
      <c r="J57" s="94" t="str">
        <f t="shared" si="11"/>
        <v>obj_0067f#0001</v>
      </c>
      <c r="K57" s="146" t="str">
        <f>IFERROR(_xll.qlRateHelperQuoteName(J57,Trigger),"--")</f>
        <v>EUR1EON3E14Y_LCHQuote</v>
      </c>
      <c r="L57" s="98" t="str">
        <f>IFERROR(_xll.qlRateHelperQuoteValue($J57,Trigger),"--")</f>
        <v>--</v>
      </c>
      <c r="M57" s="97" t="b">
        <v>0</v>
      </c>
      <c r="N57" s="94">
        <v>50</v>
      </c>
      <c r="O57" s="94">
        <v>1</v>
      </c>
      <c r="P57" s="99">
        <f>IFERROR(_xll.qlRateHelperEarliestDate(J57,Trigger),"--")</f>
        <v>42256</v>
      </c>
      <c r="Q57" s="99">
        <f>IFERROR(_xll.qlRateHelperPillarDate(J57,Trigger),"--")</f>
        <v>47371</v>
      </c>
      <c r="S57" s="4" t="str">
        <f t="shared" si="14"/>
        <v/>
      </c>
      <c r="T57" s="4" t="e">
        <v>#N/A</v>
      </c>
      <c r="U57" s="4" t="str">
        <f>IFERROR(_xll.qlRateHelperQuoteName(T57,Trigger),"")</f>
        <v/>
      </c>
      <c r="V57" s="70" t="str">
        <f>IFERROR(_xll.qlRateHelperRate(T57,Trigger),"")</f>
        <v/>
      </c>
      <c r="W57" s="104" t="str">
        <f>IF(ISERROR(_xll.qlSwapRateHelperSpread($T57)),IF(ISERROR(_xll.qlFuturesRateHelperConvexityAdjustment($T57)),"",_xll.qlFuturesRateHelperConvexityAdjustment($T57)),_xll.qlSwapRateHelperSpread($T57))</f>
        <v/>
      </c>
      <c r="X57" s="5" t="str">
        <f>IFERROR(_xll.qlRateHelperEarliestDate(T57,Trigger),"")</f>
        <v/>
      </c>
      <c r="Y57" s="5" t="str">
        <f>IFERROR(_xll.qlRateHelperPillarDate(T57,Trigger),"")</f>
        <v/>
      </c>
      <c r="Z57" s="70" t="e">
        <v>#N/A</v>
      </c>
      <c r="AA57" s="77" t="e">
        <v>#N/A</v>
      </c>
      <c r="AB57" s="169" t="e">
        <v>#N/A</v>
      </c>
      <c r="AC57" s="170" t="e">
        <v>#N/A</v>
      </c>
      <c r="AD57" s="172" t="e">
        <f t="shared" si="2"/>
        <v>#N/A</v>
      </c>
      <c r="AE57" s="174" t="e">
        <v>#N/A</v>
      </c>
      <c r="AF57" s="173" t="e">
        <f t="shared" si="3"/>
        <v>#N/A</v>
      </c>
      <c r="AG57" s="170"/>
    </row>
    <row r="58" spans="1:33" ht="11.25" customHeight="1" x14ac:dyDescent="0.2">
      <c r="A58" s="59" t="s">
        <v>118</v>
      </c>
      <c r="B58" s="60" t="s">
        <v>98</v>
      </c>
      <c r="C58" s="61">
        <v>2</v>
      </c>
      <c r="D58" s="62" t="str">
        <f t="shared" si="12"/>
        <v>Eonia</v>
      </c>
      <c r="E58" s="63" t="str">
        <f t="shared" si="15"/>
        <v>EUR1EON3E11Y_LCHQuote</v>
      </c>
      <c r="F58" s="176">
        <v>0</v>
      </c>
      <c r="G58" s="64" t="str">
        <f>_xll.qlOISRateHelper(,$C58,$B58,$E58,$D58,,Permanent,Trigger,ObjectOverwrite)</f>
        <v>obj_00662#0001</v>
      </c>
      <c r="I58" s="10" t="str">
        <f t="shared" si="10"/>
        <v>BasSw</v>
      </c>
      <c r="J58" s="94" t="str">
        <f t="shared" si="11"/>
        <v>obj_00674#0001</v>
      </c>
      <c r="K58" s="146" t="str">
        <f>IFERROR(_xll.qlRateHelperQuoteName(J58,Trigger),"--")</f>
        <v>EUR1EON3E15Y_LCHQuote</v>
      </c>
      <c r="L58" s="98">
        <f>IFERROR(_xll.qlRateHelperQuoteValue($J58,Trigger),"--")</f>
        <v>1.1520799999999999E-2</v>
      </c>
      <c r="M58" s="97" t="b">
        <v>1</v>
      </c>
      <c r="N58" s="94">
        <v>50</v>
      </c>
      <c r="O58" s="94">
        <v>1</v>
      </c>
      <c r="P58" s="99">
        <f>IFERROR(_xll.qlRateHelperEarliestDate(J58,Trigger),"--")</f>
        <v>42256</v>
      </c>
      <c r="Q58" s="99">
        <f>IFERROR(_xll.qlRateHelperPillarDate(J58,Trigger),"--")</f>
        <v>47735</v>
      </c>
      <c r="S58" s="4" t="str">
        <f t="shared" si="14"/>
        <v/>
      </c>
      <c r="T58" s="4" t="e">
        <v>#N/A</v>
      </c>
      <c r="U58" s="4" t="str">
        <f>IFERROR(_xll.qlRateHelperQuoteName(T58,Trigger),"")</f>
        <v/>
      </c>
      <c r="V58" s="70" t="str">
        <f>IFERROR(_xll.qlRateHelperRate(T58,Trigger),"")</f>
        <v/>
      </c>
      <c r="W58" s="104" t="str">
        <f>IF(ISERROR(_xll.qlSwapRateHelperSpread($T58)),IF(ISERROR(_xll.qlFuturesRateHelperConvexityAdjustment($T58)),"",_xll.qlFuturesRateHelperConvexityAdjustment($T58)),_xll.qlSwapRateHelperSpread($T58))</f>
        <v/>
      </c>
      <c r="X58" s="5" t="str">
        <f>IFERROR(_xll.qlRateHelperEarliestDate(T58,Trigger),"")</f>
        <v/>
      </c>
      <c r="Y58" s="5" t="str">
        <f>IFERROR(_xll.qlRateHelperPillarDate(T58,Trigger),"")</f>
        <v/>
      </c>
      <c r="Z58" s="70" t="e">
        <v>#N/A</v>
      </c>
      <c r="AA58" s="77" t="e">
        <v>#N/A</v>
      </c>
      <c r="AB58" s="169" t="e">
        <v>#N/A</v>
      </c>
      <c r="AC58" s="170" t="e">
        <v>#N/A</v>
      </c>
      <c r="AD58" s="172" t="e">
        <f t="shared" si="2"/>
        <v>#N/A</v>
      </c>
      <c r="AE58" s="174" t="e">
        <v>#N/A</v>
      </c>
      <c r="AF58" s="173" t="e">
        <f t="shared" si="3"/>
        <v>#N/A</v>
      </c>
      <c r="AG58" s="170"/>
    </row>
    <row r="59" spans="1:33" ht="11.25" customHeight="1" x14ac:dyDescent="0.2">
      <c r="A59" s="59" t="s">
        <v>118</v>
      </c>
      <c r="B59" s="60" t="s">
        <v>61</v>
      </c>
      <c r="C59" s="61">
        <v>2</v>
      </c>
      <c r="D59" s="62" t="str">
        <f t="shared" si="12"/>
        <v>Eonia</v>
      </c>
      <c r="E59" s="63" t="str">
        <f t="shared" si="15"/>
        <v>EUR1EON3E12Y_LCHQuote</v>
      </c>
      <c r="F59" s="176">
        <v>0</v>
      </c>
      <c r="G59" s="64" t="str">
        <f>_xll.qlOISRateHelper(,$C59,$B59,$E59,$D59,,Permanent,Trigger,ObjectOverwrite)</f>
        <v>obj_00671#0001</v>
      </c>
      <c r="I59" s="10" t="str">
        <f t="shared" si="10"/>
        <v>BasSw</v>
      </c>
      <c r="J59" s="94" t="str">
        <f t="shared" si="11"/>
        <v>obj_0066c#0001</v>
      </c>
      <c r="K59" s="146" t="str">
        <f>IFERROR(_xll.qlRateHelperQuoteName(J59,Trigger),"--")</f>
        <v>EUR1EON3E16Y_LCHQuote</v>
      </c>
      <c r="L59" s="98" t="str">
        <f>IFERROR(_xll.qlRateHelperQuoteValue($J59,Trigger),"--")</f>
        <v>--</v>
      </c>
      <c r="M59" s="97" t="b">
        <v>0</v>
      </c>
      <c r="N59" s="94">
        <v>50</v>
      </c>
      <c r="O59" s="94">
        <v>1</v>
      </c>
      <c r="P59" s="99">
        <f>IFERROR(_xll.qlRateHelperEarliestDate(J59,Trigger),"--")</f>
        <v>42256</v>
      </c>
      <c r="Q59" s="99">
        <f>IFERROR(_xll.qlRateHelperPillarDate(J59,Trigger),"--")</f>
        <v>48100</v>
      </c>
      <c r="S59" s="4" t="str">
        <f t="shared" si="14"/>
        <v/>
      </c>
      <c r="T59" s="4" t="e">
        <v>#N/A</v>
      </c>
      <c r="U59" s="4" t="str">
        <f>IFERROR(_xll.qlRateHelperQuoteName(T59,Trigger),"")</f>
        <v/>
      </c>
      <c r="V59" s="70" t="str">
        <f>IFERROR(_xll.qlRateHelperRate(T59,Trigger),"")</f>
        <v/>
      </c>
      <c r="W59" s="104" t="str">
        <f>IF(ISERROR(_xll.qlSwapRateHelperSpread($T59)),IF(ISERROR(_xll.qlFuturesRateHelperConvexityAdjustment($T59)),"",_xll.qlFuturesRateHelperConvexityAdjustment($T59)),_xll.qlSwapRateHelperSpread($T59))</f>
        <v/>
      </c>
      <c r="X59" s="5" t="str">
        <f>IFERROR(_xll.qlRateHelperEarliestDate(T59,Trigger),"")</f>
        <v/>
      </c>
      <c r="Y59" s="5" t="str">
        <f>IFERROR(_xll.qlRateHelperPillarDate(T59,Trigger),"")</f>
        <v/>
      </c>
      <c r="Z59" s="70" t="e">
        <v>#N/A</v>
      </c>
      <c r="AA59" s="77" t="e">
        <v>#N/A</v>
      </c>
      <c r="AB59" s="169" t="e">
        <v>#N/A</v>
      </c>
      <c r="AC59" s="170" t="e">
        <v>#N/A</v>
      </c>
      <c r="AD59" s="172" t="e">
        <f t="shared" si="2"/>
        <v>#N/A</v>
      </c>
      <c r="AE59" s="174" t="e">
        <v>#N/A</v>
      </c>
      <c r="AF59" s="173" t="e">
        <f t="shared" si="3"/>
        <v>#N/A</v>
      </c>
      <c r="AG59" s="170"/>
    </row>
    <row r="60" spans="1:33" ht="11.25" customHeight="1" x14ac:dyDescent="0.2">
      <c r="A60" s="59" t="s">
        <v>118</v>
      </c>
      <c r="B60" s="60" t="s">
        <v>99</v>
      </c>
      <c r="C60" s="61">
        <v>2</v>
      </c>
      <c r="D60" s="62" t="str">
        <f t="shared" si="12"/>
        <v>Eonia</v>
      </c>
      <c r="E60" s="63" t="str">
        <f t="shared" si="15"/>
        <v>EUR1EON3E13Y_LCHQuote</v>
      </c>
      <c r="F60" s="176">
        <v>0</v>
      </c>
      <c r="G60" s="64" t="str">
        <f>_xll.qlOISRateHelper(,$C60,$B60,$E60,$D60,,Permanent,Trigger,ObjectOverwrite)</f>
        <v>obj_00680#0001</v>
      </c>
      <c r="I60" s="10" t="str">
        <f t="shared" si="10"/>
        <v>BasSw</v>
      </c>
      <c r="J60" s="94" t="str">
        <f t="shared" si="11"/>
        <v>obj_00678#0001</v>
      </c>
      <c r="K60" s="146" t="str">
        <f>IFERROR(_xll.qlRateHelperQuoteName(J60,Trigger),"--")</f>
        <v>EUR1EON3E17Y_LCHQuote</v>
      </c>
      <c r="L60" s="98" t="str">
        <f>IFERROR(_xll.qlRateHelperQuoteValue($J60,Trigger),"--")</f>
        <v>--</v>
      </c>
      <c r="M60" s="97" t="b">
        <v>0</v>
      </c>
      <c r="N60" s="94">
        <v>50</v>
      </c>
      <c r="O60" s="94">
        <v>1</v>
      </c>
      <c r="P60" s="99">
        <f>IFERROR(_xll.qlRateHelperEarliestDate(J60,Trigger),"--")</f>
        <v>42256</v>
      </c>
      <c r="Q60" s="99">
        <f>IFERROR(_xll.qlRateHelperPillarDate(J60,Trigger),"--")</f>
        <v>48466</v>
      </c>
      <c r="S60" s="4" t="str">
        <f t="shared" si="14"/>
        <v/>
      </c>
      <c r="T60" s="4" t="e">
        <v>#N/A</v>
      </c>
      <c r="U60" s="4" t="str">
        <f>IFERROR(_xll.qlRateHelperQuoteName(T60,Trigger),"")</f>
        <v/>
      </c>
      <c r="V60" s="70" t="str">
        <f>IFERROR(_xll.qlRateHelperRate(T60,Trigger),"")</f>
        <v/>
      </c>
      <c r="W60" s="104" t="str">
        <f>IF(ISERROR(_xll.qlSwapRateHelperSpread($T60)),IF(ISERROR(_xll.qlFuturesRateHelperConvexityAdjustment($T60)),"",_xll.qlFuturesRateHelperConvexityAdjustment($T60)),_xll.qlSwapRateHelperSpread($T60))</f>
        <v/>
      </c>
      <c r="X60" s="5" t="str">
        <f>IFERROR(_xll.qlRateHelperEarliestDate(T60,Trigger),"")</f>
        <v/>
      </c>
      <c r="Y60" s="5" t="str">
        <f>IFERROR(_xll.qlRateHelperPillarDate(T60,Trigger),"")</f>
        <v/>
      </c>
      <c r="Z60" s="70" t="e">
        <v>#N/A</v>
      </c>
      <c r="AA60" s="77" t="e">
        <v>#N/A</v>
      </c>
      <c r="AB60" s="169" t="e">
        <v>#N/A</v>
      </c>
      <c r="AC60" s="170" t="e">
        <v>#N/A</v>
      </c>
      <c r="AD60" s="172" t="e">
        <f t="shared" si="2"/>
        <v>#N/A</v>
      </c>
      <c r="AE60" s="174" t="e">
        <v>#N/A</v>
      </c>
      <c r="AF60" s="173" t="e">
        <f t="shared" si="3"/>
        <v>#N/A</v>
      </c>
      <c r="AG60" s="170"/>
    </row>
    <row r="61" spans="1:33" ht="11.25" customHeight="1" x14ac:dyDescent="0.2">
      <c r="A61" s="59" t="s">
        <v>118</v>
      </c>
      <c r="B61" s="60" t="s">
        <v>100</v>
      </c>
      <c r="C61" s="61">
        <v>2</v>
      </c>
      <c r="D61" s="62" t="str">
        <f t="shared" si="12"/>
        <v>Eonia</v>
      </c>
      <c r="E61" s="63" t="str">
        <f t="shared" si="15"/>
        <v>EUR1EON3E14Y_LCHQuote</v>
      </c>
      <c r="F61" s="176">
        <v>0</v>
      </c>
      <c r="G61" s="64" t="str">
        <f>_xll.qlOISRateHelper(,$C61,$B61,$E61,$D61,,Permanent,Trigger,ObjectOverwrite)</f>
        <v>obj_0067f#0001</v>
      </c>
      <c r="I61" s="10" t="str">
        <f t="shared" si="10"/>
        <v>BasSw</v>
      </c>
      <c r="J61" s="94" t="str">
        <f t="shared" si="11"/>
        <v>obj_00685#0001</v>
      </c>
      <c r="K61" s="146" t="str">
        <f>IFERROR(_xll.qlRateHelperQuoteName(J61,Trigger),"--")</f>
        <v>EUR1EON3E18Y_LCHQuote</v>
      </c>
      <c r="L61" s="98" t="str">
        <f>IFERROR(_xll.qlRateHelperQuoteValue($J61,Trigger),"--")</f>
        <v>--</v>
      </c>
      <c r="M61" s="97" t="b">
        <v>0</v>
      </c>
      <c r="N61" s="94">
        <v>50</v>
      </c>
      <c r="O61" s="94">
        <v>1</v>
      </c>
      <c r="P61" s="99">
        <f>IFERROR(_xll.qlRateHelperEarliestDate(J61,Trigger),"--")</f>
        <v>42256</v>
      </c>
      <c r="Q61" s="99">
        <f>IFERROR(_xll.qlRateHelperPillarDate(J61,Trigger),"--")</f>
        <v>48831</v>
      </c>
      <c r="S61" s="4" t="str">
        <f t="shared" si="14"/>
        <v/>
      </c>
      <c r="T61" s="4" t="e">
        <v>#N/A</v>
      </c>
      <c r="U61" s="4" t="str">
        <f>IFERROR(_xll.qlRateHelperQuoteName(T61,Trigger),"")</f>
        <v/>
      </c>
      <c r="V61" s="70" t="str">
        <f>IFERROR(_xll.qlRateHelperRate(T61,Trigger),"")</f>
        <v/>
      </c>
      <c r="W61" s="104" t="str">
        <f>IF(ISERROR(_xll.qlSwapRateHelperSpread($T61)),IF(ISERROR(_xll.qlFuturesRateHelperConvexityAdjustment($T61)),"",_xll.qlFuturesRateHelperConvexityAdjustment($T61)),_xll.qlSwapRateHelperSpread($T61))</f>
        <v/>
      </c>
      <c r="X61" s="5" t="str">
        <f>IFERROR(_xll.qlRateHelperEarliestDate(T61,Trigger),"")</f>
        <v/>
      </c>
      <c r="Y61" s="5" t="str">
        <f>IFERROR(_xll.qlRateHelperPillarDate(T61,Trigger),"")</f>
        <v/>
      </c>
      <c r="Z61" s="70" t="e">
        <v>#N/A</v>
      </c>
      <c r="AA61" s="77" t="e">
        <v>#N/A</v>
      </c>
      <c r="AB61" s="169" t="e">
        <v>#N/A</v>
      </c>
      <c r="AC61" s="170" t="e">
        <v>#N/A</v>
      </c>
      <c r="AD61" s="172" t="e">
        <f t="shared" si="2"/>
        <v>#N/A</v>
      </c>
      <c r="AE61" s="174" t="e">
        <v>#N/A</v>
      </c>
      <c r="AF61" s="173" t="e">
        <f t="shared" si="3"/>
        <v>#N/A</v>
      </c>
      <c r="AG61" s="170"/>
    </row>
    <row r="62" spans="1:33" ht="11.25" customHeight="1" x14ac:dyDescent="0.2">
      <c r="A62" s="59" t="s">
        <v>118</v>
      </c>
      <c r="B62" s="60" t="s">
        <v>62</v>
      </c>
      <c r="C62" s="61">
        <v>2</v>
      </c>
      <c r="D62" s="62" t="str">
        <f t="shared" si="12"/>
        <v>Eonia</v>
      </c>
      <c r="E62" s="63" t="str">
        <f t="shared" si="15"/>
        <v>EUR1EON3E15Y_LCHQuote</v>
      </c>
      <c r="F62" s="176">
        <v>0</v>
      </c>
      <c r="G62" s="64" t="str">
        <f>_xll.qlOISRateHelper(,$C62,$B62,$E62,$D62,,Permanent,Trigger,ObjectOverwrite)</f>
        <v>obj_00674#0001</v>
      </c>
      <c r="I62" s="10" t="str">
        <f t="shared" si="10"/>
        <v>BasSw</v>
      </c>
      <c r="J62" s="94" t="str">
        <f t="shared" si="11"/>
        <v>obj_00655#0001</v>
      </c>
      <c r="K62" s="146" t="str">
        <f>IFERROR(_xll.qlRateHelperQuoteName(J62,Trigger),"--")</f>
        <v>EUR1EON3E19Y_LCHQuote</v>
      </c>
      <c r="L62" s="98" t="str">
        <f>IFERROR(_xll.qlRateHelperQuoteValue($J62,Trigger),"--")</f>
        <v>--</v>
      </c>
      <c r="M62" s="97" t="b">
        <v>0</v>
      </c>
      <c r="N62" s="94">
        <v>50</v>
      </c>
      <c r="O62" s="94">
        <v>1</v>
      </c>
      <c r="P62" s="99">
        <f>IFERROR(_xll.qlRateHelperEarliestDate(J62,Trigger),"--")</f>
        <v>42256</v>
      </c>
      <c r="Q62" s="99">
        <f>IFERROR(_xll.qlRateHelperPillarDate(J62,Trigger),"--")</f>
        <v>49198</v>
      </c>
      <c r="S62" s="4" t="str">
        <f t="shared" si="14"/>
        <v/>
      </c>
      <c r="T62" s="4" t="e">
        <v>#N/A</v>
      </c>
      <c r="U62" s="4" t="str">
        <f>IFERROR(_xll.qlRateHelperQuoteName(T62,Trigger),"")</f>
        <v/>
      </c>
      <c r="V62" s="70" t="str">
        <f>IFERROR(_xll.qlRateHelperRate(T62,Trigger),"")</f>
        <v/>
      </c>
      <c r="W62" s="104" t="str">
        <f>IF(ISERROR(_xll.qlSwapRateHelperSpread($T62)),IF(ISERROR(_xll.qlFuturesRateHelperConvexityAdjustment($T62)),"",_xll.qlFuturesRateHelperConvexityAdjustment($T62)),_xll.qlSwapRateHelperSpread($T62))</f>
        <v/>
      </c>
      <c r="X62" s="5" t="str">
        <f>IFERROR(_xll.qlRateHelperEarliestDate(T62,Trigger),"")</f>
        <v/>
      </c>
      <c r="Y62" s="5" t="str">
        <f>IFERROR(_xll.qlRateHelperPillarDate(T62,Trigger),"")</f>
        <v/>
      </c>
      <c r="Z62" s="70" t="e">
        <v>#N/A</v>
      </c>
      <c r="AA62" s="77" t="e">
        <v>#N/A</v>
      </c>
      <c r="AB62" s="169" t="e">
        <v>#N/A</v>
      </c>
      <c r="AC62" s="170" t="e">
        <v>#N/A</v>
      </c>
      <c r="AD62" s="172" t="e">
        <f t="shared" si="2"/>
        <v>#N/A</v>
      </c>
      <c r="AE62" s="174" t="e">
        <v>#N/A</v>
      </c>
      <c r="AF62" s="173" t="e">
        <f t="shared" si="3"/>
        <v>#N/A</v>
      </c>
      <c r="AG62" s="170"/>
    </row>
    <row r="63" spans="1:33" ht="11.25" customHeight="1" x14ac:dyDescent="0.2">
      <c r="A63" s="59" t="s">
        <v>118</v>
      </c>
      <c r="B63" s="60" t="s">
        <v>101</v>
      </c>
      <c r="C63" s="61">
        <v>2</v>
      </c>
      <c r="D63" s="62" t="str">
        <f t="shared" si="12"/>
        <v>Eonia</v>
      </c>
      <c r="E63" s="63" t="str">
        <f t="shared" si="15"/>
        <v>EUR1EON3E16Y_LCHQuote</v>
      </c>
      <c r="F63" s="176">
        <v>0</v>
      </c>
      <c r="G63" s="64" t="str">
        <f>_xll.qlOISRateHelper(,$C63,$B63,$E63,$D63,,Permanent,Trigger,ObjectOverwrite)</f>
        <v>obj_0066c#0001</v>
      </c>
      <c r="I63" s="10" t="str">
        <f t="shared" si="10"/>
        <v>BasSw</v>
      </c>
      <c r="J63" s="94" t="str">
        <f t="shared" si="11"/>
        <v>obj_00684#0001</v>
      </c>
      <c r="K63" s="146" t="str">
        <f>IFERROR(_xll.qlRateHelperQuoteName(J63,Trigger),"--")</f>
        <v>EUR1EON3E20Y_LCHQuote</v>
      </c>
      <c r="L63" s="98">
        <f>IFERROR(_xll.qlRateHelperQuoteValue($J63,Trigger),"--")</f>
        <v>1.32628E-2</v>
      </c>
      <c r="M63" s="97" t="b">
        <v>1</v>
      </c>
      <c r="N63" s="94">
        <v>50</v>
      </c>
      <c r="O63" s="94">
        <v>1</v>
      </c>
      <c r="P63" s="99">
        <f>IFERROR(_xll.qlRateHelperEarliestDate(J63,Trigger),"--")</f>
        <v>42256</v>
      </c>
      <c r="Q63" s="99">
        <f>IFERROR(_xll.qlRateHelperPillarDate(J63,Trigger),"--")</f>
        <v>49562</v>
      </c>
      <c r="S63" s="4" t="str">
        <f t="shared" si="14"/>
        <v/>
      </c>
      <c r="T63" s="4" t="e">
        <v>#N/A</v>
      </c>
      <c r="U63" s="4" t="str">
        <f>IFERROR(_xll.qlRateHelperQuoteName(T63,Trigger),"")</f>
        <v/>
      </c>
      <c r="V63" s="70" t="str">
        <f>IFERROR(_xll.qlRateHelperRate(T63,Trigger),"")</f>
        <v/>
      </c>
      <c r="W63" s="104" t="str">
        <f>IF(ISERROR(_xll.qlSwapRateHelperSpread($T63)),IF(ISERROR(_xll.qlFuturesRateHelperConvexityAdjustment($T63)),"",_xll.qlFuturesRateHelperConvexityAdjustment($T63)),_xll.qlSwapRateHelperSpread($T63))</f>
        <v/>
      </c>
      <c r="X63" s="5" t="str">
        <f>IFERROR(_xll.qlRateHelperEarliestDate(T63,Trigger),"")</f>
        <v/>
      </c>
      <c r="Y63" s="5" t="str">
        <f>IFERROR(_xll.qlRateHelperPillarDate(T63,Trigger),"")</f>
        <v/>
      </c>
      <c r="Z63" s="70" t="e">
        <v>#N/A</v>
      </c>
      <c r="AA63" s="77" t="e">
        <v>#N/A</v>
      </c>
      <c r="AB63" s="46" t="e">
        <v>#N/A</v>
      </c>
      <c r="AC63" s="46" t="e">
        <v>#N/A</v>
      </c>
      <c r="AD63" s="172" t="e">
        <f>Z63-AC63</f>
        <v>#N/A</v>
      </c>
      <c r="AE63" s="46" t="e">
        <v>#N/A</v>
      </c>
      <c r="AF63" s="173" t="e">
        <f t="shared" si="3"/>
        <v>#N/A</v>
      </c>
    </row>
    <row r="64" spans="1:33" ht="11.25" customHeight="1" x14ac:dyDescent="0.2">
      <c r="A64" s="59" t="s">
        <v>118</v>
      </c>
      <c r="B64" s="60" t="s">
        <v>102</v>
      </c>
      <c r="C64" s="61">
        <v>2</v>
      </c>
      <c r="D64" s="62" t="str">
        <f t="shared" si="12"/>
        <v>Eonia</v>
      </c>
      <c r="E64" s="63" t="str">
        <f t="shared" si="13"/>
        <v>EUR1EON3E17Y_LCHQuote</v>
      </c>
      <c r="F64" s="176">
        <v>0</v>
      </c>
      <c r="G64" s="64" t="str">
        <f>_xll.qlOISRateHelper(,$C64,$B64,$E64,$D64,,Permanent,Trigger,ObjectOverwrite)</f>
        <v>obj_00678#0001</v>
      </c>
      <c r="I64" s="10" t="str">
        <f t="shared" si="10"/>
        <v>BasSw</v>
      </c>
      <c r="J64" s="94" t="str">
        <f t="shared" si="11"/>
        <v>obj_00666#0001</v>
      </c>
      <c r="K64" s="146" t="str">
        <f>IFERROR(_xll.qlRateHelperQuoteName(J64,Trigger),"--")</f>
        <v>EUR1EON3E21Y_LCHQuote</v>
      </c>
      <c r="L64" s="98" t="str">
        <f>IFERROR(_xll.qlRateHelperQuoteValue($J64,Trigger),"--")</f>
        <v>--</v>
      </c>
      <c r="M64" s="97" t="b">
        <v>0</v>
      </c>
      <c r="N64" s="94">
        <v>50</v>
      </c>
      <c r="O64" s="94">
        <v>1</v>
      </c>
      <c r="P64" s="99">
        <f>IFERROR(_xll.qlRateHelperEarliestDate(J64,Trigger),"--")</f>
        <v>42256</v>
      </c>
      <c r="Q64" s="99">
        <f>IFERROR(_xll.qlRateHelperPillarDate(J64,Trigger),"--")</f>
        <v>49927</v>
      </c>
      <c r="S64" s="4" t="str">
        <f t="shared" si="14"/>
        <v/>
      </c>
      <c r="T64" s="4" t="e">
        <v>#N/A</v>
      </c>
      <c r="U64" s="4" t="str">
        <f>IFERROR(_xll.qlRateHelperQuoteName(T64,Trigger),"")</f>
        <v/>
      </c>
      <c r="V64" s="70" t="str">
        <f>IFERROR(_xll.qlRateHelperRate(T64,Trigger),"")</f>
        <v/>
      </c>
      <c r="W64" s="104" t="str">
        <f>IF(ISERROR(_xll.qlSwapRateHelperSpread($T64)),IF(ISERROR(_xll.qlFuturesRateHelperConvexityAdjustment($T64)),"",_xll.qlFuturesRateHelperConvexityAdjustment($T64)),_xll.qlSwapRateHelperSpread($T64))</f>
        <v/>
      </c>
      <c r="X64" s="5" t="str">
        <f>IFERROR(_xll.qlRateHelperEarliestDate(T64,Trigger),"")</f>
        <v/>
      </c>
      <c r="Y64" s="5" t="str">
        <f>IFERROR(_xll.qlRateHelperPillarDate(T64,Trigger),"")</f>
        <v/>
      </c>
      <c r="Z64" s="70" t="e">
        <v>#N/A</v>
      </c>
      <c r="AA64" s="77" t="e">
        <v>#N/A</v>
      </c>
      <c r="AB64" s="46" t="e">
        <v>#N/A</v>
      </c>
      <c r="AC64" s="46" t="e">
        <v>#N/A</v>
      </c>
      <c r="AD64" s="172" t="e">
        <f t="shared" si="2"/>
        <v>#N/A</v>
      </c>
      <c r="AE64" s="46" t="e">
        <v>#N/A</v>
      </c>
      <c r="AF64" s="173" t="e">
        <f t="shared" si="3"/>
        <v>#N/A</v>
      </c>
    </row>
    <row r="65" spans="1:32" ht="11.25" customHeight="1" x14ac:dyDescent="0.2">
      <c r="A65" s="59" t="s">
        <v>118</v>
      </c>
      <c r="B65" s="60" t="s">
        <v>103</v>
      </c>
      <c r="C65" s="61">
        <v>2</v>
      </c>
      <c r="D65" s="62" t="str">
        <f t="shared" si="12"/>
        <v>Eonia</v>
      </c>
      <c r="E65" s="63" t="str">
        <f t="shared" si="13"/>
        <v>EUR1EON3E18Y_LCHQuote</v>
      </c>
      <c r="F65" s="176">
        <v>0</v>
      </c>
      <c r="G65" s="64" t="str">
        <f>_xll.qlOISRateHelper(,$C65,$B65,$E65,$D65,,Permanent,Trigger,ObjectOverwrite)</f>
        <v>obj_00685#0001</v>
      </c>
      <c r="I65" s="10" t="str">
        <f t="shared" si="10"/>
        <v>BasSw</v>
      </c>
      <c r="J65" s="94" t="str">
        <f t="shared" si="11"/>
        <v>obj_00654#0001</v>
      </c>
      <c r="K65" s="146" t="str">
        <f>IFERROR(_xll.qlRateHelperQuoteName(J65,Trigger),"--")</f>
        <v>EUR1EON3E22Y_LCHQuote</v>
      </c>
      <c r="L65" s="98" t="str">
        <f>IFERROR(_xll.qlRateHelperQuoteValue($J65,Trigger),"--")</f>
        <v>--</v>
      </c>
      <c r="M65" s="97" t="b">
        <v>0</v>
      </c>
      <c r="N65" s="94">
        <v>50</v>
      </c>
      <c r="O65" s="94">
        <v>1</v>
      </c>
      <c r="P65" s="99">
        <f>IFERROR(_xll.qlRateHelperEarliestDate(J65,Trigger),"--")</f>
        <v>42256</v>
      </c>
      <c r="Q65" s="99">
        <f>IFERROR(_xll.qlRateHelperPillarDate(J65,Trigger),"--")</f>
        <v>50292</v>
      </c>
      <c r="S65" s="4" t="str">
        <f t="shared" si="14"/>
        <v/>
      </c>
      <c r="T65" s="4" t="e">
        <v>#N/A</v>
      </c>
      <c r="U65" s="4" t="str">
        <f>IFERROR(_xll.qlRateHelperQuoteName(T65,Trigger),"")</f>
        <v/>
      </c>
      <c r="V65" s="70" t="str">
        <f>IFERROR(_xll.qlRateHelperRate(T65,Trigger),"")</f>
        <v/>
      </c>
      <c r="W65" s="104" t="str">
        <f>IF(ISERROR(_xll.qlSwapRateHelperSpread($T65)),IF(ISERROR(_xll.qlFuturesRateHelperConvexityAdjustment($T65)),"",_xll.qlFuturesRateHelperConvexityAdjustment($T65)),_xll.qlSwapRateHelperSpread($T65))</f>
        <v/>
      </c>
      <c r="X65" s="5" t="str">
        <f>IFERROR(_xll.qlRateHelperEarliestDate(T65,Trigger),"")</f>
        <v/>
      </c>
      <c r="Y65" s="5" t="str">
        <f>IFERROR(_xll.qlRateHelperPillarDate(T65,Trigger),"")</f>
        <v/>
      </c>
      <c r="Z65" s="70" t="e">
        <v>#N/A</v>
      </c>
      <c r="AA65" s="77" t="e">
        <v>#N/A</v>
      </c>
      <c r="AB65" s="46" t="e">
        <v>#N/A</v>
      </c>
      <c r="AC65" s="46" t="e">
        <v>#N/A</v>
      </c>
      <c r="AD65" s="172" t="e">
        <f t="shared" si="2"/>
        <v>#N/A</v>
      </c>
      <c r="AE65" s="46" t="e">
        <v>#N/A</v>
      </c>
      <c r="AF65" s="173" t="e">
        <f t="shared" si="3"/>
        <v>#N/A</v>
      </c>
    </row>
    <row r="66" spans="1:32" ht="11.25" customHeight="1" x14ac:dyDescent="0.2">
      <c r="A66" s="59" t="s">
        <v>118</v>
      </c>
      <c r="B66" s="60" t="s">
        <v>104</v>
      </c>
      <c r="C66" s="61">
        <v>2</v>
      </c>
      <c r="D66" s="62" t="str">
        <f t="shared" ref="D66:D81" si="16">$D$1</f>
        <v>Eonia</v>
      </c>
      <c r="E66" s="63" t="str">
        <f t="shared" si="13"/>
        <v>EUR1EON3E19Y_LCHQuote</v>
      </c>
      <c r="F66" s="176">
        <v>0</v>
      </c>
      <c r="G66" s="64" t="str">
        <f>_xll.qlOISRateHelper(,$C66,$B66,$E66,$D66,,Permanent,Trigger,ObjectOverwrite)</f>
        <v>obj_00655#0001</v>
      </c>
      <c r="I66" s="10" t="str">
        <f t="shared" si="10"/>
        <v>BasSw</v>
      </c>
      <c r="J66" s="94" t="str">
        <f t="shared" si="11"/>
        <v>obj_0067c#0001</v>
      </c>
      <c r="K66" s="146" t="str">
        <f>IFERROR(_xll.qlRateHelperQuoteName(J66,Trigger),"--")</f>
        <v>EUR1EON3E23Y_LCHQuote</v>
      </c>
      <c r="L66" s="98" t="str">
        <f>IFERROR(_xll.qlRateHelperQuoteValue($J66,Trigger),"--")</f>
        <v>--</v>
      </c>
      <c r="M66" s="97" t="b">
        <v>0</v>
      </c>
      <c r="N66" s="94">
        <v>50</v>
      </c>
      <c r="O66" s="94">
        <v>1</v>
      </c>
      <c r="P66" s="99">
        <f>IFERROR(_xll.qlRateHelperEarliestDate(J66,Trigger),"--")</f>
        <v>42256</v>
      </c>
      <c r="Q66" s="99">
        <f>IFERROR(_xll.qlRateHelperPillarDate(J66,Trigger),"--")</f>
        <v>50657</v>
      </c>
      <c r="S66" s="4" t="str">
        <f t="shared" si="14"/>
        <v/>
      </c>
      <c r="T66" s="4" t="e">
        <v>#N/A</v>
      </c>
      <c r="U66" s="4" t="str">
        <f>IFERROR(_xll.qlRateHelperQuoteName(T66,Trigger),"")</f>
        <v/>
      </c>
      <c r="V66" s="70" t="str">
        <f>IFERROR(_xll.qlRateHelperRate(T66,Trigger),"")</f>
        <v/>
      </c>
      <c r="W66" s="104" t="str">
        <f>IF(ISERROR(_xll.qlSwapRateHelperSpread($T66)),IF(ISERROR(_xll.qlFuturesRateHelperConvexityAdjustment($T66)),"",_xll.qlFuturesRateHelperConvexityAdjustment($T66)),_xll.qlSwapRateHelperSpread($T66))</f>
        <v/>
      </c>
      <c r="X66" s="5" t="str">
        <f>IFERROR(_xll.qlRateHelperEarliestDate(T66,Trigger),"")</f>
        <v/>
      </c>
      <c r="Y66" s="5" t="str">
        <f>IFERROR(_xll.qlRateHelperPillarDate(T66,Trigger),"")</f>
        <v/>
      </c>
      <c r="Z66" s="70" t="e">
        <v>#N/A</v>
      </c>
      <c r="AA66" s="77" t="e">
        <v>#N/A</v>
      </c>
      <c r="AB66" s="46" t="e">
        <v>#N/A</v>
      </c>
      <c r="AC66" s="46" t="e">
        <v>#N/A</v>
      </c>
      <c r="AD66" s="172" t="e">
        <f t="shared" si="2"/>
        <v>#N/A</v>
      </c>
      <c r="AE66" s="46" t="e">
        <v>#N/A</v>
      </c>
      <c r="AF66" s="173" t="e">
        <f t="shared" si="3"/>
        <v>#N/A</v>
      </c>
    </row>
    <row r="67" spans="1:32" ht="11.25" customHeight="1" x14ac:dyDescent="0.2">
      <c r="A67" s="59" t="s">
        <v>118</v>
      </c>
      <c r="B67" s="60" t="s">
        <v>63</v>
      </c>
      <c r="C67" s="61">
        <v>2</v>
      </c>
      <c r="D67" s="62" t="str">
        <f t="shared" si="16"/>
        <v>Eonia</v>
      </c>
      <c r="E67" s="63" t="str">
        <f t="shared" si="13"/>
        <v>EUR1EON3E20Y_LCHQuote</v>
      </c>
      <c r="F67" s="176">
        <v>0</v>
      </c>
      <c r="G67" s="64" t="str">
        <f>_xll.qlOISRateHelper(,$C67,$B67,$E67,$D67,,Permanent,Trigger,ObjectOverwrite)</f>
        <v>obj_00684#0001</v>
      </c>
      <c r="I67" s="10" t="str">
        <f t="shared" si="10"/>
        <v>BasSw</v>
      </c>
      <c r="J67" s="94" t="str">
        <f t="shared" si="11"/>
        <v>obj_0068f#0001</v>
      </c>
      <c r="K67" s="146" t="str">
        <f>IFERROR(_xll.qlRateHelperQuoteName(J67,Trigger),"--")</f>
        <v>EUR1EON3E24Y_LCHQuote</v>
      </c>
      <c r="L67" s="98" t="str">
        <f>IFERROR(_xll.qlRateHelperQuoteValue($J67,Trigger),"--")</f>
        <v>--</v>
      </c>
      <c r="M67" s="97" t="b">
        <v>0</v>
      </c>
      <c r="N67" s="94">
        <v>50</v>
      </c>
      <c r="O67" s="94">
        <v>1</v>
      </c>
      <c r="P67" s="99">
        <f>IFERROR(_xll.qlRateHelperEarliestDate(J67,Trigger),"--")</f>
        <v>42256</v>
      </c>
      <c r="Q67" s="99">
        <f>IFERROR(_xll.qlRateHelperPillarDate(J67,Trigger),"--")</f>
        <v>51022</v>
      </c>
      <c r="S67" s="4" t="str">
        <f t="shared" si="14"/>
        <v/>
      </c>
      <c r="T67" s="4" t="e">
        <v>#N/A</v>
      </c>
      <c r="U67" s="4" t="str">
        <f>IFERROR(_xll.qlRateHelperQuoteName(T67,Trigger),"")</f>
        <v/>
      </c>
      <c r="V67" s="70" t="str">
        <f>IFERROR(_xll.qlRateHelperRate(T67,Trigger),"")</f>
        <v/>
      </c>
      <c r="W67" s="104" t="str">
        <f>IF(ISERROR(_xll.qlSwapRateHelperSpread($T67)),IF(ISERROR(_xll.qlFuturesRateHelperConvexityAdjustment($T67)),"",_xll.qlFuturesRateHelperConvexityAdjustment($T67)),_xll.qlSwapRateHelperSpread($T67))</f>
        <v/>
      </c>
      <c r="X67" s="5" t="str">
        <f>IFERROR(_xll.qlRateHelperEarliestDate(T67,Trigger),"")</f>
        <v/>
      </c>
      <c r="Y67" s="5" t="str">
        <f>IFERROR(_xll.qlRateHelperPillarDate(T67,Trigger),"")</f>
        <v/>
      </c>
      <c r="Z67" s="70" t="e">
        <v>#N/A</v>
      </c>
      <c r="AA67" s="77" t="e">
        <v>#N/A</v>
      </c>
      <c r="AB67" s="46" t="e">
        <v>#N/A</v>
      </c>
      <c r="AC67" s="46" t="e">
        <v>#N/A</v>
      </c>
      <c r="AD67" s="172" t="e">
        <f t="shared" si="2"/>
        <v>#N/A</v>
      </c>
      <c r="AE67" s="46" t="e">
        <v>#N/A</v>
      </c>
      <c r="AF67" s="173" t="e">
        <f t="shared" si="3"/>
        <v>#N/A</v>
      </c>
    </row>
    <row r="68" spans="1:32" ht="11.25" customHeight="1" x14ac:dyDescent="0.2">
      <c r="A68" s="59" t="s">
        <v>118</v>
      </c>
      <c r="B68" s="60" t="s">
        <v>105</v>
      </c>
      <c r="C68" s="61">
        <v>2</v>
      </c>
      <c r="D68" s="62" t="str">
        <f t="shared" si="16"/>
        <v>Eonia</v>
      </c>
      <c r="E68" s="63" t="str">
        <f t="shared" si="13"/>
        <v>EUR1EON3E21Y_LCHQuote</v>
      </c>
      <c r="F68" s="176">
        <v>0</v>
      </c>
      <c r="G68" s="64" t="str">
        <f>_xll.qlOISRateHelper(,$C68,$B68,$E68,$D68,,Permanent,Trigger,ObjectOverwrite)</f>
        <v>obj_00666#0001</v>
      </c>
      <c r="I68" s="10" t="str">
        <f t="shared" si="10"/>
        <v>BasSw</v>
      </c>
      <c r="J68" s="94" t="str">
        <f t="shared" si="11"/>
        <v>obj_0064e#0001</v>
      </c>
      <c r="K68" s="146" t="str">
        <f>IFERROR(_xll.qlRateHelperQuoteName(J68,Trigger),"--")</f>
        <v>EUR1EON3E25Y_LCHQuote</v>
      </c>
      <c r="L68" s="98">
        <f>IFERROR(_xll.qlRateHelperQuoteValue($J68,Trigger),"--")</f>
        <v>1.3800400000000001E-2</v>
      </c>
      <c r="M68" s="97" t="b">
        <v>1</v>
      </c>
      <c r="N68" s="94">
        <v>50</v>
      </c>
      <c r="O68" s="94">
        <v>1</v>
      </c>
      <c r="P68" s="99">
        <f>IFERROR(_xll.qlRateHelperEarliestDate(J68,Trigger),"--")</f>
        <v>42256</v>
      </c>
      <c r="Q68" s="99">
        <f>IFERROR(_xll.qlRateHelperPillarDate(J68,Trigger),"--")</f>
        <v>51389</v>
      </c>
      <c r="S68" s="4" t="str">
        <f t="shared" si="14"/>
        <v/>
      </c>
      <c r="T68" s="4" t="e">
        <v>#N/A</v>
      </c>
      <c r="U68" s="4" t="str">
        <f>IFERROR(_xll.qlRateHelperQuoteName(T68,Trigger),"")</f>
        <v/>
      </c>
      <c r="V68" s="70" t="str">
        <f>IFERROR(_xll.qlRateHelperRate(T68,Trigger),"")</f>
        <v/>
      </c>
      <c r="W68" s="104" t="str">
        <f>IF(ISERROR(_xll.qlSwapRateHelperSpread($T68)),IF(ISERROR(_xll.qlFuturesRateHelperConvexityAdjustment($T68)),"",_xll.qlFuturesRateHelperConvexityAdjustment($T68)),_xll.qlSwapRateHelperSpread($T68))</f>
        <v/>
      </c>
      <c r="X68" s="5" t="str">
        <f>IFERROR(_xll.qlRateHelperEarliestDate(T68,Trigger),"")</f>
        <v/>
      </c>
      <c r="Y68" s="5" t="str">
        <f>IFERROR(_xll.qlRateHelperPillarDate(T68,Trigger),"")</f>
        <v/>
      </c>
      <c r="Z68" s="70" t="e">
        <v>#N/A</v>
      </c>
      <c r="AA68" s="77" t="e">
        <v>#N/A</v>
      </c>
      <c r="AB68" s="46" t="e">
        <v>#N/A</v>
      </c>
      <c r="AC68" s="46" t="e">
        <v>#N/A</v>
      </c>
      <c r="AD68" s="172" t="e">
        <f t="shared" ref="AD68:AD77" si="17">Z68-AC68</f>
        <v>#N/A</v>
      </c>
      <c r="AE68" s="46" t="e">
        <v>#N/A</v>
      </c>
      <c r="AF68" s="173" t="e">
        <f t="shared" ref="AF68:AF77" si="18">AA68-AE68</f>
        <v>#N/A</v>
      </c>
    </row>
    <row r="69" spans="1:32" ht="11.25" customHeight="1" x14ac:dyDescent="0.2">
      <c r="A69" s="59" t="s">
        <v>118</v>
      </c>
      <c r="B69" s="60" t="s">
        <v>106</v>
      </c>
      <c r="C69" s="61">
        <v>2</v>
      </c>
      <c r="D69" s="62" t="str">
        <f t="shared" si="16"/>
        <v>Eonia</v>
      </c>
      <c r="E69" s="63" t="str">
        <f t="shared" si="13"/>
        <v>EUR1EON3E22Y_LCHQuote</v>
      </c>
      <c r="F69" s="176">
        <v>0</v>
      </c>
      <c r="G69" s="64" t="str">
        <f>_xll.qlOISRateHelper(,$C69,$B69,$E69,$D69,,Permanent,Trigger,ObjectOverwrite)</f>
        <v>obj_00654#0001</v>
      </c>
      <c r="I69" s="10" t="str">
        <f t="shared" si="10"/>
        <v>BasSw</v>
      </c>
      <c r="J69" s="94" t="str">
        <f t="shared" si="11"/>
        <v>obj_00660#0001</v>
      </c>
      <c r="K69" s="146" t="str">
        <f>IFERROR(_xll.qlRateHelperQuoteName(J69,Trigger),"--")</f>
        <v>EUR1EON3E26Y_LCHQuote</v>
      </c>
      <c r="L69" s="98" t="str">
        <f>IFERROR(_xll.qlRateHelperQuoteValue($J69,Trigger),"--")</f>
        <v>--</v>
      </c>
      <c r="M69" s="97" t="b">
        <v>0</v>
      </c>
      <c r="N69" s="94">
        <v>50</v>
      </c>
      <c r="O69" s="94">
        <v>1</v>
      </c>
      <c r="P69" s="99">
        <f>IFERROR(_xll.qlRateHelperEarliestDate(J69,Trigger),"--")</f>
        <v>42256</v>
      </c>
      <c r="Q69" s="99">
        <f>IFERROR(_xll.qlRateHelperPillarDate(J69,Trigger),"--")</f>
        <v>51753</v>
      </c>
      <c r="S69" s="4" t="str">
        <f t="shared" si="14"/>
        <v/>
      </c>
      <c r="T69" s="4" t="e">
        <v>#N/A</v>
      </c>
      <c r="U69" s="4" t="str">
        <f>IFERROR(_xll.qlRateHelperQuoteName(T69,Trigger),"")</f>
        <v/>
      </c>
      <c r="V69" s="70" t="str">
        <f>IFERROR(_xll.qlRateHelperRate(T69,Trigger),"")</f>
        <v/>
      </c>
      <c r="W69" s="104" t="str">
        <f>IF(ISERROR(_xll.qlSwapRateHelperSpread($T69)),IF(ISERROR(_xll.qlFuturesRateHelperConvexityAdjustment($T69)),"",_xll.qlFuturesRateHelperConvexityAdjustment($T69)),_xll.qlSwapRateHelperSpread($T69))</f>
        <v/>
      </c>
      <c r="X69" s="5" t="str">
        <f>IFERROR(_xll.qlRateHelperEarliestDate(T69,Trigger),"")</f>
        <v/>
      </c>
      <c r="Y69" s="5" t="str">
        <f>IFERROR(_xll.qlRateHelperPillarDate(T69,Trigger),"")</f>
        <v/>
      </c>
      <c r="Z69" s="70" t="e">
        <v>#N/A</v>
      </c>
      <c r="AA69" s="77" t="e">
        <v>#N/A</v>
      </c>
      <c r="AB69" s="46" t="e">
        <v>#N/A</v>
      </c>
      <c r="AC69" s="46" t="e">
        <v>#N/A</v>
      </c>
      <c r="AD69" s="172" t="e">
        <f t="shared" si="17"/>
        <v>#N/A</v>
      </c>
      <c r="AE69" s="46" t="e">
        <v>#N/A</v>
      </c>
      <c r="AF69" s="173" t="e">
        <f t="shared" si="18"/>
        <v>#N/A</v>
      </c>
    </row>
    <row r="70" spans="1:32" ht="11.25" customHeight="1" x14ac:dyDescent="0.2">
      <c r="A70" s="59" t="s">
        <v>118</v>
      </c>
      <c r="B70" s="60" t="s">
        <v>107</v>
      </c>
      <c r="C70" s="61">
        <v>2</v>
      </c>
      <c r="D70" s="62" t="str">
        <f t="shared" si="16"/>
        <v>Eonia</v>
      </c>
      <c r="E70" s="63" t="str">
        <f t="shared" si="13"/>
        <v>EUR1EON3E23Y_LCHQuote</v>
      </c>
      <c r="F70" s="176">
        <v>0</v>
      </c>
      <c r="G70" s="64" t="str">
        <f>_xll.qlOISRateHelper(,$C70,$B70,$E70,$D70,,Permanent,Trigger,ObjectOverwrite)</f>
        <v>obj_0067c#0001</v>
      </c>
      <c r="I70" s="10" t="str">
        <f t="shared" si="10"/>
        <v>BasSw</v>
      </c>
      <c r="J70" s="94" t="str">
        <f t="shared" si="11"/>
        <v>obj_0065a#0001</v>
      </c>
      <c r="K70" s="146" t="str">
        <f>IFERROR(_xll.qlRateHelperQuoteName(J70,Trigger),"--")</f>
        <v>EUR1EON3E27Y_LCHQuote</v>
      </c>
      <c r="L70" s="98" t="str">
        <f>IFERROR(_xll.qlRateHelperQuoteValue($J70,Trigger),"--")</f>
        <v>--</v>
      </c>
      <c r="M70" s="97" t="b">
        <v>0</v>
      </c>
      <c r="N70" s="94">
        <v>50</v>
      </c>
      <c r="O70" s="94">
        <v>1</v>
      </c>
      <c r="P70" s="99">
        <f>IFERROR(_xll.qlRateHelperEarliestDate(J70,Trigger),"--")</f>
        <v>42256</v>
      </c>
      <c r="Q70" s="99">
        <f>IFERROR(_xll.qlRateHelperPillarDate(J70,Trigger),"--")</f>
        <v>52118</v>
      </c>
      <c r="S70" s="4" t="str">
        <f t="shared" si="14"/>
        <v/>
      </c>
      <c r="T70" s="4" t="e">
        <v>#N/A</v>
      </c>
      <c r="U70" s="4" t="str">
        <f>IFERROR(_xll.qlRateHelperQuoteName(T70,Trigger),"")</f>
        <v/>
      </c>
      <c r="V70" s="70" t="str">
        <f>IFERROR(_xll.qlRateHelperRate(T70,Trigger),"")</f>
        <v/>
      </c>
      <c r="W70" s="104" t="str">
        <f>IF(ISERROR(_xll.qlSwapRateHelperSpread($T70)),IF(ISERROR(_xll.qlFuturesRateHelperConvexityAdjustment($T70)),"",_xll.qlFuturesRateHelperConvexityAdjustment($T70)),_xll.qlSwapRateHelperSpread($T70))</f>
        <v/>
      </c>
      <c r="X70" s="5" t="str">
        <f>IFERROR(_xll.qlRateHelperEarliestDate(T70,Trigger),"")</f>
        <v/>
      </c>
      <c r="Y70" s="5" t="str">
        <f>IFERROR(_xll.qlRateHelperPillarDate(T70,Trigger),"")</f>
        <v/>
      </c>
      <c r="Z70" s="70" t="e">
        <v>#N/A</v>
      </c>
      <c r="AA70" s="77" t="e">
        <v>#N/A</v>
      </c>
      <c r="AB70" s="46" t="e">
        <v>#N/A</v>
      </c>
      <c r="AC70" s="46" t="e">
        <v>#N/A</v>
      </c>
      <c r="AD70" s="172" t="e">
        <f t="shared" si="17"/>
        <v>#N/A</v>
      </c>
      <c r="AE70" s="46" t="e">
        <v>#N/A</v>
      </c>
      <c r="AF70" s="173" t="e">
        <f t="shared" si="18"/>
        <v>#N/A</v>
      </c>
    </row>
    <row r="71" spans="1:32" ht="11.25" customHeight="1" x14ac:dyDescent="0.2">
      <c r="A71" s="59" t="s">
        <v>118</v>
      </c>
      <c r="B71" s="60" t="s">
        <v>108</v>
      </c>
      <c r="C71" s="61">
        <v>2</v>
      </c>
      <c r="D71" s="62" t="str">
        <f t="shared" si="16"/>
        <v>Eonia</v>
      </c>
      <c r="E71" s="63" t="str">
        <f t="shared" si="13"/>
        <v>EUR1EON3E24Y_LCHQuote</v>
      </c>
      <c r="F71" s="176">
        <v>0</v>
      </c>
      <c r="G71" s="64" t="str">
        <f>_xll.qlOISRateHelper(,$C71,$B71,$E71,$D71,,Permanent,Trigger,ObjectOverwrite)</f>
        <v>obj_0068f#0001</v>
      </c>
      <c r="I71" s="10" t="str">
        <f t="shared" si="10"/>
        <v>BasSw</v>
      </c>
      <c r="J71" s="94" t="str">
        <f t="shared" si="11"/>
        <v>obj_00656#0001</v>
      </c>
      <c r="K71" s="146" t="str">
        <f>IFERROR(_xll.qlRateHelperQuoteName(J71,Trigger),"--")</f>
        <v>EUR1EON3E28Y_LCHQuote</v>
      </c>
      <c r="L71" s="98" t="str">
        <f>IFERROR(_xll.qlRateHelperQuoteValue($J71,Trigger),"--")</f>
        <v>--</v>
      </c>
      <c r="M71" s="97" t="b">
        <v>0</v>
      </c>
      <c r="N71" s="94">
        <v>50</v>
      </c>
      <c r="O71" s="94">
        <v>1</v>
      </c>
      <c r="P71" s="99">
        <f>IFERROR(_xll.qlRateHelperEarliestDate(J71,Trigger),"--")</f>
        <v>42256</v>
      </c>
      <c r="Q71" s="99">
        <f>IFERROR(_xll.qlRateHelperPillarDate(J71,Trigger),"--")</f>
        <v>52483</v>
      </c>
      <c r="S71" s="4" t="str">
        <f t="shared" si="14"/>
        <v/>
      </c>
      <c r="T71" s="4" t="e">
        <v>#N/A</v>
      </c>
      <c r="U71" s="4" t="str">
        <f>IFERROR(_xll.qlRateHelperQuoteName(T71,Trigger),"")</f>
        <v/>
      </c>
      <c r="V71" s="70" t="str">
        <f>IFERROR(_xll.qlRateHelperRate(T71,Trigger),"")</f>
        <v/>
      </c>
      <c r="W71" s="104" t="str">
        <f>IF(ISERROR(_xll.qlSwapRateHelperSpread($T71)),IF(ISERROR(_xll.qlFuturesRateHelperConvexityAdjustment($T71)),"",_xll.qlFuturesRateHelperConvexityAdjustment($T71)),_xll.qlSwapRateHelperSpread($T71))</f>
        <v/>
      </c>
      <c r="X71" s="5" t="str">
        <f>IFERROR(_xll.qlRateHelperEarliestDate(T71,Trigger),"")</f>
        <v/>
      </c>
      <c r="Y71" s="5" t="str">
        <f>IFERROR(_xll.qlRateHelperPillarDate(T71,Trigger),"")</f>
        <v/>
      </c>
      <c r="Z71" s="70" t="e">
        <v>#N/A</v>
      </c>
      <c r="AA71" s="77" t="e">
        <v>#N/A</v>
      </c>
      <c r="AB71" s="46" t="e">
        <v>#N/A</v>
      </c>
      <c r="AC71" s="46" t="e">
        <v>#N/A</v>
      </c>
      <c r="AD71" s="172" t="e">
        <f t="shared" si="17"/>
        <v>#N/A</v>
      </c>
      <c r="AE71" s="46" t="e">
        <v>#N/A</v>
      </c>
      <c r="AF71" s="173" t="e">
        <f t="shared" si="18"/>
        <v>#N/A</v>
      </c>
    </row>
    <row r="72" spans="1:32" ht="11.25" customHeight="1" x14ac:dyDescent="0.2">
      <c r="A72" s="59" t="s">
        <v>118</v>
      </c>
      <c r="B72" s="60" t="s">
        <v>64</v>
      </c>
      <c r="C72" s="61">
        <v>2</v>
      </c>
      <c r="D72" s="62" t="str">
        <f t="shared" si="16"/>
        <v>Eonia</v>
      </c>
      <c r="E72" s="63" t="str">
        <f t="shared" si="13"/>
        <v>EUR1EON3E25Y_LCHQuote</v>
      </c>
      <c r="F72" s="176">
        <v>0</v>
      </c>
      <c r="G72" s="64" t="str">
        <f>_xll.qlOISRateHelper(,$C72,$B72,$E72,$D72,,Permanent,Trigger,ObjectOverwrite)</f>
        <v>obj_0064e#0001</v>
      </c>
      <c r="I72" s="10" t="str">
        <f t="shared" si="10"/>
        <v>BasSw</v>
      </c>
      <c r="J72" s="94" t="str">
        <f t="shared" si="11"/>
        <v>obj_0065b#0001</v>
      </c>
      <c r="K72" s="146" t="str">
        <f>IFERROR(_xll.qlRateHelperQuoteName(J72,Trigger),"--")</f>
        <v>EUR1EON3E29Y_LCHQuote</v>
      </c>
      <c r="L72" s="98" t="str">
        <f>IFERROR(_xll.qlRateHelperQuoteValue($J72,Trigger),"--")</f>
        <v>--</v>
      </c>
      <c r="M72" s="97" t="b">
        <v>0</v>
      </c>
      <c r="N72" s="94">
        <v>50</v>
      </c>
      <c r="O72" s="94">
        <v>1</v>
      </c>
      <c r="P72" s="99">
        <f>IFERROR(_xll.qlRateHelperEarliestDate(J72,Trigger),"--")</f>
        <v>42256</v>
      </c>
      <c r="Q72" s="99">
        <f>IFERROR(_xll.qlRateHelperPillarDate(J72,Trigger),"--")</f>
        <v>52849</v>
      </c>
      <c r="S72" s="4" t="str">
        <f t="shared" si="14"/>
        <v/>
      </c>
      <c r="T72" s="4" t="e">
        <v>#N/A</v>
      </c>
      <c r="U72" s="4" t="str">
        <f>IFERROR(_xll.qlRateHelperQuoteName(T72,Trigger),"")</f>
        <v/>
      </c>
      <c r="V72" s="70" t="str">
        <f>IFERROR(_xll.qlRateHelperRate(T72,Trigger),"")</f>
        <v/>
      </c>
      <c r="W72" s="104" t="str">
        <f>IF(ISERROR(_xll.qlSwapRateHelperSpread($T72)),IF(ISERROR(_xll.qlFuturesRateHelperConvexityAdjustment($T72)),"",_xll.qlFuturesRateHelperConvexityAdjustment($T72)),_xll.qlSwapRateHelperSpread($T72))</f>
        <v/>
      </c>
      <c r="X72" s="5" t="str">
        <f>IFERROR(_xll.qlRateHelperEarliestDate(T72,Trigger),"")</f>
        <v/>
      </c>
      <c r="Y72" s="5" t="str">
        <f>IFERROR(_xll.qlRateHelperPillarDate(T72,Trigger),"")</f>
        <v/>
      </c>
      <c r="Z72" s="70" t="e">
        <v>#N/A</v>
      </c>
      <c r="AA72" s="77" t="e">
        <v>#N/A</v>
      </c>
      <c r="AB72" s="46" t="e">
        <v>#N/A</v>
      </c>
      <c r="AC72" s="46" t="e">
        <v>#N/A</v>
      </c>
      <c r="AD72" s="172" t="e">
        <f t="shared" si="17"/>
        <v>#N/A</v>
      </c>
      <c r="AE72" s="46" t="e">
        <v>#N/A</v>
      </c>
      <c r="AF72" s="173" t="e">
        <f t="shared" si="18"/>
        <v>#N/A</v>
      </c>
    </row>
    <row r="73" spans="1:32" ht="11.25" customHeight="1" x14ac:dyDescent="0.2">
      <c r="A73" s="59" t="s">
        <v>118</v>
      </c>
      <c r="B73" s="60" t="s">
        <v>109</v>
      </c>
      <c r="C73" s="61">
        <v>2</v>
      </c>
      <c r="D73" s="62" t="str">
        <f t="shared" si="16"/>
        <v>Eonia</v>
      </c>
      <c r="E73" s="63" t="str">
        <f t="shared" si="13"/>
        <v>EUR1EON3E26Y_LCHQuote</v>
      </c>
      <c r="F73" s="176">
        <v>0</v>
      </c>
      <c r="G73" s="64" t="str">
        <f>_xll.qlOISRateHelper(,$C73,$B73,$E73,$D73,,Permanent,Trigger,ObjectOverwrite)</f>
        <v>obj_00660#0001</v>
      </c>
      <c r="I73" s="10" t="str">
        <f t="shared" si="10"/>
        <v>BasSw</v>
      </c>
      <c r="J73" s="94" t="str">
        <f t="shared" si="11"/>
        <v>obj_00651#0001</v>
      </c>
      <c r="K73" s="146" t="str">
        <f>IFERROR(_xll.qlRateHelperQuoteName(J73,Trigger),"--")</f>
        <v>EUR1EON3E30Y_LCHQuote</v>
      </c>
      <c r="L73" s="98">
        <f>IFERROR(_xll.qlRateHelperQuoteValue($J73,Trigger),"--")</f>
        <v>1.40553E-2</v>
      </c>
      <c r="M73" s="97" t="b">
        <v>1</v>
      </c>
      <c r="N73" s="94">
        <v>50</v>
      </c>
      <c r="O73" s="94">
        <v>1</v>
      </c>
      <c r="P73" s="99">
        <f>IFERROR(_xll.qlRateHelperEarliestDate(J73,Trigger),"--")</f>
        <v>42256</v>
      </c>
      <c r="Q73" s="99">
        <f>IFERROR(_xll.qlRateHelperPillarDate(J73,Trigger),"--")</f>
        <v>53216</v>
      </c>
      <c r="S73" s="4" t="str">
        <f t="shared" si="14"/>
        <v/>
      </c>
      <c r="T73" s="4" t="e">
        <v>#N/A</v>
      </c>
      <c r="U73" s="4" t="str">
        <f>IFERROR(_xll.qlRateHelperQuoteName(T73,Trigger),"")</f>
        <v/>
      </c>
      <c r="V73" s="70" t="str">
        <f>IFERROR(_xll.qlRateHelperRate(T73,Trigger),"")</f>
        <v/>
      </c>
      <c r="W73" s="104" t="str">
        <f>IF(ISERROR(_xll.qlSwapRateHelperSpread($T73)),IF(ISERROR(_xll.qlFuturesRateHelperConvexityAdjustment($T73)),"",_xll.qlFuturesRateHelperConvexityAdjustment($T73)),_xll.qlSwapRateHelperSpread($T73))</f>
        <v/>
      </c>
      <c r="X73" s="5" t="str">
        <f>IFERROR(_xll.qlRateHelperEarliestDate(T73,Trigger),"")</f>
        <v/>
      </c>
      <c r="Y73" s="5" t="str">
        <f>IFERROR(_xll.qlRateHelperPillarDate(T73,Trigger),"")</f>
        <v/>
      </c>
      <c r="Z73" s="70" t="e">
        <v>#N/A</v>
      </c>
      <c r="AA73" s="77" t="e">
        <v>#N/A</v>
      </c>
      <c r="AB73" s="46" t="e">
        <v>#N/A</v>
      </c>
      <c r="AC73" s="46" t="e">
        <v>#N/A</v>
      </c>
      <c r="AD73" s="172" t="e">
        <f t="shared" si="17"/>
        <v>#N/A</v>
      </c>
      <c r="AE73" s="46" t="e">
        <v>#N/A</v>
      </c>
      <c r="AF73" s="173" t="e">
        <f t="shared" si="18"/>
        <v>#N/A</v>
      </c>
    </row>
    <row r="74" spans="1:32" ht="11.25" customHeight="1" x14ac:dyDescent="0.2">
      <c r="A74" s="59" t="s">
        <v>118</v>
      </c>
      <c r="B74" s="60" t="s">
        <v>65</v>
      </c>
      <c r="C74" s="61">
        <v>2</v>
      </c>
      <c r="D74" s="62" t="str">
        <f t="shared" si="16"/>
        <v>Eonia</v>
      </c>
      <c r="E74" s="63" t="str">
        <f t="shared" si="13"/>
        <v>EUR1EON3E27Y_LCHQuote</v>
      </c>
      <c r="F74" s="176">
        <v>0</v>
      </c>
      <c r="G74" s="64" t="str">
        <f>_xll.qlOISRateHelper(,$C74,$B74,$E74,$D74,,Permanent,Trigger,ObjectOverwrite)</f>
        <v>obj_0065a#0001</v>
      </c>
      <c r="I74" s="10" t="str">
        <f t="shared" si="10"/>
        <v>BasSw</v>
      </c>
      <c r="J74" s="94" t="str">
        <f t="shared" si="11"/>
        <v>obj_00690#0001</v>
      </c>
      <c r="K74" s="146" t="str">
        <f>IFERROR(_xll.qlRateHelperQuoteName(J74,Trigger),"--")</f>
        <v>EUR1EON3E35Y_LCHQuote</v>
      </c>
      <c r="L74" s="98" t="str">
        <f>IFERROR(_xll.qlRateHelperQuoteValue($J74,Trigger),"--")</f>
        <v>--</v>
      </c>
      <c r="M74" s="97" t="b">
        <v>0</v>
      </c>
      <c r="N74" s="94">
        <v>50</v>
      </c>
      <c r="O74" s="94">
        <v>1</v>
      </c>
      <c r="P74" s="99">
        <f>IFERROR(_xll.qlRateHelperEarliestDate(J74,Trigger),"--")</f>
        <v>42256</v>
      </c>
      <c r="Q74" s="99">
        <f>IFERROR(_xll.qlRateHelperPillarDate(J74,Trigger),"--")</f>
        <v>55040</v>
      </c>
      <c r="S74" s="4" t="str">
        <f t="shared" si="14"/>
        <v/>
      </c>
      <c r="T74" s="4" t="e">
        <v>#N/A</v>
      </c>
      <c r="U74" s="4" t="str">
        <f>IFERROR(_xll.qlRateHelperQuoteName(T74,Trigger),"")</f>
        <v/>
      </c>
      <c r="V74" s="70" t="str">
        <f>IFERROR(_xll.qlRateHelperRate(T74,Trigger),"")</f>
        <v/>
      </c>
      <c r="W74" s="104" t="str">
        <f>IF(ISERROR(_xll.qlSwapRateHelperSpread($T74)),IF(ISERROR(_xll.qlFuturesRateHelperConvexityAdjustment($T74)),"",_xll.qlFuturesRateHelperConvexityAdjustment($T74)),_xll.qlSwapRateHelperSpread($T74))</f>
        <v/>
      </c>
      <c r="X74" s="5" t="str">
        <f>IFERROR(_xll.qlRateHelperEarliestDate(T74,Trigger),"")</f>
        <v/>
      </c>
      <c r="Y74" s="5" t="str">
        <f>IFERROR(_xll.qlRateHelperPillarDate(T74,Trigger),"")</f>
        <v/>
      </c>
      <c r="Z74" s="70" t="e">
        <v>#N/A</v>
      </c>
      <c r="AA74" s="77" t="e">
        <v>#N/A</v>
      </c>
      <c r="AB74" s="46" t="e">
        <v>#N/A</v>
      </c>
      <c r="AC74" s="46" t="e">
        <v>#N/A</v>
      </c>
      <c r="AD74" s="172" t="e">
        <f t="shared" si="17"/>
        <v>#N/A</v>
      </c>
      <c r="AE74" s="46" t="e">
        <v>#N/A</v>
      </c>
      <c r="AF74" s="173" t="e">
        <f t="shared" si="18"/>
        <v>#N/A</v>
      </c>
    </row>
    <row r="75" spans="1:32" ht="11.25" customHeight="1" x14ac:dyDescent="0.2">
      <c r="A75" s="59" t="s">
        <v>118</v>
      </c>
      <c r="B75" s="60" t="s">
        <v>110</v>
      </c>
      <c r="C75" s="61">
        <v>2</v>
      </c>
      <c r="D75" s="62" t="str">
        <f t="shared" si="16"/>
        <v>Eonia</v>
      </c>
      <c r="E75" s="63" t="str">
        <f t="shared" si="13"/>
        <v>EUR1EON3E28Y_LCHQuote</v>
      </c>
      <c r="F75" s="176">
        <v>0</v>
      </c>
      <c r="G75" s="64" t="str">
        <f>_xll.qlOISRateHelper(,$C75,$B75,$E75,$D75,,Permanent,Trigger,ObjectOverwrite)</f>
        <v>obj_00656#0001</v>
      </c>
      <c r="I75" s="10" t="str">
        <f t="shared" si="10"/>
        <v>BasSw</v>
      </c>
      <c r="J75" s="94" t="str">
        <f t="shared" si="11"/>
        <v>obj_0064f#0001</v>
      </c>
      <c r="K75" s="146" t="str">
        <f>IFERROR(_xll.qlRateHelperQuoteName(J75,Trigger),"--")</f>
        <v>EUR1EON3E40Y_LCHQuote</v>
      </c>
      <c r="L75" s="98">
        <f>IFERROR(_xll.qlRateHelperQuoteValue($J75,Trigger),"--")</f>
        <v>1.44525E-2</v>
      </c>
      <c r="M75" s="97" t="b">
        <v>1</v>
      </c>
      <c r="N75" s="94">
        <v>50</v>
      </c>
      <c r="O75" s="94">
        <v>1</v>
      </c>
      <c r="P75" s="99">
        <f>IFERROR(_xll.qlRateHelperEarliestDate(J75,Trigger),"--")</f>
        <v>42256</v>
      </c>
      <c r="Q75" s="99">
        <f>IFERROR(_xll.qlRateHelperPillarDate(J75,Trigger),"--")</f>
        <v>56866</v>
      </c>
      <c r="S75" s="4" t="str">
        <f t="shared" si="14"/>
        <v/>
      </c>
      <c r="T75" s="4" t="e">
        <v>#N/A</v>
      </c>
      <c r="U75" s="4" t="str">
        <f>IFERROR(_xll.qlRateHelperQuoteName(T75,Trigger),"")</f>
        <v/>
      </c>
      <c r="V75" s="70" t="str">
        <f>IFERROR(_xll.qlRateHelperRate(T75,Trigger),"")</f>
        <v/>
      </c>
      <c r="W75" s="104" t="str">
        <f>IF(ISERROR(_xll.qlSwapRateHelperSpread($T75)),IF(ISERROR(_xll.qlFuturesRateHelperConvexityAdjustment($T75)),"",_xll.qlFuturesRateHelperConvexityAdjustment($T75)),_xll.qlSwapRateHelperSpread($T75))</f>
        <v/>
      </c>
      <c r="X75" s="5" t="str">
        <f>IFERROR(_xll.qlRateHelperEarliestDate(T75,Trigger),"")</f>
        <v/>
      </c>
      <c r="Y75" s="5" t="str">
        <f>IFERROR(_xll.qlRateHelperPillarDate(T75,Trigger),"")</f>
        <v/>
      </c>
      <c r="Z75" s="70" t="e">
        <v>#N/A</v>
      </c>
      <c r="AA75" s="77" t="e">
        <v>#N/A</v>
      </c>
      <c r="AB75" s="46" t="e">
        <v>#N/A</v>
      </c>
      <c r="AC75" s="46" t="e">
        <v>#N/A</v>
      </c>
      <c r="AD75" s="172" t="e">
        <f t="shared" si="17"/>
        <v>#N/A</v>
      </c>
      <c r="AE75" s="46" t="e">
        <v>#N/A</v>
      </c>
      <c r="AF75" s="173" t="e">
        <f t="shared" si="18"/>
        <v>#N/A</v>
      </c>
    </row>
    <row r="76" spans="1:32" ht="11.25" customHeight="1" x14ac:dyDescent="0.2">
      <c r="A76" s="59" t="s">
        <v>118</v>
      </c>
      <c r="B76" s="60" t="s">
        <v>111</v>
      </c>
      <c r="C76" s="61">
        <v>2</v>
      </c>
      <c r="D76" s="62" t="str">
        <f t="shared" si="16"/>
        <v>Eonia</v>
      </c>
      <c r="E76" s="63" t="str">
        <f t="shared" si="13"/>
        <v>EUR1EON3E29Y_LCHQuote</v>
      </c>
      <c r="F76" s="176">
        <v>0</v>
      </c>
      <c r="G76" s="64" t="str">
        <f>_xll.qlOISRateHelper(,$C76,$B76,$E76,$D76,,Permanent,Trigger,ObjectOverwrite)</f>
        <v>obj_0065b#0001</v>
      </c>
      <c r="I76" s="10" t="str">
        <f t="shared" si="10"/>
        <v>BasSw</v>
      </c>
      <c r="J76" s="94" t="str">
        <f t="shared" si="11"/>
        <v>obj_00650#0001</v>
      </c>
      <c r="K76" s="146" t="str">
        <f>IFERROR(_xll.qlRateHelperQuoteName(J76,Trigger),"--")</f>
        <v>EUR1EON3E50Y_LCHQuote</v>
      </c>
      <c r="L76" s="98">
        <f>IFERROR(_xll.qlRateHelperQuoteValue($J76,Trigger),"--")</f>
        <v>1.4257499999999999E-2</v>
      </c>
      <c r="M76" s="97" t="b">
        <v>1</v>
      </c>
      <c r="N76" s="94">
        <v>50</v>
      </c>
      <c r="O76" s="94">
        <v>1</v>
      </c>
      <c r="P76" s="99">
        <f>IFERROR(_xll.qlRateHelperEarliestDate(J76,Trigger),"--")</f>
        <v>42256</v>
      </c>
      <c r="Q76" s="99">
        <f>IFERROR(_xll.qlRateHelperPillarDate(J76,Trigger),"--")</f>
        <v>60519</v>
      </c>
      <c r="S76" s="4" t="str">
        <f t="shared" si="14"/>
        <v/>
      </c>
      <c r="T76" s="4" t="e">
        <v>#N/A</v>
      </c>
      <c r="U76" s="4" t="str">
        <f>IFERROR(_xll.qlRateHelperQuoteName(T76,Trigger),"")</f>
        <v/>
      </c>
      <c r="V76" s="70" t="str">
        <f>IFERROR(_xll.qlRateHelperRate(T76,Trigger),"")</f>
        <v/>
      </c>
      <c r="W76" s="104" t="str">
        <f>IF(ISERROR(_xll.qlSwapRateHelperSpread($T76)),IF(ISERROR(_xll.qlFuturesRateHelperConvexityAdjustment($T76)),"",_xll.qlFuturesRateHelperConvexityAdjustment($T76)),_xll.qlSwapRateHelperSpread($T76))</f>
        <v/>
      </c>
      <c r="X76" s="5" t="str">
        <f>IFERROR(_xll.qlRateHelperEarliestDate(T76,Trigger),"")</f>
        <v/>
      </c>
      <c r="Y76" s="5" t="str">
        <f>IFERROR(_xll.qlRateHelperPillarDate(T76,Trigger),"")</f>
        <v/>
      </c>
      <c r="Z76" s="70" t="e">
        <v>#N/A</v>
      </c>
      <c r="AA76" s="77" t="e">
        <v>#N/A</v>
      </c>
      <c r="AB76" s="46" t="e">
        <v>#N/A</v>
      </c>
      <c r="AC76" s="46" t="e">
        <v>#N/A</v>
      </c>
      <c r="AD76" s="172" t="e">
        <f t="shared" si="17"/>
        <v>#N/A</v>
      </c>
      <c r="AE76" s="46" t="e">
        <v>#N/A</v>
      </c>
      <c r="AF76" s="173" t="e">
        <f t="shared" si="18"/>
        <v>#N/A</v>
      </c>
    </row>
    <row r="77" spans="1:32" ht="11.25" customHeight="1" x14ac:dyDescent="0.2">
      <c r="A77" s="59" t="s">
        <v>118</v>
      </c>
      <c r="B77" s="60" t="s">
        <v>66</v>
      </c>
      <c r="C77" s="61">
        <v>2</v>
      </c>
      <c r="D77" s="62" t="str">
        <f t="shared" si="16"/>
        <v>Eonia</v>
      </c>
      <c r="E77" s="63" t="str">
        <f t="shared" si="13"/>
        <v>EUR1EON3E30Y_LCHQuote</v>
      </c>
      <c r="F77" s="176">
        <v>0</v>
      </c>
      <c r="G77" s="64" t="str">
        <f>_xll.qlOISRateHelper(,$C77,$B77,$E77,$D77,,Permanent,Trigger,ObjectOverwrite)</f>
        <v>obj_00651#0001</v>
      </c>
      <c r="I77" s="11" t="str">
        <f t="shared" si="10"/>
        <v>BasSw</v>
      </c>
      <c r="J77" s="95" t="str">
        <f t="shared" si="11"/>
        <v>obj_00681#0001</v>
      </c>
      <c r="K77" s="147" t="str">
        <f>IFERROR(_xll.qlRateHelperQuoteName(J77,Trigger),"--")</f>
        <v>EUR1EON3E60Y_LCHQuote</v>
      </c>
      <c r="L77" s="101">
        <f>IFERROR(_xll.qlRateHelperQuoteValue($J77,Trigger),"--")</f>
        <v>1.39925E-2</v>
      </c>
      <c r="M77" s="100" t="b">
        <v>1</v>
      </c>
      <c r="N77" s="95">
        <v>50</v>
      </c>
      <c r="O77" s="95">
        <v>1</v>
      </c>
      <c r="P77" s="102">
        <f>IFERROR(_xll.qlRateHelperEarliestDate(J77,Trigger),"--")</f>
        <v>42256</v>
      </c>
      <c r="Q77" s="102">
        <f>IFERROR(_xll.qlRateHelperPillarDate(J77,Trigger),"--")</f>
        <v>64171</v>
      </c>
      <c r="S77" s="4" t="str">
        <f t="shared" si="14"/>
        <v/>
      </c>
      <c r="T77" s="6" t="e">
        <v>#N/A</v>
      </c>
      <c r="U77" s="6" t="str">
        <f>IFERROR(_xll.qlRateHelperQuoteName(T77,Trigger),"")</f>
        <v/>
      </c>
      <c r="V77" s="79" t="str">
        <f>IFERROR(_xll.qlRateHelperRate(T77,Trigger),"")</f>
        <v/>
      </c>
      <c r="W77" s="105" t="str">
        <f>IF(ISERROR(_xll.qlSwapRateHelperSpread($T77)),IF(ISERROR(_xll.qlFuturesRateHelperConvexityAdjustment($T77)),"",_xll.qlFuturesRateHelperConvexityAdjustment($T77)),_xll.qlSwapRateHelperSpread($T77))</f>
        <v/>
      </c>
      <c r="X77" s="12" t="str">
        <f>IFERROR(_xll.qlRateHelperEarliestDate(T77,Trigger),"")</f>
        <v/>
      </c>
      <c r="Y77" s="12" t="str">
        <f>IFERROR(_xll.qlRateHelperPillarDate(T77,Trigger),"")</f>
        <v/>
      </c>
      <c r="Z77" s="79" t="e">
        <v>#N/A</v>
      </c>
      <c r="AA77" s="78" t="e">
        <v>#N/A</v>
      </c>
      <c r="AB77" s="46" t="e">
        <v>#N/A</v>
      </c>
      <c r="AC77" s="46" t="e">
        <v>#N/A</v>
      </c>
      <c r="AD77" s="172" t="e">
        <f t="shared" si="17"/>
        <v>#N/A</v>
      </c>
      <c r="AE77" s="46" t="e">
        <v>#N/A</v>
      </c>
      <c r="AF77" s="173" t="e">
        <f t="shared" si="18"/>
        <v>#N/A</v>
      </c>
    </row>
    <row r="78" spans="1:32" ht="11.25" customHeight="1" x14ac:dyDescent="0.2">
      <c r="A78" s="59" t="s">
        <v>118</v>
      </c>
      <c r="B78" s="60" t="s">
        <v>67</v>
      </c>
      <c r="C78" s="61">
        <v>2</v>
      </c>
      <c r="D78" s="62" t="str">
        <f t="shared" si="16"/>
        <v>Eonia</v>
      </c>
      <c r="E78" s="63" t="str">
        <f t="shared" si="13"/>
        <v>EUR1EON3E35Y_LCHQuote</v>
      </c>
      <c r="F78" s="176">
        <v>0</v>
      </c>
      <c r="G78" s="64" t="str">
        <f>_xll.qlOISRateHelper(,$C78,$B78,$E78,$D78,,Permanent,Trigger,ObjectOverwrite)</f>
        <v>obj_00690#0001</v>
      </c>
    </row>
    <row r="79" spans="1:32" ht="11.25" customHeight="1" x14ac:dyDescent="0.2">
      <c r="A79" s="59" t="s">
        <v>118</v>
      </c>
      <c r="B79" s="60" t="s">
        <v>68</v>
      </c>
      <c r="C79" s="61">
        <v>2</v>
      </c>
      <c r="D79" s="62" t="str">
        <f t="shared" si="16"/>
        <v>Eonia</v>
      </c>
      <c r="E79" s="63" t="str">
        <f t="shared" si="13"/>
        <v>EUR1EON3E40Y_LCHQuote</v>
      </c>
      <c r="F79" s="176">
        <v>0</v>
      </c>
      <c r="G79" s="64" t="str">
        <f>_xll.qlOISRateHelper(,$C79,$B79,$E79,$D79,,Permanent,Trigger,ObjectOverwrite)</f>
        <v>obj_0064f#0001</v>
      </c>
    </row>
    <row r="80" spans="1:32" ht="11.25" customHeight="1" x14ac:dyDescent="0.2">
      <c r="A80" s="59" t="s">
        <v>118</v>
      </c>
      <c r="B80" s="60" t="s">
        <v>69</v>
      </c>
      <c r="C80" s="61">
        <v>2</v>
      </c>
      <c r="D80" s="62" t="str">
        <f t="shared" si="16"/>
        <v>Eonia</v>
      </c>
      <c r="E80" s="63" t="str">
        <f t="shared" si="13"/>
        <v>EUR1EON3E50Y_LCHQuote</v>
      </c>
      <c r="F80" s="176">
        <v>0</v>
      </c>
      <c r="G80" s="64" t="str">
        <f>_xll.qlOISRateHelper(,$C80,$B80,$E80,$D80,,Permanent,Trigger,ObjectOverwrite)</f>
        <v>obj_00650#0001</v>
      </c>
    </row>
    <row r="81" spans="1:7" x14ac:dyDescent="0.2">
      <c r="A81" s="1" t="s">
        <v>118</v>
      </c>
      <c r="B81" s="8" t="s">
        <v>112</v>
      </c>
      <c r="C81" s="7">
        <v>2</v>
      </c>
      <c r="D81" s="9" t="str">
        <f t="shared" si="16"/>
        <v>Eonia</v>
      </c>
      <c r="E81" s="2" t="str">
        <f t="shared" si="13"/>
        <v>EUR1EON3E60Y_LCHQuote</v>
      </c>
      <c r="F81" s="177">
        <v>0</v>
      </c>
      <c r="G81" s="3" t="str">
        <f>_xll.qlOISRateHelper(,$C81,$B81,$E81,$D81,,Permanent,Trigger,ObjectOverwrite)</f>
        <v>obj_00681#0001</v>
      </c>
    </row>
  </sheetData>
  <mergeCells count="1">
    <mergeCell ref="AH2:AI2"/>
  </mergeCells>
  <dataValidations count="1"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9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1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4" width="11.85546875" style="46" hidden="1" customWidth="1" outlineLevel="1"/>
    <col min="35" max="35" width="9" style="46" hidden="1" customWidth="1" outlineLevel="1"/>
    <col min="36" max="38" width="12.4257812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0</v>
      </c>
      <c r="H1" s="50" t="str">
        <f>"_SYNTH"&amp;$G$1</f>
        <v>_SYNTH3M</v>
      </c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EUR3M</v>
      </c>
      <c r="Y1" s="66"/>
      <c r="Z1" s="66"/>
      <c r="AA1" s="66"/>
      <c r="AB1" s="69"/>
      <c r="AC1" s="69"/>
      <c r="AD1" s="66"/>
      <c r="AE1" s="66"/>
      <c r="AF1" s="178" t="s">
        <v>143</v>
      </c>
      <c r="AG1" s="178" t="s">
        <v>154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150</v>
      </c>
      <c r="K2" s="65" t="s">
        <v>151</v>
      </c>
      <c r="M2" s="73" t="s">
        <v>9</v>
      </c>
      <c r="N2" s="73" t="s">
        <v>150</v>
      </c>
      <c r="O2" s="73" t="s">
        <v>151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150</v>
      </c>
      <c r="Z2" s="73" t="s">
        <v>151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103">_xll.qlPiecewiseYieldCurveData(YieldCurve1_3M,Trigger)</f>
        <v>-3.447370365514721E-4</v>
      </c>
      <c r="AG2" s="76">
        <f t="array" ref="AG2:AG103">_xll.qlPiecewiseYieldCurveData(yieldcurve2_3M,Trigger)</f>
        <v>1</v>
      </c>
      <c r="AJ2" s="46" t="s">
        <v>155</v>
      </c>
      <c r="AL2" s="46" t="s">
        <v>156</v>
      </c>
      <c r="AN2" s="213" t="s">
        <v>85</v>
      </c>
      <c r="AO2" s="214"/>
    </row>
    <row r="3" spans="1:41" ht="11.25" customHeight="1" x14ac:dyDescent="0.2">
      <c r="A3" s="1" t="s">
        <v>26</v>
      </c>
      <c r="B3" s="8" t="s">
        <v>0</v>
      </c>
      <c r="C3" s="124"/>
      <c r="D3" s="124"/>
      <c r="E3" s="124"/>
      <c r="F3" s="124"/>
      <c r="G3" s="7" t="str">
        <f>PROPER(Currency)&amp;FamilyName&amp;B3</f>
        <v>Euribor3M</v>
      </c>
      <c r="H3" s="121" t="str">
        <f>IF(LCHQuoteOverwrite,Currency&amp;Tenor&amp;"D"&amp;LCHQuoteSuffix,Currency&amp;Tenor&amp;"D"&amp;QuoteSuffix)</f>
        <v>EUR3MD_LCHQuote</v>
      </c>
      <c r="I3" s="124"/>
      <c r="J3" s="3" t="str">
        <f>_xll.qlDepositRateHelper(,H3,G3,Permanent,Trigger,ObjectOverwrite)</f>
        <v>obj_007a0#0001</v>
      </c>
      <c r="K3" s="3" t="str">
        <f>J3</f>
        <v>obj_007a0#0001</v>
      </c>
      <c r="L3" s="49"/>
      <c r="M3" s="11" t="str">
        <f>A3</f>
        <v>Dp</v>
      </c>
      <c r="N3" s="95" t="str">
        <f>IF(ISBLANK(J3),"--",J3)</f>
        <v>obj_007a0#0001</v>
      </c>
      <c r="O3" s="95" t="str">
        <f>IF(ISBLANK(K3),"--",K3)</f>
        <v>obj_007a0#0001</v>
      </c>
      <c r="P3" s="147" t="str">
        <f>IFERROR(_xll.qlRateHelperQuoteName(N3,Trigger),"--")</f>
        <v>EUR3MD_LCHQuote</v>
      </c>
      <c r="Q3" s="101">
        <f>IFERROR(_xll.qlRateHelperQuoteValue($N3,Trigger),"--")</f>
        <v>-3.4000000000000002E-4</v>
      </c>
      <c r="R3" s="100" t="b">
        <v>1</v>
      </c>
      <c r="S3" s="95"/>
      <c r="T3" s="95">
        <v>1</v>
      </c>
      <c r="U3" s="102">
        <f>IFERROR(_xll.qlRateHelperEarliestDate(N3,Trigger),"--")</f>
        <v>42256</v>
      </c>
      <c r="V3" s="102">
        <f>IFERROR(_xll.qlRateHelperPillarDate(N3,Trigger),"--")</f>
        <v>42347</v>
      </c>
      <c r="X3" s="4" t="str">
        <f t="shared" ref="X3:X34" si="0">IFERROR(INDEX($M$3:$M$103,MATCH(AA3,$P$3:$P$103,0),1),"")</f>
        <v>Dp</v>
      </c>
      <c r="Y3" s="4" t="str">
        <f t="array" ref="Y3:Y103">_xll.qlRateHelperSelection(_xll.ohFilter(RateHelpers1,IncludeFlag),_xll.ohFilter(Priority,IncludeFlag),$AO$3,$AO$4,$AO$5,$AO$6,_xll.ohFilter(MinDistance,IncludeFlag),Trigger)</f>
        <v>obj_007a0</v>
      </c>
      <c r="Z3" s="4" t="str">
        <f t="array" ref="Z3:Z103">_xll.qlRateHelperSelection(_xll.ohFilter(RateHelpers2,IncludeFlag),_xll.ohFilter(Priority,IncludeFlag),$AO$3,$AO$4,$AO$5,$AO$6,_xll.ohFilter(MinDistance,IncludeFlag),Trigger)</f>
        <v>obj_007a0</v>
      </c>
      <c r="AA3" s="4" t="str">
        <f>IFERROR(_xll.qlRateHelperQuoteName(Y3,Trigger),"")</f>
        <v>EUR3MD_LCHQuote</v>
      </c>
      <c r="AB3" s="70">
        <f>IFERROR(_xll.qlRateHelperRate(Y3,Trigger),"")</f>
        <v>-3.4000000000000002E-4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42256</v>
      </c>
      <c r="AE3" s="5">
        <f>IFERROR(_xll.qlRateHelperPillarDate(Y3,Trigger),"")</f>
        <v>42347</v>
      </c>
      <c r="AF3" s="70">
        <v>-3.447370365514721E-4</v>
      </c>
      <c r="AG3" s="77">
        <v>1.0000877532101247</v>
      </c>
      <c r="AH3" s="169">
        <f t="array" ref="AH3:AH103">_xll.ohFilter([1]REP00100!$C$2:$C$1000,([1]REP00100!$A$2:$A$1000="EUR_EURIBOR_3M_EOD"))</f>
        <v>42347</v>
      </c>
      <c r="AI3" s="170">
        <f t="array" ref="AI3:AI103">_xll.ohFilter([1]REP00100!$E$2:$E$1000,([1]REP00100!$A$2:$A$1000="EUR_EURIBOR_3M_EOD"))</f>
        <v>-3.4473703655037001E-4</v>
      </c>
      <c r="AJ3" s="172">
        <f t="shared" ref="AJ3:AJ66" si="1">AF3-AI3</f>
        <v>-1.1020915083315153E-15</v>
      </c>
      <c r="AK3" s="80">
        <f t="array" ref="AK3:AK103">_xll.ohFilter([1]REP00101!$F$2:$F$1000,([1]REP00101!$A$2:$A$1000="EUR_EURIBOR_3M_EOD"))</f>
        <v>1.0000878409657299</v>
      </c>
      <c r="AL3" s="161">
        <f t="shared" ref="AL3:AL66" si="2">AK3-AG3</f>
        <v>8.775560522700232E-8</v>
      </c>
      <c r="AN3" s="107" t="s">
        <v>86</v>
      </c>
      <c r="AO3" s="108">
        <v>12</v>
      </c>
    </row>
    <row r="4" spans="1:41" ht="11.25" customHeight="1" x14ac:dyDescent="0.2">
      <c r="B4" s="46"/>
      <c r="C4" s="46"/>
      <c r="D4" s="46"/>
      <c r="E4" s="46"/>
      <c r="F4" s="46"/>
      <c r="G4" s="46"/>
      <c r="H4" s="46" t="s">
        <v>95</v>
      </c>
      <c r="L4" s="48"/>
      <c r="M4" s="10" t="str">
        <f t="shared" ref="M4:M14" si="3">A6</f>
        <v>FUT</v>
      </c>
      <c r="N4" s="94" t="str">
        <f t="shared" ref="N4:N14" si="4">IF(ISBLANK(J6),"--",J6)</f>
        <v>obj_006f2#0001</v>
      </c>
      <c r="O4" s="94" t="str">
        <f t="shared" ref="O4:O14" si="5">IF(ISBLANK(K6),"--",K6)</f>
        <v>obj_006f2#0001</v>
      </c>
      <c r="P4" s="146" t="str">
        <f>IFERROR(_xll.qlRateHelperQuoteName(N4,Trigger),"--")</f>
        <v>FEIU5_LCHQuote</v>
      </c>
      <c r="Q4" s="150" t="str">
        <f>IFERROR(_xll.qlRateHelperQuoteValue($N4,Trigger),"--")</f>
        <v>--</v>
      </c>
      <c r="R4" s="97" t="b">
        <v>1</v>
      </c>
      <c r="S4" s="94"/>
      <c r="T4" s="94">
        <v>1</v>
      </c>
      <c r="U4" s="99">
        <f>IFERROR(_xll.qlRateHelperEarliestDate(N4,Trigger),"--")</f>
        <v>42263</v>
      </c>
      <c r="V4" s="99">
        <f>IFERROR(_xll.qlRateHelperPillarDate(N4,Trigger),"--")</f>
        <v>42354</v>
      </c>
      <c r="X4" s="4" t="str">
        <f t="shared" si="0"/>
        <v>FUT</v>
      </c>
      <c r="Y4" s="4" t="str">
        <v>obj_007c6</v>
      </c>
      <c r="Z4" s="4" t="str">
        <v>obj_007c6</v>
      </c>
      <c r="AA4" s="4" t="str">
        <f>IFERROR(_xll.qlRateHelperQuoteName(Y4,Trigger),"")</f>
        <v>FEIZ5_LCHQuote</v>
      </c>
      <c r="AB4" s="70">
        <f>IFERROR(_xll.qlRateHelperRate(Y4,Trigger),"")</f>
        <v>-4.0400000000007097E-4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42354</v>
      </c>
      <c r="AE4" s="5">
        <f>IFERROR(_xll.qlRateHelperPillarDate(Y4,Trigger),"")</f>
        <v>42445</v>
      </c>
      <c r="AF4" s="70">
        <v>-3.768567796618872E-4</v>
      </c>
      <c r="AG4" s="77">
        <v>1.0001971684666129</v>
      </c>
      <c r="AH4" s="169">
        <v>42445</v>
      </c>
      <c r="AI4" s="170">
        <v>-3.7685677966127999E-4</v>
      </c>
      <c r="AJ4" s="172">
        <f t="shared" si="1"/>
        <v>-6.0720742670050676E-16</v>
      </c>
      <c r="AK4" s="80">
        <v>1.00019778465154</v>
      </c>
      <c r="AL4" s="161">
        <f t="shared" si="2"/>
        <v>6.1618492708248596E-7</v>
      </c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97</v>
      </c>
      <c r="C5" s="65" t="s">
        <v>33</v>
      </c>
      <c r="D5" s="65"/>
      <c r="E5" s="65" t="s">
        <v>147</v>
      </c>
      <c r="F5" s="65" t="s">
        <v>148</v>
      </c>
      <c r="G5" s="65" t="s">
        <v>4</v>
      </c>
      <c r="H5" s="65" t="s">
        <v>1</v>
      </c>
      <c r="I5" s="65" t="s">
        <v>96</v>
      </c>
      <c r="J5" s="65" t="s">
        <v>150</v>
      </c>
      <c r="K5" s="65" t="s">
        <v>151</v>
      </c>
      <c r="L5" s="48"/>
      <c r="M5" s="10" t="str">
        <f t="shared" si="3"/>
        <v>FUT</v>
      </c>
      <c r="N5" s="94" t="str">
        <f t="shared" si="4"/>
        <v>obj_007c6#0001</v>
      </c>
      <c r="O5" s="94" t="str">
        <f t="shared" si="5"/>
        <v>obj_007c6#0001</v>
      </c>
      <c r="P5" s="146" t="str">
        <f>IFERROR(_xll.qlRateHelperQuoteName(N5,Trigger),"--")</f>
        <v>FEIZ5_LCHQuote</v>
      </c>
      <c r="Q5" s="150">
        <f>IFERROR(_xll.qlRateHelperQuoteValue($N5,Trigger),"--")</f>
        <v>100.04040000000001</v>
      </c>
      <c r="R5" s="97" t="b">
        <v>1</v>
      </c>
      <c r="S5" s="94"/>
      <c r="T5" s="94">
        <v>1</v>
      </c>
      <c r="U5" s="99">
        <f>IFERROR(_xll.qlRateHelperEarliestDate(N5,Trigger),"--")</f>
        <v>42354</v>
      </c>
      <c r="V5" s="99">
        <f>IFERROR(_xll.qlRateHelperPillarDate(N5,Trigger),"--")</f>
        <v>42445</v>
      </c>
      <c r="X5" s="4" t="str">
        <f t="shared" si="0"/>
        <v>FUT</v>
      </c>
      <c r="Y5" s="4" t="str">
        <v>obj_007c2</v>
      </c>
      <c r="Z5" s="4" t="str">
        <v>obj_007c2</v>
      </c>
      <c r="AA5" s="4" t="str">
        <f>IFERROR(_xll.qlRateHelperQuoteName(Y5,Trigger),"")</f>
        <v>FEIH6_LCHQuote</v>
      </c>
      <c r="AB5" s="70">
        <f>IFERROR(_xll.qlRateHelperRate(Y5,Trigger),"")</f>
        <v>-4.0900000000010373E-4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42445</v>
      </c>
      <c r="AE5" s="5">
        <f>IFERROR(_xll.qlRateHelperPillarDate(Y5,Trigger),"")</f>
        <v>42536</v>
      </c>
      <c r="AF5" s="70">
        <v>-3.8906931819178973E-4</v>
      </c>
      <c r="AG5" s="77">
        <v>1.0003005857128606</v>
      </c>
      <c r="AH5" s="169">
        <v>42536</v>
      </c>
      <c r="AI5" s="170">
        <v>-3.8906931819125999E-4</v>
      </c>
      <c r="AJ5" s="172">
        <f t="shared" si="1"/>
        <v>-5.2974118147641747E-16</v>
      </c>
      <c r="AK5" s="80">
        <v>1.0003012019615001</v>
      </c>
      <c r="AL5" s="161">
        <f t="shared" si="2"/>
        <v>6.1624863945120012E-7</v>
      </c>
      <c r="AM5" s="80"/>
      <c r="AN5" s="107" t="s">
        <v>88</v>
      </c>
      <c r="AO5" s="108">
        <f>AO7+AO8</f>
        <v>10</v>
      </c>
    </row>
    <row r="6" spans="1:41" ht="11.25" customHeight="1" x14ac:dyDescent="0.2">
      <c r="A6" s="59" t="s">
        <v>94</v>
      </c>
      <c r="B6" s="116" t="b">
        <v>1</v>
      </c>
      <c r="C6" s="62" t="str">
        <f>_xll.qlIMMNextCode(_xll.qlSettingsEvaluationDate(Trigger),B6,Trigger)</f>
        <v>U5</v>
      </c>
      <c r="D6" s="123"/>
      <c r="E6" s="156">
        <f>_xll.qlIMMdate(C6,,Trigger)</f>
        <v>42263</v>
      </c>
      <c r="F6" s="156">
        <f>_xll.qlIMMNextDate(E6,,Trigger)</f>
        <v>42354</v>
      </c>
      <c r="G6" s="61" t="str">
        <f t="shared" ref="G6:G29" si="6">PROPER(Currency)&amp;FamilyName&amp;Tenor</f>
        <v>Euribor3M</v>
      </c>
      <c r="H6" s="119" t="str">
        <f t="shared" ref="H6:H29" si="7">IF(LCHQuoteOverwrite,"FEI"&amp;$C6&amp;LCHQuoteSuffix,Currency&amp;"FUT"&amp;$G$1&amp;$C6&amp;QuoteSuffix)</f>
        <v>FEIU5_LCHQuote</v>
      </c>
      <c r="I6" s="125">
        <f t="shared" ref="I6:I29" si="8">IF(LCHQuoteOverwrite,0,Currency&amp;"FUT"&amp;$G$1&amp;$C6&amp;"ConvAdj"&amp;QuoteSuffix)</f>
        <v>0</v>
      </c>
      <c r="J6" s="64" t="str">
        <f>_xll.qlFuturesRateHelper(,$H6,$H$4,$E6,$G6,$I6,FALSE,"customdate",$F6,Permanent,Trigger,ObjectOverwrite)</f>
        <v>obj_006f2#0001</v>
      </c>
      <c r="K6" s="64" t="str">
        <f>J6</f>
        <v>obj_006f2#0001</v>
      </c>
      <c r="L6" s="48"/>
      <c r="M6" s="10" t="str">
        <f t="shared" si="3"/>
        <v>FUT</v>
      </c>
      <c r="N6" s="94" t="str">
        <f t="shared" si="4"/>
        <v>obj_007c2#0001</v>
      </c>
      <c r="O6" s="94" t="str">
        <f t="shared" si="5"/>
        <v>obj_007c2#0001</v>
      </c>
      <c r="P6" s="146" t="str">
        <f>IFERROR(_xll.qlRateHelperQuoteName(N6,Trigger),"--")</f>
        <v>FEIH6_LCHQuote</v>
      </c>
      <c r="Q6" s="150">
        <f>IFERROR(_xll.qlRateHelperQuoteValue($N6,Trigger),"--")</f>
        <v>100.04090000000001</v>
      </c>
      <c r="R6" s="97" t="b">
        <v>1</v>
      </c>
      <c r="S6" s="94"/>
      <c r="T6" s="94">
        <v>1</v>
      </c>
      <c r="U6" s="99">
        <f>IFERROR(_xll.qlRateHelperEarliestDate(N6,Trigger),"--")</f>
        <v>42445</v>
      </c>
      <c r="V6" s="99">
        <f>IFERROR(_xll.qlRateHelperPillarDate(N6,Trigger),"--")</f>
        <v>42536</v>
      </c>
      <c r="X6" s="4" t="str">
        <f t="shared" si="0"/>
        <v>FUT</v>
      </c>
      <c r="Y6" s="4" t="str">
        <v>obj_007c7</v>
      </c>
      <c r="Z6" s="4" t="str">
        <v>obj_007c7</v>
      </c>
      <c r="AA6" s="4" t="str">
        <f>IFERROR(_xll.qlRateHelperQuoteName(Y6,Trigger),"")</f>
        <v>FEIM6_LCHQuote</v>
      </c>
      <c r="AB6" s="70">
        <f>IFERROR(_xll.qlRateHelperRate(Y6,Trigger),"")</f>
        <v>-3.6700000000000621E-4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42536</v>
      </c>
      <c r="AE6" s="5">
        <f>IFERROR(_xll.qlRateHelperPillarDate(Y6,Trigger),"")</f>
        <v>42634</v>
      </c>
      <c r="AF6" s="70">
        <v>-3.8469680433028073E-4</v>
      </c>
      <c r="AG6" s="77">
        <v>1.0004005309780104</v>
      </c>
      <c r="AH6" s="169">
        <v>42634</v>
      </c>
      <c r="AI6" s="170">
        <v>-3.8469680432975001E-4</v>
      </c>
      <c r="AJ6" s="172">
        <f t="shared" si="1"/>
        <v>-5.3071696343165442E-16</v>
      </c>
      <c r="AK6" s="80">
        <v>1.0004011472882199</v>
      </c>
      <c r="AL6" s="161">
        <f t="shared" si="2"/>
        <v>6.1631020953356597E-7</v>
      </c>
      <c r="AN6" s="107" t="s">
        <v>89</v>
      </c>
      <c r="AO6" s="109" t="s">
        <v>90</v>
      </c>
    </row>
    <row r="7" spans="1:41" ht="11.25" customHeight="1" x14ac:dyDescent="0.2">
      <c r="A7" s="59" t="s">
        <v>94</v>
      </c>
      <c r="B7" s="116" t="b">
        <v>1</v>
      </c>
      <c r="C7" s="62" t="str">
        <f>_xll.qlIMMNextCode(C6,B7,Trigger)</f>
        <v>Z5</v>
      </c>
      <c r="D7" s="123"/>
      <c r="E7" s="156">
        <f>_xll.qlIMMdate(C7,,Trigger)</f>
        <v>42354</v>
      </c>
      <c r="F7" s="156">
        <f>_xll.qlIMMNextDate(E7,,Trigger)</f>
        <v>42445</v>
      </c>
      <c r="G7" s="61" t="str">
        <f t="shared" si="6"/>
        <v>Euribor3M</v>
      </c>
      <c r="H7" s="119" t="str">
        <f t="shared" si="7"/>
        <v>FEIZ5_LCHQuote</v>
      </c>
      <c r="I7" s="125">
        <f t="shared" si="8"/>
        <v>0</v>
      </c>
      <c r="J7" s="64" t="str">
        <f>_xll.qlFuturesRateHelper(,$H7,$H$4,$E7,$G7,$I7,FALSE,"customdate",$F7,Permanent,Trigger,ObjectOverwrite)</f>
        <v>obj_007c6#0001</v>
      </c>
      <c r="K7" s="64" t="str">
        <f t="shared" ref="K7:K16" si="9">J7</f>
        <v>obj_007c6#0001</v>
      </c>
      <c r="L7" s="48"/>
      <c r="M7" s="10" t="str">
        <f t="shared" si="3"/>
        <v>FUT</v>
      </c>
      <c r="N7" s="94" t="str">
        <f t="shared" si="4"/>
        <v>obj_007c7#0001</v>
      </c>
      <c r="O7" s="94" t="str">
        <f t="shared" si="5"/>
        <v>obj_007c7#0001</v>
      </c>
      <c r="P7" s="146" t="str">
        <f>IFERROR(_xll.qlRateHelperQuoteName(N7,Trigger),"--")</f>
        <v>FEIM6_LCHQuote</v>
      </c>
      <c r="Q7" s="150">
        <f>IFERROR(_xll.qlRateHelperQuoteValue($N7,Trigger),"--")</f>
        <v>100.0367</v>
      </c>
      <c r="R7" s="97" t="b">
        <v>1</v>
      </c>
      <c r="S7" s="94"/>
      <c r="T7" s="94">
        <v>1</v>
      </c>
      <c r="U7" s="99">
        <f>IFERROR(_xll.qlRateHelperEarliestDate(N7,Trigger),"--")</f>
        <v>42536</v>
      </c>
      <c r="V7" s="99">
        <f>IFERROR(_xll.qlRateHelperPillarDate(N7,Trigger),"--")</f>
        <v>42634</v>
      </c>
      <c r="X7" s="4" t="str">
        <f t="shared" si="0"/>
        <v>FUT</v>
      </c>
      <c r="Y7" s="4" t="str">
        <v>obj_007c1</v>
      </c>
      <c r="Z7" s="4" t="str">
        <v>obj_007c1</v>
      </c>
      <c r="AA7" s="4" t="str">
        <f>IFERROR(_xll.qlRateHelperQuoteName(Y7,Trigger),"")</f>
        <v>FEIU6_LCHQuote</v>
      </c>
      <c r="AB7" s="70">
        <f>IFERROR(_xll.qlRateHelperRate(Y7,Trigger),"")</f>
        <v>-2.2600000000005949E-4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42634</v>
      </c>
      <c r="AE7" s="5">
        <f>IFERROR(_xll.qlRateHelperPillarDate(Y7,Trigger),"")</f>
        <v>42725</v>
      </c>
      <c r="AF7" s="70">
        <v>-3.5464335490782858E-4</v>
      </c>
      <c r="AG7" s="77">
        <v>1.0004576849023097</v>
      </c>
      <c r="AH7" s="169">
        <v>42725</v>
      </c>
      <c r="AI7" s="170">
        <v>-3.5464335490611998E-4</v>
      </c>
      <c r="AJ7" s="172">
        <f t="shared" si="1"/>
        <v>-1.7085942036199064E-15</v>
      </c>
      <c r="AK7" s="80">
        <v>1.0004583012477299</v>
      </c>
      <c r="AL7" s="161">
        <f t="shared" si="2"/>
        <v>6.1634542025679195E-7</v>
      </c>
      <c r="AN7" s="107" t="s">
        <v>163</v>
      </c>
      <c r="AO7" s="109">
        <v>2</v>
      </c>
    </row>
    <row r="8" spans="1:41" ht="11.25" customHeight="1" x14ac:dyDescent="0.2">
      <c r="A8" s="59" t="s">
        <v>94</v>
      </c>
      <c r="B8" s="116" t="b">
        <v>1</v>
      </c>
      <c r="C8" s="62" t="str">
        <f>_xll.qlIMMNextCode(C7,B8,Trigger)</f>
        <v>H6</v>
      </c>
      <c r="D8" s="123"/>
      <c r="E8" s="156">
        <f>_xll.qlIMMdate(C8,,Trigger)</f>
        <v>42445</v>
      </c>
      <c r="F8" s="156">
        <f>_xll.qlIMMNextDate(E8,,Trigger)</f>
        <v>42536</v>
      </c>
      <c r="G8" s="61" t="str">
        <f t="shared" si="6"/>
        <v>Euribor3M</v>
      </c>
      <c r="H8" s="119" t="str">
        <f t="shared" si="7"/>
        <v>FEIH6_LCHQuote</v>
      </c>
      <c r="I8" s="125">
        <f t="shared" si="8"/>
        <v>0</v>
      </c>
      <c r="J8" s="64" t="str">
        <f>_xll.qlFuturesRateHelper(,$H8,$H$4,$E8,$G8,$I8,FALSE,"customdate",$F8,Permanent,Trigger,ObjectOverwrite)</f>
        <v>obj_007c2#0001</v>
      </c>
      <c r="K8" s="64" t="str">
        <f t="shared" si="9"/>
        <v>obj_007c2#0001</v>
      </c>
      <c r="L8" s="48"/>
      <c r="M8" s="10" t="str">
        <f t="shared" si="3"/>
        <v>FUT</v>
      </c>
      <c r="N8" s="94" t="str">
        <f t="shared" si="4"/>
        <v>obj_007c1#0001</v>
      </c>
      <c r="O8" s="94" t="str">
        <f t="shared" si="5"/>
        <v>obj_007c1#0001</v>
      </c>
      <c r="P8" s="146" t="str">
        <f>IFERROR(_xll.qlRateHelperQuoteName(N8,Trigger),"--")</f>
        <v>FEIU6_LCHQuote</v>
      </c>
      <c r="Q8" s="150">
        <f>IFERROR(_xll.qlRateHelperQuoteValue($N8,Trigger),"--")</f>
        <v>100.02260000000001</v>
      </c>
      <c r="R8" s="97" t="b">
        <v>1</v>
      </c>
      <c r="S8" s="94"/>
      <c r="T8" s="94">
        <v>1</v>
      </c>
      <c r="U8" s="99">
        <f>IFERROR(_xll.qlRateHelperEarliestDate(N8,Trigger),"--")</f>
        <v>42634</v>
      </c>
      <c r="V8" s="99">
        <f>IFERROR(_xll.qlRateHelperPillarDate(N8,Trigger),"--")</f>
        <v>42725</v>
      </c>
      <c r="X8" s="4" t="str">
        <f t="shared" si="0"/>
        <v>FUT</v>
      </c>
      <c r="Y8" s="4" t="str">
        <v>obj_007cf</v>
      </c>
      <c r="Z8" s="4" t="str">
        <v>obj_007cf</v>
      </c>
      <c r="AA8" s="4" t="str">
        <f>IFERROR(_xll.qlRateHelperQuoteName(Y8,Trigger),"")</f>
        <v>FEIZ6_LCHQuote</v>
      </c>
      <c r="AB8" s="70">
        <f>IFERROR(_xll.qlRateHelperRate(Y8,Trigger),"")</f>
        <v>1.3000000000040757E-5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42725</v>
      </c>
      <c r="AE8" s="5">
        <f>IFERROR(_xll.qlRateHelperPillarDate(Y8,Trigger),"")</f>
        <v>42809</v>
      </c>
      <c r="AF8" s="70">
        <v>-2.9897271224527361E-4</v>
      </c>
      <c r="AG8" s="77">
        <v>1.0004546501901996</v>
      </c>
      <c r="AH8" s="169">
        <v>42809</v>
      </c>
      <c r="AI8" s="170">
        <v>-2.9897271223999002E-4</v>
      </c>
      <c r="AJ8" s="172">
        <f t="shared" si="1"/>
        <v>-5.2835882370649845E-15</v>
      </c>
      <c r="AK8" s="80">
        <v>1.0004552665337501</v>
      </c>
      <c r="AL8" s="161">
        <f t="shared" si="2"/>
        <v>6.1634355041917388E-7</v>
      </c>
      <c r="AN8" s="107" t="s">
        <v>164</v>
      </c>
      <c r="AO8" s="109">
        <v>8</v>
      </c>
    </row>
    <row r="9" spans="1:41" ht="11.25" customHeight="1" x14ac:dyDescent="0.2">
      <c r="A9" s="59" t="s">
        <v>94</v>
      </c>
      <c r="B9" s="116" t="b">
        <v>1</v>
      </c>
      <c r="C9" s="62" t="str">
        <f>_xll.qlIMMNextCode(C8,B9,Trigger)</f>
        <v>M6</v>
      </c>
      <c r="D9" s="123"/>
      <c r="E9" s="156">
        <f>_xll.qlIMMdate(C9,,Trigger)</f>
        <v>42536</v>
      </c>
      <c r="F9" s="156">
        <f>_xll.qlIMMNextDate(E9,,Trigger)</f>
        <v>42634</v>
      </c>
      <c r="G9" s="61" t="str">
        <f t="shared" si="6"/>
        <v>Euribor3M</v>
      </c>
      <c r="H9" s="119" t="str">
        <f t="shared" si="7"/>
        <v>FEIM6_LCHQuote</v>
      </c>
      <c r="I9" s="125">
        <f t="shared" si="8"/>
        <v>0</v>
      </c>
      <c r="J9" s="64" t="str">
        <f>_xll.qlFuturesRateHelper(,$H9,$H$4,$E9,$G9,$I9,FALSE,"customdate",$F9,Permanent,Trigger,ObjectOverwrite)</f>
        <v>obj_007c7#0001</v>
      </c>
      <c r="K9" s="64" t="str">
        <f t="shared" si="9"/>
        <v>obj_007c7#0001</v>
      </c>
      <c r="L9" s="48"/>
      <c r="M9" s="10" t="str">
        <f t="shared" si="3"/>
        <v>FUT</v>
      </c>
      <c r="N9" s="94" t="str">
        <f t="shared" si="4"/>
        <v>obj_007cf#0001</v>
      </c>
      <c r="O9" s="94" t="str">
        <f t="shared" si="5"/>
        <v>obj_007cf#0001</v>
      </c>
      <c r="P9" s="146" t="str">
        <f>IFERROR(_xll.qlRateHelperQuoteName(N9,Trigger),"--")</f>
        <v>FEIZ6_LCHQuote</v>
      </c>
      <c r="Q9" s="150">
        <f>IFERROR(_xll.qlRateHelperQuoteValue($N9,Trigger),"--")</f>
        <v>99.998699999999999</v>
      </c>
      <c r="R9" s="97" t="b">
        <v>1</v>
      </c>
      <c r="S9" s="94"/>
      <c r="T9" s="94">
        <v>1</v>
      </c>
      <c r="U9" s="99">
        <f>IFERROR(_xll.qlRateHelperEarliestDate(N9,Trigger),"--")</f>
        <v>42725</v>
      </c>
      <c r="V9" s="99">
        <f>IFERROR(_xll.qlRateHelperPillarDate(N9,Trigger),"--")</f>
        <v>42809</v>
      </c>
      <c r="X9" s="4" t="str">
        <f t="shared" si="0"/>
        <v>FUT</v>
      </c>
      <c r="Y9" s="4" t="str">
        <v>obj_007c8</v>
      </c>
      <c r="Z9" s="4" t="str">
        <v>obj_007c8</v>
      </c>
      <c r="AA9" s="4" t="str">
        <f>IFERROR(_xll.qlRateHelperQuoteName(Y9,Trigger),"")</f>
        <v>FEIH7_LCHQuote</v>
      </c>
      <c r="AB9" s="70">
        <f>IFERROR(_xll.qlRateHelperRate(Y9,Trigger),"")</f>
        <v>2.989999999999382E-4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42809</v>
      </c>
      <c r="AE9" s="5">
        <f>IFERROR(_xll.qlRateHelperPillarDate(Y9,Trigger),"")</f>
        <v>42907</v>
      </c>
      <c r="AF9" s="70">
        <v>-2.0860952230624484E-4</v>
      </c>
      <c r="AG9" s="77">
        <v>1.0003732251644215</v>
      </c>
      <c r="AH9" s="169">
        <v>42907</v>
      </c>
      <c r="AI9" s="170">
        <v>-2.0860952229853001E-4</v>
      </c>
      <c r="AJ9" s="172">
        <f t="shared" si="1"/>
        <v>-7.7148302937007918E-15</v>
      </c>
      <c r="AK9" s="80">
        <v>1.0003738414578101</v>
      </c>
      <c r="AL9" s="161">
        <f t="shared" si="2"/>
        <v>6.1629338854451987E-7</v>
      </c>
    </row>
    <row r="10" spans="1:41" ht="11.25" customHeight="1" x14ac:dyDescent="0.2">
      <c r="A10" s="59" t="s">
        <v>94</v>
      </c>
      <c r="B10" s="116" t="b">
        <v>1</v>
      </c>
      <c r="C10" s="62" t="str">
        <f>_xll.qlIMMNextCode(C9,B10,Trigger)</f>
        <v>U6</v>
      </c>
      <c r="D10" s="123"/>
      <c r="E10" s="156">
        <f>_xll.qlIMMdate(C10,,Trigger)</f>
        <v>42634</v>
      </c>
      <c r="F10" s="156">
        <f>_xll.qlIMMNextDate(E10,,Trigger)</f>
        <v>42725</v>
      </c>
      <c r="G10" s="61" t="str">
        <f t="shared" si="6"/>
        <v>Euribor3M</v>
      </c>
      <c r="H10" s="119" t="str">
        <f t="shared" si="7"/>
        <v>FEIU6_LCHQuote</v>
      </c>
      <c r="I10" s="125">
        <f t="shared" si="8"/>
        <v>0</v>
      </c>
      <c r="J10" s="64" t="str">
        <f>_xll.qlFuturesRateHelper(,$H10,$H$4,$E10,$G10,$I10,FALSE,"customdate",$F10,Permanent,Trigger,ObjectOverwrite)</f>
        <v>obj_007c1#0001</v>
      </c>
      <c r="K10" s="64" t="str">
        <f t="shared" si="9"/>
        <v>obj_007c1#0001</v>
      </c>
      <c r="L10" s="48"/>
      <c r="M10" s="10" t="str">
        <f t="shared" si="3"/>
        <v>FUT</v>
      </c>
      <c r="N10" s="94" t="str">
        <f t="shared" si="4"/>
        <v>obj_007c8#0001</v>
      </c>
      <c r="O10" s="94" t="str">
        <f t="shared" si="5"/>
        <v>obj_007c8#0001</v>
      </c>
      <c r="P10" s="146" t="str">
        <f>IFERROR(_xll.qlRateHelperQuoteName(N10,Trigger),"--")</f>
        <v>FEIH7_LCHQuote</v>
      </c>
      <c r="Q10" s="150">
        <f>IFERROR(_xll.qlRateHelperQuoteValue($N10,Trigger),"--")</f>
        <v>99.970100000000002</v>
      </c>
      <c r="R10" s="97" t="b">
        <v>1</v>
      </c>
      <c r="S10" s="94"/>
      <c r="T10" s="94">
        <v>1</v>
      </c>
      <c r="U10" s="99">
        <f>IFERROR(_xll.qlRateHelperEarliestDate(N10,Trigger),"--")</f>
        <v>42809</v>
      </c>
      <c r="V10" s="99">
        <f>IFERROR(_xll.qlRateHelperPillarDate(N10,Trigger),"--")</f>
        <v>42907</v>
      </c>
      <c r="X10" s="4" t="str">
        <f t="shared" si="0"/>
        <v>FUT</v>
      </c>
      <c r="Y10" s="4" t="str">
        <v>obj_007c5</v>
      </c>
      <c r="Z10" s="4" t="str">
        <v>obj_007c5</v>
      </c>
      <c r="AA10" s="4" t="str">
        <f>IFERROR(_xll.qlRateHelperQuoteName(Y10,Trigger),"")</f>
        <v>FEIM7_LCHQuote</v>
      </c>
      <c r="AB10" s="70">
        <f>IFERROR(_xll.qlRateHelperRate(Y10,Trigger),"")</f>
        <v>6.3400000000002343E-4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42907</v>
      </c>
      <c r="AE10" s="5">
        <f>IFERROR(_xll.qlRateHelperPillarDate(Y10,Trigger),"")</f>
        <v>42998</v>
      </c>
      <c r="AF10" s="70">
        <v>-1.0447775641249603E-4</v>
      </c>
      <c r="AG10" s="77">
        <v>1.000212930070042</v>
      </c>
      <c r="AH10" s="169">
        <v>42998</v>
      </c>
      <c r="AI10" s="170">
        <v>-1.044777564023E-4</v>
      </c>
      <c r="AJ10" s="172">
        <f t="shared" si="1"/>
        <v>-1.0196026965433869E-14</v>
      </c>
      <c r="AK10" s="80">
        <v>1.00021354626468</v>
      </c>
      <c r="AL10" s="161">
        <f t="shared" si="2"/>
        <v>6.1619463798123775E-7</v>
      </c>
      <c r="AO10" s="169"/>
    </row>
    <row r="11" spans="1:41" ht="11.25" customHeight="1" x14ac:dyDescent="0.2">
      <c r="A11" s="59" t="s">
        <v>94</v>
      </c>
      <c r="B11" s="116" t="b">
        <v>1</v>
      </c>
      <c r="C11" s="62" t="str">
        <f>_xll.qlIMMNextCode(C10,B11,Trigger)</f>
        <v>Z6</v>
      </c>
      <c r="D11" s="123"/>
      <c r="E11" s="156">
        <f>_xll.qlIMMdate(C11,,Trigger)</f>
        <v>42725</v>
      </c>
      <c r="F11" s="156">
        <f>_xll.qlIMMNextDate(E11,,Trigger)</f>
        <v>42809</v>
      </c>
      <c r="G11" s="61" t="str">
        <f t="shared" si="6"/>
        <v>Euribor3M</v>
      </c>
      <c r="H11" s="119" t="str">
        <f t="shared" si="7"/>
        <v>FEIZ6_LCHQuote</v>
      </c>
      <c r="I11" s="125">
        <f t="shared" si="8"/>
        <v>0</v>
      </c>
      <c r="J11" s="64" t="str">
        <f>_xll.qlFuturesRateHelper(,$H11,$H$4,$E11,$G11,$I11,FALSE,"customdate",$F11,Permanent,Trigger,ObjectOverwrite)</f>
        <v>obj_007cf#0001</v>
      </c>
      <c r="K11" s="64" t="str">
        <f t="shared" si="9"/>
        <v>obj_007cf#0001</v>
      </c>
      <c r="L11" s="48"/>
      <c r="M11" s="10" t="str">
        <f t="shared" si="3"/>
        <v>FUT</v>
      </c>
      <c r="N11" s="94" t="str">
        <f t="shared" si="4"/>
        <v>obj_007c5#0001</v>
      </c>
      <c r="O11" s="94" t="str">
        <f t="shared" si="5"/>
        <v>obj_007c5#0001</v>
      </c>
      <c r="P11" s="146" t="str">
        <f>IFERROR(_xll.qlRateHelperQuoteName(N11,Trigger),"--")</f>
        <v>FEIM7_LCHQuote</v>
      </c>
      <c r="Q11" s="150">
        <f>IFERROR(_xll.qlRateHelperQuoteValue($N11,Trigger),"--")</f>
        <v>99.936599999999999</v>
      </c>
      <c r="R11" s="97" t="b">
        <v>1</v>
      </c>
      <c r="S11" s="94"/>
      <c r="T11" s="94">
        <v>1</v>
      </c>
      <c r="U11" s="99">
        <f>IFERROR(_xll.qlRateHelperEarliestDate(N11,Trigger),"--")</f>
        <v>42907</v>
      </c>
      <c r="V11" s="99">
        <f>IFERROR(_xll.qlRateHelperPillarDate(N11,Trigger),"--")</f>
        <v>42998</v>
      </c>
      <c r="X11" s="4" t="str">
        <f t="shared" si="0"/>
        <v>FUT</v>
      </c>
      <c r="Y11" s="4" t="str">
        <v>obj_007c4</v>
      </c>
      <c r="Z11" s="4" t="str">
        <v>obj_007c4</v>
      </c>
      <c r="AA11" s="4" t="str">
        <f>IFERROR(_xll.qlRateHelperQuoteName(Y11,Trigger),"")</f>
        <v>FEIU7_LCHQuote</v>
      </c>
      <c r="AB11" s="70">
        <f>IFERROR(_xll.qlRateHelperRate(Y11,Trigger),"")</f>
        <v>1.0679999999999579E-3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42998</v>
      </c>
      <c r="AE11" s="5">
        <f>IFERROR(_xll.qlRateHelperPillarDate(Y11,Trigger),"")</f>
        <v>43089</v>
      </c>
      <c r="AF11" s="70">
        <v>2.4901896985161773E-5</v>
      </c>
      <c r="AG11" s="77">
        <v>0.99994297879719929</v>
      </c>
      <c r="AH11" s="169">
        <v>43089</v>
      </c>
      <c r="AI11" s="170">
        <v>2.490189700385E-5</v>
      </c>
      <c r="AJ11" s="172">
        <f t="shared" si="1"/>
        <v>-1.8688226828674978E-14</v>
      </c>
      <c r="AK11" s="80">
        <v>0.99994359482553197</v>
      </c>
      <c r="AL11" s="161">
        <f t="shared" si="2"/>
        <v>6.1602833267837553E-7</v>
      </c>
      <c r="AO11" s="169"/>
    </row>
    <row r="12" spans="1:41" ht="11.25" customHeight="1" x14ac:dyDescent="0.2">
      <c r="A12" s="59" t="s">
        <v>94</v>
      </c>
      <c r="B12" s="116" t="b">
        <v>1</v>
      </c>
      <c r="C12" s="62" t="str">
        <f>_xll.qlIMMNextCode(C11,B12,Trigger)</f>
        <v>H7</v>
      </c>
      <c r="D12" s="123"/>
      <c r="E12" s="156">
        <f>_xll.qlIMMdate(C12,,Trigger)</f>
        <v>42809</v>
      </c>
      <c r="F12" s="156">
        <f>_xll.qlIMMNextDate(E12,,Trigger)</f>
        <v>42907</v>
      </c>
      <c r="G12" s="61" t="str">
        <f t="shared" si="6"/>
        <v>Euribor3M</v>
      </c>
      <c r="H12" s="119" t="str">
        <f t="shared" si="7"/>
        <v>FEIH7_LCHQuote</v>
      </c>
      <c r="I12" s="125">
        <f t="shared" si="8"/>
        <v>0</v>
      </c>
      <c r="J12" s="64" t="str">
        <f>_xll.qlFuturesRateHelper(,$H12,$H$4,$E12,$G12,$I12,FALSE,"customdate",$F12,Permanent,Trigger,ObjectOverwrite)</f>
        <v>obj_007c8#0001</v>
      </c>
      <c r="K12" s="64" t="str">
        <f t="shared" si="9"/>
        <v>obj_007c8#0001</v>
      </c>
      <c r="L12" s="48" t="s">
        <v>36</v>
      </c>
      <c r="M12" s="10" t="str">
        <f t="shared" si="3"/>
        <v>FUT</v>
      </c>
      <c r="N12" s="94" t="str">
        <f t="shared" si="4"/>
        <v>obj_007c4#0001</v>
      </c>
      <c r="O12" s="94" t="str">
        <f t="shared" si="5"/>
        <v>obj_007c4#0001</v>
      </c>
      <c r="P12" s="146" t="str">
        <f>IFERROR(_xll.qlRateHelperQuoteName(N12,Trigger),"--")</f>
        <v>FEIU7_LCHQuote</v>
      </c>
      <c r="Q12" s="150">
        <f>IFERROR(_xll.qlRateHelperQuoteValue($N12,Trigger),"--")</f>
        <v>99.893200000000007</v>
      </c>
      <c r="R12" s="97" t="b">
        <v>1</v>
      </c>
      <c r="S12" s="94"/>
      <c r="T12" s="94">
        <v>1</v>
      </c>
      <c r="U12" s="99">
        <f>IFERROR(_xll.qlRateHelperEarliestDate(N12,Trigger),"--")</f>
        <v>42998</v>
      </c>
      <c r="V12" s="99">
        <f>IFERROR(_xll.qlRateHelperPillarDate(N12,Trigger),"--")</f>
        <v>43089</v>
      </c>
      <c r="X12" s="4" t="str">
        <f t="shared" si="0"/>
        <v>FUT</v>
      </c>
      <c r="Y12" s="4" t="str">
        <v>obj_007c3</v>
      </c>
      <c r="Z12" s="4" t="str">
        <v>obj_007c3</v>
      </c>
      <c r="AA12" s="4" t="str">
        <f>IFERROR(_xll.qlRateHelperQuoteName(Y12,Trigger),"")</f>
        <v>FEIZ7_LCHQuote</v>
      </c>
      <c r="AB12" s="70">
        <f>IFERROR(_xll.qlRateHelperRate(Y12,Trigger),"")</f>
        <v>1.5249999999999986E-3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43089</v>
      </c>
      <c r="AE12" s="5">
        <f>IFERROR(_xll.qlRateHelperPillarDate(Y12,Trigger),"")</f>
        <v>43180</v>
      </c>
      <c r="AF12" s="70">
        <v>1.7437224616230791E-4</v>
      </c>
      <c r="AG12" s="77">
        <v>0.99955766238507771</v>
      </c>
      <c r="AH12" s="169">
        <v>43180</v>
      </c>
      <c r="AI12" s="170">
        <v>1.7437224618582E-4</v>
      </c>
      <c r="AJ12" s="172">
        <f t="shared" si="1"/>
        <v>-2.3512089627683586E-14</v>
      </c>
      <c r="AK12" s="80">
        <v>0.99955827817603105</v>
      </c>
      <c r="AL12" s="161">
        <f t="shared" si="2"/>
        <v>6.1579095333996747E-7</v>
      </c>
    </row>
    <row r="13" spans="1:41" ht="11.25" customHeight="1" x14ac:dyDescent="0.2">
      <c r="A13" s="59" t="s">
        <v>94</v>
      </c>
      <c r="B13" s="116" t="b">
        <v>1</v>
      </c>
      <c r="C13" s="62" t="str">
        <f>_xll.qlIMMNextCode(C12,B13,Trigger)</f>
        <v>M7</v>
      </c>
      <c r="D13" s="123"/>
      <c r="E13" s="156">
        <f>_xll.qlIMMdate(C13,,Trigger)</f>
        <v>42907</v>
      </c>
      <c r="F13" s="156">
        <f>_xll.qlIMMNextDate(E13,,Trigger)</f>
        <v>42998</v>
      </c>
      <c r="G13" s="61" t="str">
        <f t="shared" si="6"/>
        <v>Euribor3M</v>
      </c>
      <c r="H13" s="119" t="str">
        <f t="shared" si="7"/>
        <v>FEIM7_LCHQuote</v>
      </c>
      <c r="I13" s="125">
        <f t="shared" si="8"/>
        <v>0</v>
      </c>
      <c r="J13" s="64" t="str">
        <f>_xll.qlFuturesRateHelper(,$H13,$H$4,$E13,$G13,$I13,FALSE,"customdate",$F13,Permanent,Trigger,ObjectOverwrite)</f>
        <v>obj_007c5#0001</v>
      </c>
      <c r="K13" s="64" t="str">
        <f t="shared" si="9"/>
        <v>obj_007c5#0001</v>
      </c>
      <c r="L13" s="48"/>
      <c r="M13" s="10" t="str">
        <f t="shared" si="3"/>
        <v>FUT</v>
      </c>
      <c r="N13" s="94" t="str">
        <f t="shared" si="4"/>
        <v>obj_007c3#0001</v>
      </c>
      <c r="O13" s="94" t="str">
        <f t="shared" si="5"/>
        <v>obj_007c3#0001</v>
      </c>
      <c r="P13" s="146" t="str">
        <f>IFERROR(_xll.qlRateHelperQuoteName(N13,Trigger),"--")</f>
        <v>FEIZ7_LCHQuote</v>
      </c>
      <c r="Q13" s="150">
        <f>IFERROR(_xll.qlRateHelperQuoteValue($N13,Trigger),"--")</f>
        <v>99.847499999999997</v>
      </c>
      <c r="R13" s="97" t="b">
        <v>1</v>
      </c>
      <c r="S13" s="94"/>
      <c r="T13" s="94">
        <v>1</v>
      </c>
      <c r="U13" s="99">
        <f>IFERROR(_xll.qlRateHelperEarliestDate(N13,Trigger),"--")</f>
        <v>43089</v>
      </c>
      <c r="V13" s="99">
        <f>IFERROR(_xll.qlRateHelperPillarDate(N13,Trigger),"--")</f>
        <v>43180</v>
      </c>
      <c r="X13" s="4" t="str">
        <f t="shared" si="0"/>
        <v>FUT</v>
      </c>
      <c r="Y13" s="4" t="str">
        <v>obj_007bf</v>
      </c>
      <c r="Z13" s="4" t="str">
        <v>obj_007bf</v>
      </c>
      <c r="AA13" s="4" t="str">
        <f>IFERROR(_xll.qlRateHelperQuoteName(Y13,Trigger),"")</f>
        <v>FEIH8_LCHQuote</v>
      </c>
      <c r="AB13" s="70">
        <f>IFERROR(_xll.qlRateHelperRate(Y13,Trigger),"")</f>
        <v>2.055000000000029E-3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43180</v>
      </c>
      <c r="AE13" s="5">
        <f>IFERROR(_xll.qlRateHelperPillarDate(Y13,Trigger),"")</f>
        <v>43271</v>
      </c>
      <c r="AF13" s="70">
        <v>3.4515361123244851E-4</v>
      </c>
      <c r="AG13" s="77">
        <v>0.99903870488543578</v>
      </c>
      <c r="AH13" s="169">
        <v>43271</v>
      </c>
      <c r="AI13" s="170">
        <v>3.4515361126532E-4</v>
      </c>
      <c r="AJ13" s="172">
        <f t="shared" si="1"/>
        <v>-3.2871491986719015E-14</v>
      </c>
      <c r="AK13" s="80">
        <v>0.99903932035667897</v>
      </c>
      <c r="AL13" s="161">
        <f t="shared" si="2"/>
        <v>6.1547124319272228E-7</v>
      </c>
    </row>
    <row r="14" spans="1:41" ht="11.25" customHeight="1" x14ac:dyDescent="0.2">
      <c r="A14" s="59" t="s">
        <v>94</v>
      </c>
      <c r="B14" s="116" t="b">
        <v>1</v>
      </c>
      <c r="C14" s="62" t="str">
        <f>_xll.qlIMMNextCode(C13,B14,Trigger)</f>
        <v>U7</v>
      </c>
      <c r="D14" s="123"/>
      <c r="E14" s="156">
        <f>_xll.qlIMMdate(C14,,Trigger)</f>
        <v>42998</v>
      </c>
      <c r="F14" s="156">
        <f>_xll.qlIMMNextDate(E14,,Trigger)</f>
        <v>43089</v>
      </c>
      <c r="G14" s="61" t="str">
        <f t="shared" si="6"/>
        <v>Euribor3M</v>
      </c>
      <c r="H14" s="119" t="str">
        <f t="shared" si="7"/>
        <v>FEIU7_LCHQuote</v>
      </c>
      <c r="I14" s="125">
        <f t="shared" si="8"/>
        <v>0</v>
      </c>
      <c r="J14" s="64" t="str">
        <f>_xll.qlFuturesRateHelper(,$H14,$H$4,$E14,$G14,$I14,FALSE,"customdate",$F14,Permanent,Trigger,ObjectOverwrite)</f>
        <v>obj_007c4#0001</v>
      </c>
      <c r="K14" s="64" t="str">
        <f t="shared" si="9"/>
        <v>obj_007c4#0001</v>
      </c>
      <c r="L14" s="48"/>
      <c r="M14" s="10" t="str">
        <f t="shared" si="3"/>
        <v>FUT</v>
      </c>
      <c r="N14" s="94" t="str">
        <f t="shared" si="4"/>
        <v>obj_007bf#0001</v>
      </c>
      <c r="O14" s="94" t="str">
        <f t="shared" si="5"/>
        <v>obj_007bf#0001</v>
      </c>
      <c r="P14" s="146" t="str">
        <f>IFERROR(_xll.qlRateHelperQuoteName(N14,Trigger),"--")</f>
        <v>FEIH8_LCHQuote</v>
      </c>
      <c r="Q14" s="150">
        <f>IFERROR(_xll.qlRateHelperQuoteValue($N14,Trigger),"--")</f>
        <v>99.794499999999999</v>
      </c>
      <c r="R14" s="97" t="b">
        <v>1</v>
      </c>
      <c r="S14" s="94"/>
      <c r="T14" s="94">
        <v>1</v>
      </c>
      <c r="U14" s="99">
        <f>IFERROR(_xll.qlRateHelperEarliestDate(N14,Trigger),"--")</f>
        <v>43180</v>
      </c>
      <c r="V14" s="99">
        <f>IFERROR(_xll.qlRateHelperPillarDate(N14,Trigger),"--")</f>
        <v>43271</v>
      </c>
      <c r="X14" s="4" t="str">
        <f t="shared" si="0"/>
        <v>FUT</v>
      </c>
      <c r="Y14" s="4" t="str">
        <v>obj_007d0</v>
      </c>
      <c r="Z14" s="4" t="str">
        <v>obj_007d0</v>
      </c>
      <c r="AA14" s="4" t="str">
        <f>IFERROR(_xll.qlRateHelperQuoteName(Y14,Trigger),"")</f>
        <v>FEIM8_LCHQuote</v>
      </c>
      <c r="AB14" s="70">
        <f>IFERROR(_xll.qlRateHelperRate(Y14,Trigger),"")</f>
        <v>2.6829999999999909E-3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43271</v>
      </c>
      <c r="AE14" s="5">
        <f>IFERROR(_xll.qlRateHelperPillarDate(Y14,Trigger),"")</f>
        <v>43362</v>
      </c>
      <c r="AF14" s="70">
        <v>5.4014477463510692E-4</v>
      </c>
      <c r="AG14" s="77">
        <v>0.99836161578690641</v>
      </c>
      <c r="AH14" s="169">
        <v>43362</v>
      </c>
      <c r="AI14" s="170">
        <v>5.4014477468742998E-4</v>
      </c>
      <c r="AJ14" s="172">
        <f t="shared" si="1"/>
        <v>-5.2323054743064201E-14</v>
      </c>
      <c r="AK14" s="80">
        <v>0.99836223084101905</v>
      </c>
      <c r="AL14" s="161">
        <f t="shared" si="2"/>
        <v>6.1505411264040077E-7</v>
      </c>
    </row>
    <row r="15" spans="1:41" ht="11.25" customHeight="1" x14ac:dyDescent="0.2">
      <c r="A15" s="59" t="s">
        <v>94</v>
      </c>
      <c r="B15" s="116" t="b">
        <v>1</v>
      </c>
      <c r="C15" s="62" t="str">
        <f>_xll.qlIMMNextCode(C14,B15,Trigger)</f>
        <v>Z7</v>
      </c>
      <c r="D15" s="123"/>
      <c r="E15" s="156">
        <f>_xll.qlIMMdate(C15,,Trigger)</f>
        <v>43089</v>
      </c>
      <c r="F15" s="156">
        <f>_xll.qlIMMNextDate(E15,,Trigger)</f>
        <v>43180</v>
      </c>
      <c r="G15" s="61" t="str">
        <f t="shared" si="6"/>
        <v>Euribor3M</v>
      </c>
      <c r="H15" s="119" t="str">
        <f t="shared" si="7"/>
        <v>FEIZ7_LCHQuote</v>
      </c>
      <c r="I15" s="125">
        <f t="shared" si="8"/>
        <v>0</v>
      </c>
      <c r="J15" s="64" t="str">
        <f>_xll.qlFuturesRateHelper(,$H15,$H$4,$E15,$G15,$I15,FALSE,"customdate",$F15,Permanent,Trigger,ObjectOverwrite)</f>
        <v>obj_007c3#0001</v>
      </c>
      <c r="K15" s="64" t="str">
        <f t="shared" si="9"/>
        <v>obj_007c3#0001</v>
      </c>
      <c r="L15" s="48"/>
      <c r="M15" s="10" t="str">
        <f t="shared" ref="M15:M16" si="10">A17</f>
        <v>FUT</v>
      </c>
      <c r="N15" s="94" t="str">
        <f t="shared" ref="N15:N16" si="11">IF(ISBLANK(J17),"--",J17)</f>
        <v>obj_007d0#0001</v>
      </c>
      <c r="O15" s="94" t="str">
        <f t="shared" ref="O15:O16" si="12">IF(ISBLANK(K17),"--",K17)</f>
        <v>obj_007d0#0001</v>
      </c>
      <c r="P15" s="146" t="str">
        <f>IFERROR(_xll.qlRateHelperQuoteName(N15,Trigger),"--")</f>
        <v>FEIM8_LCHQuote</v>
      </c>
      <c r="Q15" s="150">
        <f>IFERROR(_xll.qlRateHelperQuoteValue($N15,Trigger),"--")</f>
        <v>99.731700000000004</v>
      </c>
      <c r="R15" s="97" t="b">
        <v>1</v>
      </c>
      <c r="S15" s="94"/>
      <c r="T15" s="94">
        <v>1</v>
      </c>
      <c r="U15" s="99">
        <f>IFERROR(_xll.qlRateHelperEarliestDate(N15,Trigger),"--")</f>
        <v>43271</v>
      </c>
      <c r="V15" s="99">
        <f>IFERROR(_xll.qlRateHelperPillarDate(N15,Trigger),"--")</f>
        <v>43362</v>
      </c>
      <c r="X15" s="4" t="str">
        <f t="shared" si="0"/>
        <v>FUT</v>
      </c>
      <c r="Y15" s="4" t="str">
        <v>obj_007d1</v>
      </c>
      <c r="Z15" s="4" t="str">
        <v>obj_007d1</v>
      </c>
      <c r="AA15" s="4" t="str">
        <f>IFERROR(_xll.qlRateHelperQuoteName(Y15,Trigger),"")</f>
        <v>FEIU8_LCHQuote</v>
      </c>
      <c r="AB15" s="70">
        <f>IFERROR(_xll.qlRateHelperRate(Y15,Trigger),"")</f>
        <v>3.5500000000000531E-3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43362</v>
      </c>
      <c r="AE15" s="5">
        <f>IFERROR(_xll.qlRateHelperPillarDate(Y15,Trigger),"")</f>
        <v>43453</v>
      </c>
      <c r="AF15" s="70">
        <v>7.7220212193209738E-4</v>
      </c>
      <c r="AG15" s="77">
        <v>0.99746652811494096</v>
      </c>
      <c r="AH15" s="169">
        <v>43453</v>
      </c>
      <c r="AI15" s="170">
        <v>7.7220212207786999E-4</v>
      </c>
      <c r="AJ15" s="172">
        <f t="shared" si="1"/>
        <v>-1.457726083939348E-13</v>
      </c>
      <c r="AK15" s="80">
        <v>0.99746714261762304</v>
      </c>
      <c r="AL15" s="161">
        <f t="shared" si="2"/>
        <v>6.1450268207252634E-7</v>
      </c>
    </row>
    <row r="16" spans="1:41" ht="11.25" customHeight="1" x14ac:dyDescent="0.2">
      <c r="A16" s="59" t="s">
        <v>94</v>
      </c>
      <c r="B16" s="116" t="b">
        <v>1</v>
      </c>
      <c r="C16" s="62" t="str">
        <f>_xll.qlIMMNextCode(C15,B16,Trigger)</f>
        <v>H8</v>
      </c>
      <c r="D16" s="123"/>
      <c r="E16" s="156">
        <f>_xll.qlIMMdate(C16,,Trigger)</f>
        <v>43180</v>
      </c>
      <c r="F16" s="156">
        <f>_xll.qlIMMNextDate(E16,,Trigger)</f>
        <v>43271</v>
      </c>
      <c r="G16" s="61" t="str">
        <f t="shared" si="6"/>
        <v>Euribor3M</v>
      </c>
      <c r="H16" s="119" t="str">
        <f t="shared" si="7"/>
        <v>FEIH8_LCHQuote</v>
      </c>
      <c r="I16" s="125">
        <f t="shared" si="8"/>
        <v>0</v>
      </c>
      <c r="J16" s="64" t="str">
        <f>_xll.qlFuturesRateHelper(,$H16,$H$4,$E16,$G16,$I16,FALSE,"customdate",$F16,Permanent,Trigger,ObjectOverwrite)</f>
        <v>obj_007bf#0001</v>
      </c>
      <c r="K16" s="64" t="str">
        <f t="shared" si="9"/>
        <v>obj_007bf#0001</v>
      </c>
      <c r="L16" s="48"/>
      <c r="M16" s="10" t="str">
        <f t="shared" si="10"/>
        <v>FUT</v>
      </c>
      <c r="N16" s="94" t="str">
        <f t="shared" si="11"/>
        <v>obj_007d1#0001</v>
      </c>
      <c r="O16" s="94" t="str">
        <f t="shared" si="12"/>
        <v>obj_007d1#0001</v>
      </c>
      <c r="P16" s="146" t="str">
        <f>IFERROR(_xll.qlRateHelperQuoteName(N16,Trigger),"--")</f>
        <v>FEIU8_LCHQuote</v>
      </c>
      <c r="Q16" s="150">
        <f>IFERROR(_xll.qlRateHelperQuoteValue($N16,Trigger),"--")</f>
        <v>99.644999999999996</v>
      </c>
      <c r="R16" s="97" t="b">
        <v>1</v>
      </c>
      <c r="S16" s="94"/>
      <c r="T16" s="94">
        <v>1</v>
      </c>
      <c r="U16" s="99">
        <f>IFERROR(_xll.qlRateHelperEarliestDate(N16,Trigger),"--")</f>
        <v>43362</v>
      </c>
      <c r="V16" s="99">
        <f>IFERROR(_xll.qlRateHelperPillarDate(N16,Trigger),"--")</f>
        <v>43453</v>
      </c>
      <c r="X16" s="4" t="str">
        <f t="shared" si="0"/>
        <v>BasSw</v>
      </c>
      <c r="Y16" s="4" t="str">
        <v>obj_006c6</v>
      </c>
      <c r="Z16" s="4" t="str">
        <v>obj_006d8</v>
      </c>
      <c r="AA16" s="4" t="str">
        <f>IFERROR(_xll.qlRateHelperQuoteName(Y16,Trigger),"")</f>
        <v>EUR3E6E4Y_LCHQuote</v>
      </c>
      <c r="AB16" s="70">
        <f>IFERROR(_xll.qlRateHelperRate(Y16,Trigger),"")</f>
        <v>1.5613332999999999E-3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42256</v>
      </c>
      <c r="AE16" s="5">
        <f>IFERROR(_xll.qlRateHelperPillarDate(Y16,Trigger),"")</f>
        <v>43717</v>
      </c>
      <c r="AF16" s="70">
        <v>1.5562344863338535E-3</v>
      </c>
      <c r="AG16" s="77">
        <v>0.99378256883373872</v>
      </c>
      <c r="AH16" s="169">
        <v>43717</v>
      </c>
      <c r="AI16" s="170">
        <v>1.5562345174182099E-3</v>
      </c>
      <c r="AJ16" s="172">
        <f t="shared" si="1"/>
        <v>-3.1084356443000782E-11</v>
      </c>
      <c r="AK16" s="80">
        <v>0.99378265598081705</v>
      </c>
      <c r="AL16" s="161">
        <f t="shared" si="2"/>
        <v>8.7147078331462069E-8</v>
      </c>
    </row>
    <row r="17" spans="1:38" ht="11.25" customHeight="1" x14ac:dyDescent="0.2">
      <c r="A17" s="59" t="s">
        <v>94</v>
      </c>
      <c r="B17" s="116" t="b">
        <v>1</v>
      </c>
      <c r="C17" s="62" t="str">
        <f>_xll.qlIMMNextCode(C16,B17,Trigger)</f>
        <v>M8</v>
      </c>
      <c r="D17" s="123"/>
      <c r="E17" s="156">
        <f>_xll.qlIMMdate(C17,,Trigger)</f>
        <v>43271</v>
      </c>
      <c r="F17" s="156">
        <f>_xll.qlIMMNextDate(E17,,Trigger)</f>
        <v>43362</v>
      </c>
      <c r="G17" s="61" t="str">
        <f t="shared" si="6"/>
        <v>Euribor3M</v>
      </c>
      <c r="H17" s="119" t="str">
        <f t="shared" si="7"/>
        <v>FEIM8_LCHQuote</v>
      </c>
      <c r="I17" s="125">
        <f t="shared" si="8"/>
        <v>0</v>
      </c>
      <c r="J17" s="64" t="str">
        <f>_xll.qlFuturesRateHelper(,$H17,$H$4,$E17,$G17,$I17,FALSE,"customdate",$F17,Permanent,Trigger,ObjectOverwrite)</f>
        <v>obj_007d0#0001</v>
      </c>
      <c r="K17" s="64" t="str">
        <f t="shared" ref="K17:K25" si="13">J17</f>
        <v>obj_007d0#0001</v>
      </c>
      <c r="L17" s="48"/>
      <c r="M17" s="10" t="str">
        <f t="shared" ref="M17:M27" si="14">A19</f>
        <v>FUT</v>
      </c>
      <c r="N17" s="94" t="str">
        <f t="shared" ref="N17:N27" si="15">IF(ISBLANK(J19),"--",J19)</f>
        <v>obj_007c9#0001</v>
      </c>
      <c r="O17" s="94" t="str">
        <f t="shared" ref="O17:O27" si="16">IF(ISBLANK(K19),"--",K19)</f>
        <v>obj_007c9#0001</v>
      </c>
      <c r="P17" s="146" t="str">
        <f>IFERROR(_xll.qlRateHelperQuoteName(N17,Trigger),"--")</f>
        <v>FEIZ8_LCHQuote</v>
      </c>
      <c r="Q17" s="150" t="str">
        <f>IFERROR(_xll.qlRateHelperQuoteValue($N17,Trigger),"--")</f>
        <v>--</v>
      </c>
      <c r="R17" s="97" t="b">
        <v>1</v>
      </c>
      <c r="S17" s="94"/>
      <c r="T17" s="94">
        <v>1</v>
      </c>
      <c r="U17" s="99">
        <f>IFERROR(_xll.qlRateHelperEarliestDate(N17,Trigger),"--")</f>
        <v>43453</v>
      </c>
      <c r="V17" s="99">
        <f>IFERROR(_xll.qlRateHelperPillarDate(N17,Trigger),"--")</f>
        <v>43544</v>
      </c>
      <c r="X17" s="4" t="str">
        <f t="shared" si="0"/>
        <v>BasSw</v>
      </c>
      <c r="Y17" s="4" t="str">
        <v>obj_006d2</v>
      </c>
      <c r="Z17" s="4" t="str">
        <v>obj_006d3</v>
      </c>
      <c r="AA17" s="4" t="str">
        <f>IFERROR(_xll.qlRateHelperQuoteName(Y17,Trigger),"")</f>
        <v>EUR3E6E5Y_LCHQuote</v>
      </c>
      <c r="AB17" s="70">
        <f>IFERROR(_xll.qlRateHelperRate(Y17,Trigger),"")</f>
        <v>2.7236999999999999E-3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42256</v>
      </c>
      <c r="AE17" s="5">
        <f>IFERROR(_xll.qlRateHelperPillarDate(Y17,Trigger),"")</f>
        <v>44083</v>
      </c>
      <c r="AF17" s="70">
        <v>2.7188396541498769E-3</v>
      </c>
      <c r="AG17" s="77">
        <v>0.9864695035358042</v>
      </c>
      <c r="AH17" s="169">
        <v>44083</v>
      </c>
      <c r="AI17" s="170">
        <v>2.7188396550259101E-3</v>
      </c>
      <c r="AJ17" s="172">
        <f t="shared" si="1"/>
        <v>-8.7603318696394261E-13</v>
      </c>
      <c r="AK17" s="80">
        <v>0.98646959047568605</v>
      </c>
      <c r="AL17" s="161">
        <f t="shared" si="2"/>
        <v>8.6939881849268374E-8</v>
      </c>
    </row>
    <row r="18" spans="1:38" ht="11.25" customHeight="1" x14ac:dyDescent="0.2">
      <c r="A18" s="59" t="s">
        <v>94</v>
      </c>
      <c r="B18" s="116" t="b">
        <v>1</v>
      </c>
      <c r="C18" s="62" t="str">
        <f>_xll.qlIMMNextCode(C17,B18,Trigger)</f>
        <v>U8</v>
      </c>
      <c r="D18" s="123"/>
      <c r="E18" s="156">
        <f>_xll.qlIMMdate(C18,,Trigger)</f>
        <v>43362</v>
      </c>
      <c r="F18" s="156">
        <f>_xll.qlIMMNextDate(E18,,Trigger)</f>
        <v>43453</v>
      </c>
      <c r="G18" s="61" t="str">
        <f t="shared" si="6"/>
        <v>Euribor3M</v>
      </c>
      <c r="H18" s="119" t="str">
        <f t="shared" si="7"/>
        <v>FEIU8_LCHQuote</v>
      </c>
      <c r="I18" s="125">
        <f t="shared" si="8"/>
        <v>0</v>
      </c>
      <c r="J18" s="64" t="str">
        <f>_xll.qlFuturesRateHelper(,$H18,$H$4,$E18,$G18,$I18,FALSE,"customdate",$F18,Permanent,Trigger,ObjectOverwrite)</f>
        <v>obj_007d1#0001</v>
      </c>
      <c r="K18" s="64" t="str">
        <f t="shared" si="13"/>
        <v>obj_007d1#0001</v>
      </c>
      <c r="L18" s="48"/>
      <c r="M18" s="10" t="str">
        <f t="shared" si="14"/>
        <v>FUT</v>
      </c>
      <c r="N18" s="94" t="str">
        <f t="shared" si="15"/>
        <v>obj_007cd#0001</v>
      </c>
      <c r="O18" s="94" t="str">
        <f t="shared" si="16"/>
        <v>obj_007cd#0001</v>
      </c>
      <c r="P18" s="146" t="str">
        <f>IFERROR(_xll.qlRateHelperQuoteName(N18,Trigger),"--")</f>
        <v>FEIH9_LCHQuote</v>
      </c>
      <c r="Q18" s="150" t="str">
        <f>IFERROR(_xll.qlRateHelperQuoteValue($N18,Trigger),"--")</f>
        <v>--</v>
      </c>
      <c r="R18" s="97" t="b">
        <v>1</v>
      </c>
      <c r="S18" s="94"/>
      <c r="T18" s="94">
        <v>1</v>
      </c>
      <c r="U18" s="99">
        <f>IFERROR(_xll.qlRateHelperEarliestDate(N18,Trigger),"--")</f>
        <v>43544</v>
      </c>
      <c r="V18" s="99">
        <f>IFERROR(_xll.qlRateHelperPillarDate(N18,Trigger),"--")</f>
        <v>43635</v>
      </c>
      <c r="X18" s="4" t="str">
        <f t="shared" si="0"/>
        <v>BasSw</v>
      </c>
      <c r="Y18" s="4" t="str">
        <v>obj_006b9</v>
      </c>
      <c r="Z18" s="4" t="str">
        <v>obj_006bc</v>
      </c>
      <c r="AA18" s="4" t="str">
        <f>IFERROR(_xll.qlRateHelperQuoteName(Y18,Trigger),"")</f>
        <v>EUR3E6E6Y_LCHQuote</v>
      </c>
      <c r="AB18" s="70">
        <f>IFERROR(_xll.qlRateHelperRate(Y18,Trigger),"")</f>
        <v>4.0376500000000003E-3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42256</v>
      </c>
      <c r="AE18" s="5">
        <f>IFERROR(_xll.qlRateHelperPillarDate(Y18,Trigger),"")</f>
        <v>44448</v>
      </c>
      <c r="AF18" s="70">
        <v>4.0396616046283864E-3</v>
      </c>
      <c r="AG18" s="77">
        <v>0.97601145607272666</v>
      </c>
      <c r="AH18" s="169">
        <v>44448</v>
      </c>
      <c r="AI18" s="170">
        <v>4.0396616046803804E-3</v>
      </c>
      <c r="AJ18" s="172">
        <f t="shared" si="1"/>
        <v>-5.1993999383714851E-14</v>
      </c>
      <c r="AK18" s="80">
        <v>0.976011541955074</v>
      </c>
      <c r="AL18" s="161">
        <f t="shared" si="2"/>
        <v>8.5882347344856669E-8</v>
      </c>
    </row>
    <row r="19" spans="1:38" ht="11.25" customHeight="1" x14ac:dyDescent="0.2">
      <c r="A19" s="59" t="s">
        <v>94</v>
      </c>
      <c r="B19" s="116" t="b">
        <v>1</v>
      </c>
      <c r="C19" s="62" t="str">
        <f>_xll.qlIMMNextCode(C18,B19,Trigger)</f>
        <v>Z8</v>
      </c>
      <c r="D19" s="123"/>
      <c r="E19" s="156">
        <f>_xll.qlIMMdate(C19,,Trigger)</f>
        <v>43453</v>
      </c>
      <c r="F19" s="156">
        <f>_xll.qlIMMNextDate(E19,,Trigger)</f>
        <v>43544</v>
      </c>
      <c r="G19" s="61" t="str">
        <f t="shared" si="6"/>
        <v>Euribor3M</v>
      </c>
      <c r="H19" s="119" t="str">
        <f t="shared" si="7"/>
        <v>FEIZ8_LCHQuote</v>
      </c>
      <c r="I19" s="125">
        <f t="shared" si="8"/>
        <v>0</v>
      </c>
      <c r="J19" s="64" t="str">
        <f>_xll.qlFuturesRateHelper(,$H19,$H$4,$E19,$G19,$I19,FALSE,"customdate",$F19,Permanent,Trigger,ObjectOverwrite)</f>
        <v>obj_007c9#0001</v>
      </c>
      <c r="K19" s="64" t="str">
        <f t="shared" si="13"/>
        <v>obj_007c9#0001</v>
      </c>
      <c r="L19" s="48"/>
      <c r="M19" s="10" t="str">
        <f t="shared" si="14"/>
        <v>FUT</v>
      </c>
      <c r="N19" s="94" t="str">
        <f t="shared" si="15"/>
        <v>obj_007cb#0001</v>
      </c>
      <c r="O19" s="94" t="str">
        <f t="shared" si="16"/>
        <v>obj_007cb#0001</v>
      </c>
      <c r="P19" s="146" t="str">
        <f>IFERROR(_xll.qlRateHelperQuoteName(N19,Trigger),"--")</f>
        <v>FEIM9_LCHQuote</v>
      </c>
      <c r="Q19" s="150" t="str">
        <f>IFERROR(_xll.qlRateHelperQuoteValue($N19,Trigger),"--")</f>
        <v>--</v>
      </c>
      <c r="R19" s="97" t="b">
        <v>1</v>
      </c>
      <c r="S19" s="94"/>
      <c r="T19" s="94">
        <v>1</v>
      </c>
      <c r="U19" s="99">
        <f>IFERROR(_xll.qlRateHelperEarliestDate(N19,Trigger),"--")</f>
        <v>43635</v>
      </c>
      <c r="V19" s="99">
        <f>IFERROR(_xll.qlRateHelperPillarDate(N19,Trigger),"--")</f>
        <v>43726</v>
      </c>
      <c r="X19" s="4" t="str">
        <f t="shared" si="0"/>
        <v>BasSw</v>
      </c>
      <c r="Y19" s="4" t="str">
        <v>obj_006bf</v>
      </c>
      <c r="Z19" s="4" t="str">
        <v>obj_006b1</v>
      </c>
      <c r="AA19" s="4" t="str">
        <f>IFERROR(_xll.qlRateHelperQuoteName(Y19,Trigger),"")</f>
        <v>EUR3E6E7Y_LCHQuote</v>
      </c>
      <c r="AB19" s="70">
        <f>IFERROR(_xll.qlRateHelperRate(Y19,Trigger),"")</f>
        <v>5.4074500000000003E-3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42256</v>
      </c>
      <c r="AE19" s="5">
        <f>IFERROR(_xll.qlRateHelperPillarDate(Y19,Trigger),"")</f>
        <v>44813</v>
      </c>
      <c r="AF19" s="70">
        <v>5.42452472448422E-3</v>
      </c>
      <c r="AG19" s="77">
        <v>0.96268427104619392</v>
      </c>
      <c r="AH19" s="169">
        <v>44813</v>
      </c>
      <c r="AI19" s="170">
        <v>5.42452472449811E-3</v>
      </c>
      <c r="AJ19" s="172">
        <f t="shared" si="1"/>
        <v>-1.3889930872146294E-14</v>
      </c>
      <c r="AK19" s="80">
        <v>0.96268435580638401</v>
      </c>
      <c r="AL19" s="161">
        <f t="shared" si="2"/>
        <v>8.4760190088850607E-8</v>
      </c>
    </row>
    <row r="20" spans="1:38" ht="11.25" customHeight="1" x14ac:dyDescent="0.2">
      <c r="A20" s="59" t="s">
        <v>94</v>
      </c>
      <c r="B20" s="116" t="b">
        <v>1</v>
      </c>
      <c r="C20" s="62" t="str">
        <f>_xll.qlIMMNextCode(C19,B20,Trigger)</f>
        <v>H9</v>
      </c>
      <c r="D20" s="123"/>
      <c r="E20" s="156">
        <f>_xll.qlIMMdate(C20,,Trigger)</f>
        <v>43544</v>
      </c>
      <c r="F20" s="156">
        <f>_xll.qlIMMNextDate(E20,,Trigger)</f>
        <v>43635</v>
      </c>
      <c r="G20" s="61" t="str">
        <f t="shared" si="6"/>
        <v>Euribor3M</v>
      </c>
      <c r="H20" s="119" t="str">
        <f t="shared" si="7"/>
        <v>FEIH9_LCHQuote</v>
      </c>
      <c r="I20" s="125">
        <f t="shared" si="8"/>
        <v>0</v>
      </c>
      <c r="J20" s="64" t="str">
        <f>_xll.qlFuturesRateHelper(,$H20,$H$4,$E20,$G20,$I20,FALSE,"customdate",$F20,Permanent,Trigger,ObjectOverwrite)</f>
        <v>obj_007cd#0001</v>
      </c>
      <c r="K20" s="64" t="str">
        <f t="shared" si="13"/>
        <v>obj_007cd#0001</v>
      </c>
      <c r="L20" s="48"/>
      <c r="M20" s="10" t="str">
        <f t="shared" si="14"/>
        <v>FUT</v>
      </c>
      <c r="N20" s="94" t="str">
        <f t="shared" si="15"/>
        <v>obj_007c0#0001</v>
      </c>
      <c r="O20" s="94" t="str">
        <f t="shared" si="16"/>
        <v>obj_007c0#0001</v>
      </c>
      <c r="P20" s="146" t="str">
        <f>IFERROR(_xll.qlRateHelperQuoteName(N20,Trigger),"--")</f>
        <v>FEIU9_LCHQuote</v>
      </c>
      <c r="Q20" s="150" t="str">
        <f>IFERROR(_xll.qlRateHelperQuoteValue($N20,Trigger),"--")</f>
        <v>--</v>
      </c>
      <c r="R20" s="97" t="b">
        <v>1</v>
      </c>
      <c r="S20" s="94"/>
      <c r="T20" s="94">
        <v>1</v>
      </c>
      <c r="U20" s="99">
        <f>IFERROR(_xll.qlRateHelperEarliestDate(N20,Trigger),"--")</f>
        <v>43726</v>
      </c>
      <c r="V20" s="99">
        <f>IFERROR(_xll.qlRateHelperPillarDate(N20,Trigger),"--")</f>
        <v>43817</v>
      </c>
      <c r="X20" s="4" t="str">
        <f t="shared" si="0"/>
        <v>BasSw</v>
      </c>
      <c r="Y20" s="4" t="str">
        <v>obj_006b0</v>
      </c>
      <c r="Z20" s="4" t="str">
        <v>obj_006d0</v>
      </c>
      <c r="AA20" s="4" t="str">
        <f>IFERROR(_xll.qlRateHelperQuoteName(Y20,Trigger),"")</f>
        <v>EUR3E6E8Y_LCHQuote</v>
      </c>
      <c r="AB20" s="70">
        <f>IFERROR(_xll.qlRateHelperRate(Y20,Trigger),"")</f>
        <v>6.7477500000000003E-3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42256</v>
      </c>
      <c r="AE20" s="5">
        <f>IFERROR(_xll.qlRateHelperPillarDate(Y20,Trigger),"")</f>
        <v>45180</v>
      </c>
      <c r="AF20" s="70">
        <v>6.7890259703997811E-3</v>
      </c>
      <c r="AG20" s="77">
        <v>0.9470318583105386</v>
      </c>
      <c r="AH20" s="169">
        <v>45180</v>
      </c>
      <c r="AI20" s="170">
        <v>6.7890259703849197E-3</v>
      </c>
      <c r="AJ20" s="172">
        <f t="shared" si="1"/>
        <v>1.4861376018693306E-14</v>
      </c>
      <c r="AK20" s="80">
        <v>0.94703194167606797</v>
      </c>
      <c r="AL20" s="161">
        <f t="shared" si="2"/>
        <v>8.3365529368606417E-8</v>
      </c>
    </row>
    <row r="21" spans="1:38" ht="11.25" customHeight="1" x14ac:dyDescent="0.2">
      <c r="A21" s="59" t="s">
        <v>94</v>
      </c>
      <c r="B21" s="116" t="b">
        <v>1</v>
      </c>
      <c r="C21" s="62" t="str">
        <f>_xll.qlIMMNextCode(C20,B21,Trigger)</f>
        <v>M9</v>
      </c>
      <c r="D21" s="123"/>
      <c r="E21" s="156">
        <f>_xll.qlIMMdate(C21,,Trigger)</f>
        <v>43635</v>
      </c>
      <c r="F21" s="156">
        <f>_xll.qlIMMNextDate(E21,,Trigger)</f>
        <v>43726</v>
      </c>
      <c r="G21" s="61" t="str">
        <f t="shared" si="6"/>
        <v>Euribor3M</v>
      </c>
      <c r="H21" s="119" t="str">
        <f t="shared" si="7"/>
        <v>FEIM9_LCHQuote</v>
      </c>
      <c r="I21" s="125">
        <f t="shared" si="8"/>
        <v>0</v>
      </c>
      <c r="J21" s="64" t="str">
        <f>_xll.qlFuturesRateHelper(,$H21,$H$4,$E21,$G21,$I21,FALSE,"customdate",$F21,Permanent,Trigger,ObjectOverwrite)</f>
        <v>obj_007cb#0001</v>
      </c>
      <c r="K21" s="64" t="str">
        <f t="shared" si="13"/>
        <v>obj_007cb#0001</v>
      </c>
      <c r="L21" s="48"/>
      <c r="M21" s="10" t="str">
        <f t="shared" si="14"/>
        <v>FUT</v>
      </c>
      <c r="N21" s="94" t="str">
        <f t="shared" si="15"/>
        <v>obj_007ca#0001</v>
      </c>
      <c r="O21" s="94" t="str">
        <f t="shared" si="16"/>
        <v>obj_007ca#0001</v>
      </c>
      <c r="P21" s="146" t="str">
        <f>IFERROR(_xll.qlRateHelperQuoteName(N21,Trigger),"--")</f>
        <v>FEIZ9_LCHQuote</v>
      </c>
      <c r="Q21" s="150" t="str">
        <f>IFERROR(_xll.qlRateHelperQuoteValue($N21,Trigger),"--")</f>
        <v>--</v>
      </c>
      <c r="R21" s="97" t="b">
        <v>1</v>
      </c>
      <c r="S21" s="94"/>
      <c r="T21" s="94">
        <v>1</v>
      </c>
      <c r="U21" s="99">
        <f>IFERROR(_xll.qlRateHelperEarliestDate(N21,Trigger),"--")</f>
        <v>43817</v>
      </c>
      <c r="V21" s="99">
        <f>IFERROR(_xll.qlRateHelperPillarDate(N21,Trigger),"--")</f>
        <v>43908</v>
      </c>
      <c r="X21" s="4" t="str">
        <f t="shared" si="0"/>
        <v>BasSw</v>
      </c>
      <c r="Y21" s="4" t="str">
        <v>obj_006c2</v>
      </c>
      <c r="Z21" s="4" t="str">
        <v>obj_006a5</v>
      </c>
      <c r="AA21" s="4" t="str">
        <f>IFERROR(_xll.qlRateHelperQuoteName(Y21,Trigger),"")</f>
        <v>EUR3E6E9Y_LCHQuote</v>
      </c>
      <c r="AB21" s="70">
        <f>IFERROR(_xll.qlRateHelperRate(Y21,Trigger),"")</f>
        <v>7.9822999999999995E-3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42256</v>
      </c>
      <c r="AE21" s="5">
        <f>IFERROR(_xll.qlRateHelperPillarDate(Y21,Trigger),"")</f>
        <v>45544</v>
      </c>
      <c r="AF21" s="70">
        <v>8.0531130038585096E-3</v>
      </c>
      <c r="AG21" s="77">
        <v>0.92998697031898614</v>
      </c>
      <c r="AH21" s="169">
        <v>45544</v>
      </c>
      <c r="AI21" s="170">
        <v>8.0531130037076008E-3</v>
      </c>
      <c r="AJ21" s="172">
        <f t="shared" si="1"/>
        <v>1.5090879934565038E-13</v>
      </c>
      <c r="AK21" s="80">
        <v>0.92998705218890598</v>
      </c>
      <c r="AL21" s="161">
        <f t="shared" si="2"/>
        <v>8.1869919843491346E-8</v>
      </c>
    </row>
    <row r="22" spans="1:38" ht="11.25" customHeight="1" x14ac:dyDescent="0.2">
      <c r="A22" s="59" t="s">
        <v>94</v>
      </c>
      <c r="B22" s="116" t="b">
        <v>1</v>
      </c>
      <c r="C22" s="62" t="str">
        <f>_xll.qlIMMNextCode(C21,B22,Trigger)</f>
        <v>U9</v>
      </c>
      <c r="D22" s="123"/>
      <c r="E22" s="156">
        <f>_xll.qlIMMdate(C22,,Trigger)</f>
        <v>43726</v>
      </c>
      <c r="F22" s="156">
        <f>_xll.qlIMMNextDate(E22,,Trigger)</f>
        <v>43817</v>
      </c>
      <c r="G22" s="61" t="str">
        <f t="shared" si="6"/>
        <v>Euribor3M</v>
      </c>
      <c r="H22" s="119" t="str">
        <f t="shared" si="7"/>
        <v>FEIU9_LCHQuote</v>
      </c>
      <c r="I22" s="125">
        <f t="shared" si="8"/>
        <v>0</v>
      </c>
      <c r="J22" s="64" t="str">
        <f>_xll.qlFuturesRateHelper(,$H22,$H$4,$E22,$G22,$I22,FALSE,"customdate",$F22,Permanent,Trigger,ObjectOverwrite)</f>
        <v>obj_007c0#0001</v>
      </c>
      <c r="K22" s="64" t="str">
        <f t="shared" si="13"/>
        <v>obj_007c0#0001</v>
      </c>
      <c r="L22" s="48"/>
      <c r="M22" s="10" t="str">
        <f t="shared" si="14"/>
        <v>FUT</v>
      </c>
      <c r="N22" s="94" t="str">
        <f t="shared" si="15"/>
        <v>obj_007ce#0001</v>
      </c>
      <c r="O22" s="94" t="str">
        <f t="shared" si="16"/>
        <v>obj_007ce#0001</v>
      </c>
      <c r="P22" s="146" t="str">
        <f>IFERROR(_xll.qlRateHelperQuoteName(N22,Trigger),"--")</f>
        <v>FEIH0_LCHQuote</v>
      </c>
      <c r="Q22" s="150" t="str">
        <f>IFERROR(_xll.qlRateHelperQuoteValue($N22,Trigger),"--")</f>
        <v>--</v>
      </c>
      <c r="R22" s="97" t="b">
        <v>1</v>
      </c>
      <c r="S22" s="94"/>
      <c r="T22" s="94">
        <v>1</v>
      </c>
      <c r="U22" s="99">
        <f>IFERROR(_xll.qlRateHelperEarliestDate(N22,Trigger),"--")</f>
        <v>43908</v>
      </c>
      <c r="V22" s="99">
        <f>IFERROR(_xll.qlRateHelperPillarDate(N22,Trigger),"--")</f>
        <v>43999</v>
      </c>
      <c r="X22" s="4" t="str">
        <f t="shared" si="0"/>
        <v>BasSw</v>
      </c>
      <c r="Y22" s="4" t="str">
        <v>obj_006ac</v>
      </c>
      <c r="Z22" s="4" t="str">
        <v>obj_006ad</v>
      </c>
      <c r="AA22" s="4" t="str">
        <f>IFERROR(_xll.qlRateHelperQuoteName(Y22,Trigger),"")</f>
        <v>EUR3E6E10Y_LCHQuote</v>
      </c>
      <c r="AB22" s="70">
        <f>IFERROR(_xll.qlRateHelperRate(Y22,Trigger),"")</f>
        <v>9.0766000000000006E-3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42256</v>
      </c>
      <c r="AE22" s="5">
        <f>IFERROR(_xll.qlRateHelperPillarDate(Y22,Trigger),"")</f>
        <v>45909</v>
      </c>
      <c r="AF22" s="70">
        <v>9.1839218570252314E-3</v>
      </c>
      <c r="AG22" s="77">
        <v>0.91214004866734955</v>
      </c>
      <c r="AH22" s="169">
        <v>45909</v>
      </c>
      <c r="AI22" s="170">
        <v>9.1839218568463693E-3</v>
      </c>
      <c r="AJ22" s="172">
        <f t="shared" si="1"/>
        <v>1.7886213343754065E-13</v>
      </c>
      <c r="AK22" s="80">
        <v>0.91214012896558905</v>
      </c>
      <c r="AL22" s="161">
        <f t="shared" si="2"/>
        <v>8.0298239502063495E-8</v>
      </c>
    </row>
    <row r="23" spans="1:38" ht="11.25" customHeight="1" x14ac:dyDescent="0.2">
      <c r="A23" s="59" t="s">
        <v>94</v>
      </c>
      <c r="B23" s="116" t="b">
        <v>1</v>
      </c>
      <c r="C23" s="62" t="str">
        <f>_xll.qlIMMNextCode(C22,B23,Trigger)</f>
        <v>Z9</v>
      </c>
      <c r="D23" s="123"/>
      <c r="E23" s="156">
        <f>_xll.qlIMMdate(C23,,Trigger)</f>
        <v>43817</v>
      </c>
      <c r="F23" s="156">
        <f>_xll.qlIMMNextDate(E23,,Trigger)</f>
        <v>43908</v>
      </c>
      <c r="G23" s="61" t="str">
        <f t="shared" si="6"/>
        <v>Euribor3M</v>
      </c>
      <c r="H23" s="119" t="str">
        <f t="shared" si="7"/>
        <v>FEIZ9_LCHQuote</v>
      </c>
      <c r="I23" s="125">
        <f t="shared" si="8"/>
        <v>0</v>
      </c>
      <c r="J23" s="64" t="str">
        <f>_xll.qlFuturesRateHelper(,$H23,$H$4,$E23,$G23,$I23,FALSE,"customdate",$F23,Permanent,Trigger,ObjectOverwrite)</f>
        <v>obj_007ca#0001</v>
      </c>
      <c r="K23" s="64" t="str">
        <f t="shared" si="13"/>
        <v>obj_007ca#0001</v>
      </c>
      <c r="L23" s="48"/>
      <c r="M23" s="10" t="str">
        <f t="shared" si="14"/>
        <v>FUT</v>
      </c>
      <c r="N23" s="94" t="str">
        <f t="shared" si="15"/>
        <v>obj_007cc#0001</v>
      </c>
      <c r="O23" s="94" t="str">
        <f t="shared" si="16"/>
        <v>obj_007cc#0001</v>
      </c>
      <c r="P23" s="146" t="str">
        <f>IFERROR(_xll.qlRateHelperQuoteName(N23,Trigger),"--")</f>
        <v>FEIM0_LCHQuote</v>
      </c>
      <c r="Q23" s="150" t="str">
        <f>IFERROR(_xll.qlRateHelperQuoteValue($N23,Trigger),"--")</f>
        <v>--</v>
      </c>
      <c r="R23" s="97" t="b">
        <v>1</v>
      </c>
      <c r="S23" s="94"/>
      <c r="T23" s="94">
        <v>1</v>
      </c>
      <c r="U23" s="99">
        <f>IFERROR(_xll.qlRateHelperEarliestDate(N23,Trigger),"--")</f>
        <v>43999</v>
      </c>
      <c r="V23" s="99">
        <f>IFERROR(_xll.qlRateHelperPillarDate(N23,Trigger),"--")</f>
        <v>44090</v>
      </c>
      <c r="X23" s="4" t="str">
        <f t="shared" si="0"/>
        <v>BasSw</v>
      </c>
      <c r="Y23" s="4" t="str">
        <v>obj_006ae</v>
      </c>
      <c r="Z23" s="4" t="str">
        <v>obj_006ce</v>
      </c>
      <c r="AA23" s="4" t="str">
        <f>IFERROR(_xll.qlRateHelperQuoteName(Y23,Trigger),"")</f>
        <v>EUR3E6E12Y_LCHQuote</v>
      </c>
      <c r="AB23" s="70">
        <f>IFERROR(_xll.qlRateHelperRate(Y23,Trigger),"")</f>
        <v>1.0948299999999999E-2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42256</v>
      </c>
      <c r="AE23" s="5">
        <f>IFERROR(_xll.qlRateHelperPillarDate(Y23,Trigger),"")</f>
        <v>46639</v>
      </c>
      <c r="AF23" s="70">
        <v>1.1141322725996288E-2</v>
      </c>
      <c r="AG23" s="77">
        <v>0.87473077798770826</v>
      </c>
      <c r="AH23" s="169">
        <v>46639</v>
      </c>
      <c r="AI23" s="170">
        <v>1.11413227258191E-2</v>
      </c>
      <c r="AJ23" s="172">
        <f t="shared" si="1"/>
        <v>1.7718812528322303E-13</v>
      </c>
      <c r="AK23" s="80">
        <v>0.87473085499620695</v>
      </c>
      <c r="AL23" s="161">
        <f t="shared" si="2"/>
        <v>7.700849868896853E-8</v>
      </c>
    </row>
    <row r="24" spans="1:38" ht="11.25" customHeight="1" x14ac:dyDescent="0.2">
      <c r="A24" s="59" t="s">
        <v>94</v>
      </c>
      <c r="B24" s="116" t="b">
        <v>1</v>
      </c>
      <c r="C24" s="62" t="str">
        <f>_xll.qlIMMNextCode(C23,B24,Trigger)</f>
        <v>H0</v>
      </c>
      <c r="D24" s="123"/>
      <c r="E24" s="156">
        <f>_xll.qlIMMdate(C24,,Trigger)</f>
        <v>43908</v>
      </c>
      <c r="F24" s="156">
        <f>_xll.qlIMMNextDate(E24,,Trigger)</f>
        <v>43999</v>
      </c>
      <c r="G24" s="61" t="str">
        <f t="shared" si="6"/>
        <v>Euribor3M</v>
      </c>
      <c r="H24" s="119" t="str">
        <f t="shared" si="7"/>
        <v>FEIH0_LCHQuote</v>
      </c>
      <c r="I24" s="125">
        <f t="shared" si="8"/>
        <v>0</v>
      </c>
      <c r="J24" s="64" t="str">
        <f>_xll.qlFuturesRateHelper(,$H24,$H$4,$E24,$G24,$I24,FALSE,"customdate",$F24,Permanent,Trigger,ObjectOverwrite)</f>
        <v>obj_007ce#0001</v>
      </c>
      <c r="K24" s="64" t="str">
        <f t="shared" si="13"/>
        <v>obj_007ce#0001</v>
      </c>
      <c r="L24" s="48"/>
      <c r="M24" s="10" t="str">
        <f t="shared" si="14"/>
        <v>FUT</v>
      </c>
      <c r="N24" s="94" t="str">
        <f t="shared" si="15"/>
        <v>obj_007d5#0001</v>
      </c>
      <c r="O24" s="94" t="str">
        <f t="shared" si="16"/>
        <v>obj_007d5#0001</v>
      </c>
      <c r="P24" s="146" t="str">
        <f>IFERROR(_xll.qlRateHelperQuoteName(N24,Trigger),"--")</f>
        <v>FEIU0_LCHQuote</v>
      </c>
      <c r="Q24" s="150" t="str">
        <f>IFERROR(_xll.qlRateHelperQuoteValue($N24,Trigger),"--")</f>
        <v>--</v>
      </c>
      <c r="R24" s="97" t="b">
        <v>1</v>
      </c>
      <c r="S24" s="94"/>
      <c r="T24" s="94">
        <v>1</v>
      </c>
      <c r="U24" s="99">
        <f>IFERROR(_xll.qlRateHelperEarliestDate(N24,Trigger),"--")</f>
        <v>44090</v>
      </c>
      <c r="V24" s="99">
        <f>IFERROR(_xll.qlRateHelperPillarDate(N24,Trigger),"--")</f>
        <v>44181</v>
      </c>
      <c r="X24" s="4" t="str">
        <f t="shared" si="0"/>
        <v>BasSw</v>
      </c>
      <c r="Y24" s="4" t="str">
        <v>obj_0069b</v>
      </c>
      <c r="Z24" s="4" t="str">
        <v>obj_0069e</v>
      </c>
      <c r="AA24" s="4" t="str">
        <f>IFERROR(_xll.qlRateHelperQuoteName(Y24,Trigger),"")</f>
        <v>EUR3E6E15Y_LCHQuote</v>
      </c>
      <c r="AB24" s="70">
        <f>IFERROR(_xll.qlRateHelperRate(Y24,Trigger),"")</f>
        <v>1.28708E-2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42256</v>
      </c>
      <c r="AE24" s="5">
        <f>IFERROR(_xll.qlRateHelperPillarDate(Y24,Trigger),"")</f>
        <v>47735</v>
      </c>
      <c r="AF24" s="70">
        <v>1.3181607484449291E-2</v>
      </c>
      <c r="AG24" s="77">
        <v>0.82046537731675895</v>
      </c>
      <c r="AH24" s="169">
        <v>47735</v>
      </c>
      <c r="AI24" s="170">
        <v>1.3181607484374599E-2</v>
      </c>
      <c r="AJ24" s="172">
        <f t="shared" si="1"/>
        <v>7.4691988705133383E-14</v>
      </c>
      <c r="AK24" s="80">
        <v>0.82046544954408396</v>
      </c>
      <c r="AL24" s="161">
        <f t="shared" si="2"/>
        <v>7.2227325009777132E-8</v>
      </c>
    </row>
    <row r="25" spans="1:38" ht="11.25" customHeight="1" x14ac:dyDescent="0.2">
      <c r="A25" s="59" t="s">
        <v>94</v>
      </c>
      <c r="B25" s="116" t="b">
        <v>1</v>
      </c>
      <c r="C25" s="62" t="str">
        <f>_xll.qlIMMNextCode(C24,B25,Trigger)</f>
        <v>M0</v>
      </c>
      <c r="D25" s="123"/>
      <c r="E25" s="156">
        <f>_xll.qlIMMdate(C25,,Trigger)</f>
        <v>43999</v>
      </c>
      <c r="F25" s="156">
        <f>_xll.qlIMMNextDate(E25,,Trigger)</f>
        <v>44090</v>
      </c>
      <c r="G25" s="61" t="str">
        <f t="shared" si="6"/>
        <v>Euribor3M</v>
      </c>
      <c r="H25" s="119" t="str">
        <f t="shared" si="7"/>
        <v>FEIM0_LCHQuote</v>
      </c>
      <c r="I25" s="125">
        <f t="shared" si="8"/>
        <v>0</v>
      </c>
      <c r="J25" s="64" t="str">
        <f>_xll.qlFuturesRateHelper(,$H25,$H$4,$E25,$G25,$I25,FALSE,"customdate",$F25,Permanent,Trigger,ObjectOverwrite)</f>
        <v>obj_007cc#0001</v>
      </c>
      <c r="K25" s="64" t="str">
        <f t="shared" si="13"/>
        <v>obj_007cc#0001</v>
      </c>
      <c r="L25" s="48"/>
      <c r="M25" s="10" t="str">
        <f t="shared" si="14"/>
        <v>FUT</v>
      </c>
      <c r="N25" s="94" t="str">
        <f t="shared" si="15"/>
        <v>obj_007d4#0001</v>
      </c>
      <c r="O25" s="94" t="str">
        <f t="shared" si="16"/>
        <v>obj_007d4#0001</v>
      </c>
      <c r="P25" s="146" t="str">
        <f>IFERROR(_xll.qlRateHelperQuoteName(N25,Trigger),"--")</f>
        <v>FEIZ0_LCHQuote</v>
      </c>
      <c r="Q25" s="150" t="str">
        <f>IFERROR(_xll.qlRateHelperQuoteValue($N25,Trigger),"--")</f>
        <v>--</v>
      </c>
      <c r="R25" s="97" t="b">
        <v>1</v>
      </c>
      <c r="S25" s="94"/>
      <c r="T25" s="94">
        <v>1</v>
      </c>
      <c r="U25" s="99">
        <f>IFERROR(_xll.qlRateHelperEarliestDate(N25,Trigger),"--")</f>
        <v>44181</v>
      </c>
      <c r="V25" s="99">
        <f>IFERROR(_xll.qlRateHelperPillarDate(N25,Trigger),"--")</f>
        <v>44272</v>
      </c>
      <c r="X25" s="4" t="str">
        <f t="shared" si="0"/>
        <v>BasSw</v>
      </c>
      <c r="Y25" s="4" t="str">
        <v>obj_006d7</v>
      </c>
      <c r="Z25" s="4" t="str">
        <v>obj_006b2</v>
      </c>
      <c r="AA25" s="4" t="str">
        <f>IFERROR(_xll.qlRateHelperQuoteName(Y25,Trigger),"")</f>
        <v>EUR3E6E20Y_LCHQuote</v>
      </c>
      <c r="AB25" s="70">
        <f>IFERROR(_xll.qlRateHelperRate(Y25,Trigger),"")</f>
        <v>1.44628E-2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42256</v>
      </c>
      <c r="AE25" s="5">
        <f>IFERROR(_xll.qlRateHelperPillarDate(Y25,Trigger),"")</f>
        <v>49562</v>
      </c>
      <c r="AF25" s="70">
        <v>1.4883142191069674E-2</v>
      </c>
      <c r="AG25" s="77">
        <v>0.74249722698853082</v>
      </c>
      <c r="AH25" s="169">
        <v>49562</v>
      </c>
      <c r="AI25" s="170">
        <v>1.4883142190929099E-2</v>
      </c>
      <c r="AJ25" s="172">
        <f t="shared" si="1"/>
        <v>1.4057505159925654E-13</v>
      </c>
      <c r="AK25" s="80">
        <v>0.74249729237912598</v>
      </c>
      <c r="AL25" s="161">
        <f t="shared" si="2"/>
        <v>6.5390595160863541E-8</v>
      </c>
    </row>
    <row r="26" spans="1:38" ht="11.25" customHeight="1" x14ac:dyDescent="0.2">
      <c r="A26" s="59" t="s">
        <v>94</v>
      </c>
      <c r="B26" s="116" t="b">
        <v>1</v>
      </c>
      <c r="C26" s="62" t="str">
        <f>_xll.qlIMMNextCode(C25,B26,Trigger)</f>
        <v>U0</v>
      </c>
      <c r="D26" s="123"/>
      <c r="E26" s="156">
        <f>_xll.qlIMMdate(C26,,Trigger)</f>
        <v>44090</v>
      </c>
      <c r="F26" s="156">
        <f>_xll.qlIMMNextDate(E26,,Trigger)</f>
        <v>44181</v>
      </c>
      <c r="G26" s="61" t="str">
        <f t="shared" si="6"/>
        <v>Euribor3M</v>
      </c>
      <c r="H26" s="119" t="str">
        <f t="shared" si="7"/>
        <v>FEIU0_LCHQuote</v>
      </c>
      <c r="I26" s="125">
        <f t="shared" si="8"/>
        <v>0</v>
      </c>
      <c r="J26" s="64" t="str">
        <f>_xll.qlFuturesRateHelper(,$H26,$H$4,$E26,$G26,$I26,FALSE,"customdate",$F26,Permanent,Trigger,ObjectOverwrite)</f>
        <v>obj_007d5#0001</v>
      </c>
      <c r="K26" s="64" t="str">
        <f t="shared" ref="K26:K29" si="17">J26</f>
        <v>obj_007d5#0001</v>
      </c>
      <c r="L26" s="48"/>
      <c r="M26" s="10" t="str">
        <f t="shared" si="14"/>
        <v>FUT</v>
      </c>
      <c r="N26" s="94" t="str">
        <f t="shared" si="15"/>
        <v>obj_007d2#0001</v>
      </c>
      <c r="O26" s="94" t="str">
        <f t="shared" si="16"/>
        <v>obj_007d2#0001</v>
      </c>
      <c r="P26" s="146" t="str">
        <f>IFERROR(_xll.qlRateHelperQuoteName(N26,Trigger),"--")</f>
        <v>FEIH1_LCHQuote</v>
      </c>
      <c r="Q26" s="150" t="str">
        <f>IFERROR(_xll.qlRateHelperQuoteValue($N26,Trigger),"--")</f>
        <v>--</v>
      </c>
      <c r="R26" s="97" t="b">
        <v>1</v>
      </c>
      <c r="S26" s="94"/>
      <c r="T26" s="94">
        <v>1</v>
      </c>
      <c r="U26" s="99">
        <f>IFERROR(_xll.qlRateHelperEarliestDate(N26,Trigger),"--")</f>
        <v>44272</v>
      </c>
      <c r="V26" s="99">
        <f>IFERROR(_xll.qlRateHelperPillarDate(N26,Trigger),"--")</f>
        <v>44363</v>
      </c>
      <c r="X26" s="4" t="str">
        <f t="shared" si="0"/>
        <v>BasSw</v>
      </c>
      <c r="Y26" s="4" t="str">
        <v>obj_006b3</v>
      </c>
      <c r="Z26" s="4" t="str">
        <v>obj_006ba</v>
      </c>
      <c r="AA26" s="4" t="str">
        <f>IFERROR(_xll.qlRateHelperQuoteName(Y26,Trigger),"")</f>
        <v>EUR3E6E25Y_LCHQuote</v>
      </c>
      <c r="AB26" s="70">
        <f>IFERROR(_xll.qlRateHelperRate(Y26,Trigger),"")</f>
        <v>1.4860399999999999E-2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42256</v>
      </c>
      <c r="AE26" s="5">
        <f>IFERROR(_xll.qlRateHelperPillarDate(Y26,Trigger),"")</f>
        <v>51389</v>
      </c>
      <c r="AF26" s="70">
        <v>1.5247195857017334E-2</v>
      </c>
      <c r="AG26" s="77">
        <v>0.6830137143880799</v>
      </c>
      <c r="AH26" s="169">
        <v>51389</v>
      </c>
      <c r="AI26" s="170">
        <v>1.52471958576272E-2</v>
      </c>
      <c r="AJ26" s="172">
        <f t="shared" si="1"/>
        <v>-6.0986632410831021E-13</v>
      </c>
      <c r="AK26" s="80">
        <v>0.68301377445795497</v>
      </c>
      <c r="AL26" s="161">
        <f t="shared" si="2"/>
        <v>6.0069875074120205E-8</v>
      </c>
    </row>
    <row r="27" spans="1:38" ht="11.25" customHeight="1" x14ac:dyDescent="0.2">
      <c r="A27" s="59" t="s">
        <v>94</v>
      </c>
      <c r="B27" s="116" t="b">
        <v>1</v>
      </c>
      <c r="C27" s="62" t="str">
        <f>_xll.qlIMMNextCode(C26,B27,Trigger)</f>
        <v>Z0</v>
      </c>
      <c r="D27" s="123"/>
      <c r="E27" s="156">
        <f>_xll.qlIMMdate(C27,,Trigger)</f>
        <v>44181</v>
      </c>
      <c r="F27" s="156">
        <f>_xll.qlIMMNextDate(E27,,Trigger)</f>
        <v>44272</v>
      </c>
      <c r="G27" s="61" t="str">
        <f t="shared" si="6"/>
        <v>Euribor3M</v>
      </c>
      <c r="H27" s="119" t="str">
        <f t="shared" si="7"/>
        <v>FEIZ0_LCHQuote</v>
      </c>
      <c r="I27" s="125">
        <f t="shared" si="8"/>
        <v>0</v>
      </c>
      <c r="J27" s="64" t="str">
        <f>_xll.qlFuturesRateHelper(,$H27,$H$4,$E27,$G27,$I27,FALSE,"customdate",$F27,Permanent,Trigger,ObjectOverwrite)</f>
        <v>obj_007d4#0001</v>
      </c>
      <c r="K27" s="64" t="str">
        <f t="shared" si="17"/>
        <v>obj_007d4#0001</v>
      </c>
      <c r="L27" s="48"/>
      <c r="M27" s="10" t="str">
        <f t="shared" si="14"/>
        <v>FUT</v>
      </c>
      <c r="N27" s="94" t="str">
        <f t="shared" si="15"/>
        <v>obj_007d3#0001</v>
      </c>
      <c r="O27" s="94" t="str">
        <f t="shared" si="16"/>
        <v>obj_007d3#0001</v>
      </c>
      <c r="P27" s="146" t="str">
        <f>IFERROR(_xll.qlRateHelperQuoteName(N27,Trigger),"--")</f>
        <v>FEIM1_LCHQuote</v>
      </c>
      <c r="Q27" s="150" t="str">
        <f>IFERROR(_xll.qlRateHelperQuoteValue($N27,Trigger),"--")</f>
        <v>--</v>
      </c>
      <c r="R27" s="97" t="b">
        <v>1</v>
      </c>
      <c r="S27" s="94"/>
      <c r="T27" s="94">
        <v>1</v>
      </c>
      <c r="U27" s="99">
        <f>IFERROR(_xll.qlRateHelperEarliestDate(N27,Trigger),"--")</f>
        <v>44363</v>
      </c>
      <c r="V27" s="99">
        <f>IFERROR(_xll.qlRateHelperPillarDate(N27,Trigger),"--")</f>
        <v>44454</v>
      </c>
      <c r="X27" s="4" t="str">
        <f t="shared" si="0"/>
        <v>BasSw</v>
      </c>
      <c r="Y27" s="4" t="str">
        <v>obj_006e0</v>
      </c>
      <c r="Z27" s="4" t="str">
        <v>obj_006be</v>
      </c>
      <c r="AA27" s="4" t="str">
        <f>IFERROR(_xll.qlRateHelperQuoteName(Y27,Trigger),"")</f>
        <v>EUR3E6E30Y_LCHQuote</v>
      </c>
      <c r="AB27" s="70">
        <f>IFERROR(_xll.qlRateHelperRate(Y27,Trigger),"")</f>
        <v>1.5015300000000001E-2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42256</v>
      </c>
      <c r="AE27" s="5">
        <f>IFERROR(_xll.qlRateHelperPillarDate(Y27,Trigger),"")</f>
        <v>53216</v>
      </c>
      <c r="AF27" s="70">
        <v>1.5354655590080533E-2</v>
      </c>
      <c r="AG27" s="77">
        <v>0.63078532272765342</v>
      </c>
      <c r="AH27" s="169">
        <v>53216</v>
      </c>
      <c r="AI27" s="170">
        <v>1.53546555901263E-2</v>
      </c>
      <c r="AJ27" s="172">
        <f t="shared" si="1"/>
        <v>-4.5767209466696102E-14</v>
      </c>
      <c r="AK27" s="80">
        <v>0.63078537848443395</v>
      </c>
      <c r="AL27" s="161">
        <f t="shared" si="2"/>
        <v>5.5756780525939575E-8</v>
      </c>
    </row>
    <row r="28" spans="1:38" ht="11.25" customHeight="1" x14ac:dyDescent="0.2">
      <c r="A28" s="59" t="s">
        <v>94</v>
      </c>
      <c r="B28" s="116" t="b">
        <v>1</v>
      </c>
      <c r="C28" s="62" t="str">
        <f>_xll.qlIMMNextCode(C27,B28,Trigger)</f>
        <v>H1</v>
      </c>
      <c r="D28" s="123"/>
      <c r="E28" s="156">
        <f>_xll.qlIMMdate(C28,,Trigger)</f>
        <v>44272</v>
      </c>
      <c r="F28" s="156">
        <f>_xll.qlIMMNextDate(E28,,Trigger)</f>
        <v>44363</v>
      </c>
      <c r="G28" s="61" t="str">
        <f t="shared" si="6"/>
        <v>Euribor3M</v>
      </c>
      <c r="H28" s="119" t="str">
        <f t="shared" si="7"/>
        <v>FEIH1_LCHQuote</v>
      </c>
      <c r="I28" s="125">
        <f t="shared" si="8"/>
        <v>0</v>
      </c>
      <c r="J28" s="64" t="str">
        <f>_xll.qlFuturesRateHelper(,$H28,$H$4,$E28,$G28,$I28,FALSE,"customdate",$F28,Permanent,Trigger,ObjectOverwrite)</f>
        <v>obj_007d2#0001</v>
      </c>
      <c r="K28" s="64" t="str">
        <f t="shared" si="17"/>
        <v>obj_007d2#0001</v>
      </c>
      <c r="L28" s="48"/>
      <c r="M28" s="135" t="str">
        <f t="shared" ref="M28:M65" si="18">A32</f>
        <v>Sw</v>
      </c>
      <c r="N28" s="136" t="str">
        <f t="shared" ref="N28:N65" si="19">IF(ISBLANK(J32),"--",J32)</f>
        <v>qlSwapRateHelper2(,H34,2,B34,Calendar,D34,E34,F34,G34,I34,C34,Discounting1,PillarDate,,Permanent,Trigger,ObjectOverwrite)</v>
      </c>
      <c r="O28" s="136" t="str">
        <f t="shared" ref="O28:O65" si="20">IF(ISBLANK(K32),"--",K32)</f>
        <v>qlSwapRateHelper2(,H34,2,B34,Calendar,D34,E34,F34,G34,I34,C34,Discounting1,PillarDate,,Permanent,Trigger,ObjectOverwrite)</v>
      </c>
      <c r="P28" s="148" t="str">
        <f>IFERROR(_xll.qlRateHelperQuoteName(N28,Trigger),"--")</f>
        <v>--</v>
      </c>
      <c r="Q28" s="138" t="str">
        <f>IFERROR(_xll.qlRateHelperQuoteValue($N28,Trigger),"--")</f>
        <v>--</v>
      </c>
      <c r="R28" s="137" t="b">
        <v>0</v>
      </c>
      <c r="S28" s="136">
        <v>10</v>
      </c>
      <c r="T28" s="136">
        <v>1</v>
      </c>
      <c r="U28" s="139" t="str">
        <f>IFERROR(_xll.qlRateHelperEarliestDate(N28,Trigger),"--")</f>
        <v>--</v>
      </c>
      <c r="V28" s="139" t="str">
        <f>IFERROR(_xll.qlRateHelperPillarDate(N28,Trigger),"--")</f>
        <v>--</v>
      </c>
      <c r="X28" s="4" t="str">
        <f t="shared" si="0"/>
        <v>BasSw</v>
      </c>
      <c r="Y28" s="4" t="str">
        <v>obj_006d1</v>
      </c>
      <c r="Z28" s="4" t="str">
        <v>obj_006cc</v>
      </c>
      <c r="AA28" s="4" t="str">
        <f>IFERROR(_xll.qlRateHelperQuoteName(Y28,Trigger),"")</f>
        <v>EUR3E6E40Y_LCHQuote</v>
      </c>
      <c r="AB28" s="70">
        <f>IFERROR(_xll.qlRateHelperRate(Y28,Trigger),"")</f>
        <v>1.52675E-2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42256</v>
      </c>
      <c r="AE28" s="5">
        <f>IFERROR(_xll.qlRateHelperPillarDate(Y28,Trigger),"")</f>
        <v>56866</v>
      </c>
      <c r="AF28" s="70">
        <v>1.5566407679056237E-2</v>
      </c>
      <c r="AG28" s="77">
        <v>0.53656941960470261</v>
      </c>
      <c r="AH28" s="169">
        <v>56866</v>
      </c>
      <c r="AI28" s="170">
        <v>1.5566407679038901E-2</v>
      </c>
      <c r="AJ28" s="172">
        <f t="shared" si="1"/>
        <v>1.733682641891221E-14</v>
      </c>
      <c r="AK28" s="80">
        <v>0.53656946186809695</v>
      </c>
      <c r="AL28" s="161">
        <f t="shared" si="2"/>
        <v>4.2263394339769889E-8</v>
      </c>
    </row>
    <row r="29" spans="1:38" ht="11.25" customHeight="1" x14ac:dyDescent="0.2">
      <c r="A29" s="1" t="s">
        <v>94</v>
      </c>
      <c r="B29" s="117" t="b">
        <v>1</v>
      </c>
      <c r="C29" s="9" t="str">
        <f>_xll.qlIMMNextCode(C28,B29,Trigger)</f>
        <v>M1</v>
      </c>
      <c r="D29" s="124"/>
      <c r="E29" s="157">
        <f>_xll.qlIMMdate(C29,,Trigger)</f>
        <v>44363</v>
      </c>
      <c r="F29" s="157">
        <f>_xll.qlIMMNextDate(E29,,Trigger)</f>
        <v>44454</v>
      </c>
      <c r="G29" s="7" t="str">
        <f t="shared" si="6"/>
        <v>Euribor3M</v>
      </c>
      <c r="H29" s="120" t="str">
        <f t="shared" si="7"/>
        <v>FEIM1_LCHQuote</v>
      </c>
      <c r="I29" s="128">
        <f t="shared" si="8"/>
        <v>0</v>
      </c>
      <c r="J29" s="3" t="str">
        <f>_xll.qlFuturesRateHelper(,$H29,$H$4,$E29,$G29,$I29,FALSE,"customdate",$F29,Permanent,Trigger,ObjectOverwrite)</f>
        <v>obj_007d3#0001</v>
      </c>
      <c r="K29" s="3" t="str">
        <f t="shared" si="17"/>
        <v>obj_007d3#0001</v>
      </c>
      <c r="L29" s="48"/>
      <c r="M29" s="71" t="str">
        <f t="shared" si="18"/>
        <v>Sw</v>
      </c>
      <c r="N29" s="140" t="str">
        <f t="shared" si="19"/>
        <v>--</v>
      </c>
      <c r="O29" s="140" t="str">
        <f t="shared" si="20"/>
        <v>--</v>
      </c>
      <c r="P29" s="149" t="str">
        <f>IFERROR(_xll.qlRateHelperQuoteName(N29,Trigger),"--")</f>
        <v>--</v>
      </c>
      <c r="Q29" s="142" t="str">
        <f>IFERROR(_xll.qlRateHelperQuoteValue($N29,Trigger),"--")</f>
        <v>--</v>
      </c>
      <c r="R29" s="141" t="b">
        <v>0</v>
      </c>
      <c r="S29" s="140">
        <v>10</v>
      </c>
      <c r="T29" s="140">
        <v>1</v>
      </c>
      <c r="U29" s="143" t="str">
        <f>IFERROR(_xll.qlRateHelperEarliestDate(N29,Trigger),"--")</f>
        <v>--</v>
      </c>
      <c r="V29" s="143" t="str">
        <f>IFERROR(_xll.qlRateHelperPillarDate(N29,Trigger),"--")</f>
        <v>--</v>
      </c>
      <c r="X29" s="4" t="str">
        <f t="shared" si="0"/>
        <v>BasSw</v>
      </c>
      <c r="Y29" s="4" t="str">
        <v>obj_006c5</v>
      </c>
      <c r="Z29" s="4" t="str">
        <v>obj_006a8</v>
      </c>
      <c r="AA29" s="4" t="str">
        <f>IFERROR(_xll.qlRateHelperQuoteName(Y29,Trigger),"")</f>
        <v>EUR3E6E50Y_LCHQuote</v>
      </c>
      <c r="AB29" s="70">
        <f>IFERROR(_xll.qlRateHelperRate(Y29,Trigger),"")</f>
        <v>1.49575E-2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42256</v>
      </c>
      <c r="AE29" s="5">
        <f>IFERROR(_xll.qlRateHelperPillarDate(Y29,Trigger),"")</f>
        <v>60519</v>
      </c>
      <c r="AF29" s="70">
        <v>1.504653946049057E-2</v>
      </c>
      <c r="AG29" s="77">
        <v>0.47134015046108485</v>
      </c>
      <c r="AH29" s="169">
        <v>60519</v>
      </c>
      <c r="AI29" s="170">
        <v>1.50465394603403E-2</v>
      </c>
      <c r="AJ29" s="172">
        <f t="shared" si="1"/>
        <v>1.5027042110649091E-13</v>
      </c>
      <c r="AK29" s="80">
        <v>0.47134020273569299</v>
      </c>
      <c r="AL29" s="161">
        <f t="shared" si="2"/>
        <v>5.2274608142166556E-8</v>
      </c>
    </row>
    <row r="30" spans="1:38" ht="11.25" customHeight="1" x14ac:dyDescent="0.2">
      <c r="G30" s="50" t="s">
        <v>126</v>
      </c>
      <c r="H30" s="50" t="s">
        <v>127</v>
      </c>
      <c r="L30" s="48"/>
      <c r="M30" s="71" t="str">
        <f t="shared" si="18"/>
        <v>Sw</v>
      </c>
      <c r="N30" s="140" t="str">
        <f t="shared" si="19"/>
        <v>--</v>
      </c>
      <c r="O30" s="140" t="str">
        <f t="shared" si="20"/>
        <v>--</v>
      </c>
      <c r="P30" s="149" t="str">
        <f>IFERROR(_xll.qlRateHelperQuoteName(N30,Trigger),"--")</f>
        <v>--</v>
      </c>
      <c r="Q30" s="142" t="str">
        <f>IFERROR(_xll.qlRateHelperQuoteValue($N30,Trigger),"--")</f>
        <v>--</v>
      </c>
      <c r="R30" s="141" t="b">
        <v>0</v>
      </c>
      <c r="S30" s="140">
        <v>10</v>
      </c>
      <c r="T30" s="140">
        <v>1</v>
      </c>
      <c r="U30" s="143" t="str">
        <f>IFERROR(_xll.qlRateHelperEarliestDate(N30,Trigger),"--")</f>
        <v>--</v>
      </c>
      <c r="V30" s="143" t="str">
        <f>IFERROR(_xll.qlRateHelperPillarDate(N30,Trigger),"--")</f>
        <v>--</v>
      </c>
      <c r="X30" s="4" t="str">
        <f t="shared" si="0"/>
        <v>BasSw</v>
      </c>
      <c r="Y30" s="4" t="str">
        <v>obj_006dd</v>
      </c>
      <c r="Z30" s="4" t="str">
        <v>obj_0069d</v>
      </c>
      <c r="AA30" s="4" t="str">
        <f>IFERROR(_xll.qlRateHelperQuoteName(Y30,Trigger),"")</f>
        <v>EUR3E6E60Y_LCHQuote</v>
      </c>
      <c r="AB30" s="70">
        <f>IFERROR(_xll.qlRateHelperRate(Y30,Trigger),"")</f>
        <v>1.4692500000000001E-2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42256</v>
      </c>
      <c r="AE30" s="5">
        <f>IFERROR(_xll.qlRateHelperPillarDate(Y30,Trigger),"")</f>
        <v>64171</v>
      </c>
      <c r="AF30" s="70">
        <v>1.4618336041925519E-2</v>
      </c>
      <c r="AG30" s="77">
        <v>0.41595611830585477</v>
      </c>
      <c r="AH30" s="169">
        <v>64171</v>
      </c>
      <c r="AI30" s="170">
        <v>1.46182262321462E-2</v>
      </c>
      <c r="AJ30" s="172">
        <f t="shared" si="1"/>
        <v>1.0980977931986102E-7</v>
      </c>
      <c r="AK30" s="80">
        <v>0.415958300804669</v>
      </c>
      <c r="AL30" s="161">
        <f t="shared" si="2"/>
        <v>2.1824988142293833E-6</v>
      </c>
    </row>
    <row r="31" spans="1:38" ht="11.25" customHeight="1" x14ac:dyDescent="0.2">
      <c r="A31" s="65" t="s">
        <v>9</v>
      </c>
      <c r="B31" s="65" t="s">
        <v>29</v>
      </c>
      <c r="C31" s="65" t="s">
        <v>114</v>
      </c>
      <c r="D31" s="65" t="s">
        <v>5</v>
      </c>
      <c r="E31" s="65" t="s">
        <v>34</v>
      </c>
      <c r="F31" s="65" t="s">
        <v>115</v>
      </c>
      <c r="G31" s="65" t="s">
        <v>4</v>
      </c>
      <c r="H31" s="65" t="s">
        <v>1</v>
      </c>
      <c r="I31" s="65" t="s">
        <v>113</v>
      </c>
      <c r="J31" s="65" t="s">
        <v>150</v>
      </c>
      <c r="K31" s="65" t="s">
        <v>151</v>
      </c>
      <c r="L31" s="48"/>
      <c r="M31" s="71" t="str">
        <f t="shared" si="18"/>
        <v>Sw</v>
      </c>
      <c r="N31" s="140" t="str">
        <f t="shared" si="19"/>
        <v>--</v>
      </c>
      <c r="O31" s="140" t="str">
        <f t="shared" si="20"/>
        <v>--</v>
      </c>
      <c r="P31" s="149" t="str">
        <f>IFERROR(_xll.qlRateHelperQuoteName(N31,Trigger),"--")</f>
        <v>--</v>
      </c>
      <c r="Q31" s="142" t="str">
        <f>IFERROR(_xll.qlRateHelperQuoteValue($N31,Trigger),"--")</f>
        <v>--</v>
      </c>
      <c r="R31" s="141" t="b">
        <v>0</v>
      </c>
      <c r="S31" s="140">
        <v>10</v>
      </c>
      <c r="T31" s="140">
        <v>1</v>
      </c>
      <c r="U31" s="143" t="str">
        <f>IFERROR(_xll.qlRateHelperEarliestDate(N31,Trigger),"--")</f>
        <v>--</v>
      </c>
      <c r="V31" s="143" t="str">
        <f>IFERROR(_xll.qlRateHelperPillarDate(N31,Trigger),"--")</f>
        <v>--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3" t="s">
        <v>25</v>
      </c>
      <c r="B32" s="54" t="s">
        <v>3</v>
      </c>
      <c r="C32" s="55" t="s">
        <v>6</v>
      </c>
      <c r="D32" s="61" t="s">
        <v>8</v>
      </c>
      <c r="E32" s="61" t="s">
        <v>7</v>
      </c>
      <c r="F32" s="61" t="s">
        <v>125</v>
      </c>
      <c r="G32" s="61" t="str">
        <f t="shared" ref="G32:G69" si="21">PROPER(Currency)&amp;FamilyName&amp;Tenor</f>
        <v>Euribor3M</v>
      </c>
      <c r="H32" s="59" t="str">
        <f t="shared" ref="H32:H69" si="22">IF(LCHQuoteOverwrite,Currency&amp;$G$30&amp;$H$30&amp;$B32&amp;LCHQuoteSuffix,Currency&amp;$G$30&amp;$H$30&amp;$B32&amp;QuoteSuffix)</f>
        <v>EURAB3E6M_LCHQuote</v>
      </c>
      <c r="I32" s="126">
        <v>0</v>
      </c>
      <c r="J32" s="58" t="s">
        <v>149</v>
      </c>
      <c r="K32" s="58" t="str">
        <f>J32</f>
        <v>qlSwapRateHelper2(,H34,2,B34,Calendar,D34,E34,F34,G34,I34,C34,Discounting1,PillarDate,,Permanent,Trigger,ObjectOverwrite)</v>
      </c>
      <c r="L32" s="48"/>
      <c r="M32" s="71" t="str">
        <f t="shared" si="18"/>
        <v>Sw</v>
      </c>
      <c r="N32" s="140" t="str">
        <f t="shared" si="19"/>
        <v>--</v>
      </c>
      <c r="O32" s="140" t="str">
        <f t="shared" si="20"/>
        <v>--</v>
      </c>
      <c r="P32" s="149" t="str">
        <f>IFERROR(_xll.qlRateHelperQuoteName(N32,Trigger),"--")</f>
        <v>--</v>
      </c>
      <c r="Q32" s="142" t="str">
        <f>IFERROR(_xll.qlRateHelperQuoteValue($N32,Trigger),"--")</f>
        <v>--</v>
      </c>
      <c r="R32" s="141" t="b">
        <v>0</v>
      </c>
      <c r="S32" s="140">
        <v>10</v>
      </c>
      <c r="T32" s="140">
        <v>1</v>
      </c>
      <c r="U32" s="143" t="str">
        <f>IFERROR(_xll.qlRateHelperEarliestDate(N32,Trigger),"--")</f>
        <v>--</v>
      </c>
      <c r="V32" s="143" t="str">
        <f>IFERROR(_xll.qlRateHelperPillarDate(N32,Trigger),"--")</f>
        <v>--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25</v>
      </c>
      <c r="B33" s="60" t="s">
        <v>28</v>
      </c>
      <c r="C33" s="61" t="s">
        <v>6</v>
      </c>
      <c r="D33" s="61" t="s">
        <v>8</v>
      </c>
      <c r="E33" s="61" t="s">
        <v>7</v>
      </c>
      <c r="F33" s="61" t="s">
        <v>125</v>
      </c>
      <c r="G33" s="61" t="str">
        <f t="shared" si="21"/>
        <v>Euribor3M</v>
      </c>
      <c r="H33" s="59" t="str">
        <f t="shared" si="22"/>
        <v>EURAB3E1Y_LCHQuote</v>
      </c>
      <c r="I33" s="127">
        <v>0</v>
      </c>
      <c r="J33" s="64"/>
      <c r="K33" s="64"/>
      <c r="L33" s="48"/>
      <c r="M33" s="71" t="str">
        <f t="shared" si="18"/>
        <v>Sw</v>
      </c>
      <c r="N33" s="140" t="str">
        <f t="shared" si="19"/>
        <v>--</v>
      </c>
      <c r="O33" s="140" t="str">
        <f t="shared" si="20"/>
        <v>--</v>
      </c>
      <c r="P33" s="149" t="str">
        <f>IFERROR(_xll.qlRateHelperQuoteName(N33,Trigger),"--")</f>
        <v>--</v>
      </c>
      <c r="Q33" s="142" t="str">
        <f>IFERROR(_xll.qlRateHelperQuoteValue($N33,Trigger),"--")</f>
        <v>--</v>
      </c>
      <c r="R33" s="141" t="b">
        <v>0</v>
      </c>
      <c r="S33" s="140">
        <v>10</v>
      </c>
      <c r="T33" s="140">
        <v>1</v>
      </c>
      <c r="U33" s="143" t="str">
        <f>IFERROR(_xll.qlRateHelperEarliestDate(N33,Trigger),"--")</f>
        <v>--</v>
      </c>
      <c r="V33" s="143" t="str">
        <f>IFERROR(_xll.qlRateHelperPillarDate(N33,Trigger),"--")</f>
        <v>--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25</v>
      </c>
      <c r="B34" s="60" t="s">
        <v>49</v>
      </c>
      <c r="C34" s="61" t="s">
        <v>6</v>
      </c>
      <c r="D34" s="61" t="s">
        <v>8</v>
      </c>
      <c r="E34" s="61" t="s">
        <v>7</v>
      </c>
      <c r="F34" s="61" t="s">
        <v>125</v>
      </c>
      <c r="G34" s="61" t="str">
        <f t="shared" si="21"/>
        <v>Euribor3M</v>
      </c>
      <c r="H34" s="59" t="str">
        <f t="shared" si="22"/>
        <v>EURAB3E15M_LCHQuote</v>
      </c>
      <c r="I34" s="127">
        <v>0</v>
      </c>
      <c r="J34" s="64"/>
      <c r="K34" s="64"/>
      <c r="L34" s="48"/>
      <c r="M34" s="71" t="str">
        <f t="shared" si="18"/>
        <v>Sw</v>
      </c>
      <c r="N34" s="140" t="str">
        <f t="shared" si="19"/>
        <v>--</v>
      </c>
      <c r="O34" s="140" t="str">
        <f t="shared" si="20"/>
        <v>--</v>
      </c>
      <c r="P34" s="149" t="str">
        <f>IFERROR(_xll.qlRateHelperQuoteName(N34,Trigger),"--")</f>
        <v>--</v>
      </c>
      <c r="Q34" s="142" t="str">
        <f>IFERROR(_xll.qlRateHelperQuoteValue($N34,Trigger),"--")</f>
        <v>--</v>
      </c>
      <c r="R34" s="141" t="b">
        <v>0</v>
      </c>
      <c r="S34" s="140">
        <v>10</v>
      </c>
      <c r="T34" s="140">
        <v>1</v>
      </c>
      <c r="U34" s="143" t="str">
        <f>IFERROR(_xll.qlRateHelperEarliestDate(N34,Trigger),"--")</f>
        <v>--</v>
      </c>
      <c r="V34" s="143" t="str">
        <f>IFERROR(_xll.qlRateHelperPillarDate(N34,Trigger),"--")</f>
        <v>--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25</v>
      </c>
      <c r="B35" s="60" t="s">
        <v>50</v>
      </c>
      <c r="C35" s="61" t="s">
        <v>6</v>
      </c>
      <c r="D35" s="61" t="s">
        <v>8</v>
      </c>
      <c r="E35" s="61" t="s">
        <v>7</v>
      </c>
      <c r="F35" s="61" t="s">
        <v>125</v>
      </c>
      <c r="G35" s="61" t="str">
        <f t="shared" si="21"/>
        <v>Euribor3M</v>
      </c>
      <c r="H35" s="59" t="str">
        <f t="shared" si="22"/>
        <v>EURAB3E18M_LCHQuote</v>
      </c>
      <c r="I35" s="127">
        <v>0</v>
      </c>
      <c r="J35" s="64"/>
      <c r="K35" s="64"/>
      <c r="L35" s="48"/>
      <c r="M35" s="71" t="str">
        <f t="shared" si="18"/>
        <v>Sw</v>
      </c>
      <c r="N35" s="140" t="str">
        <f t="shared" si="19"/>
        <v>--</v>
      </c>
      <c r="O35" s="140" t="str">
        <f t="shared" si="20"/>
        <v>--</v>
      </c>
      <c r="P35" s="149" t="str">
        <f>IFERROR(_xll.qlRateHelperQuoteName(N35,Trigger),"--")</f>
        <v>--</v>
      </c>
      <c r="Q35" s="142" t="str">
        <f>IFERROR(_xll.qlRateHelperQuoteValue($N35,Trigger),"--")</f>
        <v>--</v>
      </c>
      <c r="R35" s="141" t="b">
        <v>0</v>
      </c>
      <c r="S35" s="140">
        <v>10</v>
      </c>
      <c r="T35" s="140">
        <v>1</v>
      </c>
      <c r="U35" s="143" t="str">
        <f>IFERROR(_xll.qlRateHelperEarliestDate(N35,Trigger),"--")</f>
        <v>--</v>
      </c>
      <c r="V35" s="143" t="str">
        <f>IFERROR(_xll.qlRateHelperPillarDate(N35,Trigger),"--")</f>
        <v>--</v>
      </c>
      <c r="X35" s="4" t="str">
        <f t="shared" ref="X35:X66" si="23">IFERROR(INDEX($M$3:$M$103,MATCH(AA35,$P$3:$P$103,0),1),"")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25</v>
      </c>
      <c r="B36" s="60" t="s">
        <v>51</v>
      </c>
      <c r="C36" s="61" t="s">
        <v>6</v>
      </c>
      <c r="D36" s="61" t="s">
        <v>8</v>
      </c>
      <c r="E36" s="61" t="s">
        <v>7</v>
      </c>
      <c r="F36" s="61" t="s">
        <v>125</v>
      </c>
      <c r="G36" s="61" t="str">
        <f t="shared" si="21"/>
        <v>Euribor3M</v>
      </c>
      <c r="H36" s="59" t="str">
        <f t="shared" si="22"/>
        <v>EURAB3E21M_LCHQuote</v>
      </c>
      <c r="I36" s="127">
        <v>0</v>
      </c>
      <c r="J36" s="64"/>
      <c r="K36" s="64"/>
      <c r="L36" s="48"/>
      <c r="M36" s="71" t="str">
        <f t="shared" si="18"/>
        <v>Sw</v>
      </c>
      <c r="N36" s="140" t="str">
        <f t="shared" si="19"/>
        <v>--</v>
      </c>
      <c r="O36" s="140" t="str">
        <f t="shared" si="20"/>
        <v>--</v>
      </c>
      <c r="P36" s="149" t="str">
        <f>IFERROR(_xll.qlRateHelperQuoteName(N36,Trigger),"--")</f>
        <v>--</v>
      </c>
      <c r="Q36" s="142" t="str">
        <f>IFERROR(_xll.qlRateHelperQuoteValue($N36,Trigger),"--")</f>
        <v>--</v>
      </c>
      <c r="R36" s="141" t="b">
        <v>0</v>
      </c>
      <c r="S36" s="140">
        <v>10</v>
      </c>
      <c r="T36" s="140">
        <v>1</v>
      </c>
      <c r="U36" s="143" t="str">
        <f>IFERROR(_xll.qlRateHelperEarliestDate(N36,Trigger),"--")</f>
        <v>--</v>
      </c>
      <c r="V36" s="143" t="str">
        <f>IFERROR(_xll.qlRateHelperPillarDate(N36,Trigger),"--")</f>
        <v>--</v>
      </c>
      <c r="X36" s="4" t="str">
        <f t="shared" si="23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25</v>
      </c>
      <c r="B37" s="60" t="s">
        <v>52</v>
      </c>
      <c r="C37" s="61" t="s">
        <v>6</v>
      </c>
      <c r="D37" s="61" t="s">
        <v>8</v>
      </c>
      <c r="E37" s="61" t="s">
        <v>7</v>
      </c>
      <c r="F37" s="61" t="s">
        <v>125</v>
      </c>
      <c r="G37" s="61" t="str">
        <f t="shared" si="21"/>
        <v>Euribor3M</v>
      </c>
      <c r="H37" s="59" t="str">
        <f t="shared" si="22"/>
        <v>EURAB3E2Y_LCHQuote</v>
      </c>
      <c r="I37" s="127">
        <v>0</v>
      </c>
      <c r="J37" s="64"/>
      <c r="K37" s="64"/>
      <c r="L37" s="48"/>
      <c r="M37" s="71" t="str">
        <f t="shared" si="18"/>
        <v>Sw</v>
      </c>
      <c r="N37" s="140" t="str">
        <f t="shared" si="19"/>
        <v>--</v>
      </c>
      <c r="O37" s="140" t="str">
        <f t="shared" si="20"/>
        <v>--</v>
      </c>
      <c r="P37" s="149" t="str">
        <f>IFERROR(_xll.qlRateHelperQuoteName(N37,Trigger),"--")</f>
        <v>--</v>
      </c>
      <c r="Q37" s="142" t="str">
        <f>IFERROR(_xll.qlRateHelperQuoteValue($N37,Trigger),"--")</f>
        <v>--</v>
      </c>
      <c r="R37" s="141" t="b">
        <v>0</v>
      </c>
      <c r="S37" s="140">
        <v>10</v>
      </c>
      <c r="T37" s="140">
        <v>1</v>
      </c>
      <c r="U37" s="143" t="str">
        <f>IFERROR(_xll.qlRateHelperEarliestDate(N37,Trigger),"--")</f>
        <v>--</v>
      </c>
      <c r="V37" s="143" t="str">
        <f>IFERROR(_xll.qlRateHelperPillarDate(N37,Trigger),"--")</f>
        <v>--</v>
      </c>
      <c r="X37" s="4" t="str">
        <f t="shared" si="23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25</v>
      </c>
      <c r="B38" s="60" t="s">
        <v>53</v>
      </c>
      <c r="C38" s="61" t="s">
        <v>6</v>
      </c>
      <c r="D38" s="61" t="s">
        <v>8</v>
      </c>
      <c r="E38" s="61" t="s">
        <v>7</v>
      </c>
      <c r="F38" s="61" t="s">
        <v>125</v>
      </c>
      <c r="G38" s="61" t="str">
        <f t="shared" si="21"/>
        <v>Euribor3M</v>
      </c>
      <c r="H38" s="59" t="str">
        <f t="shared" si="22"/>
        <v>EURAB3E3Y_LCHQuote</v>
      </c>
      <c r="I38" s="127">
        <v>0</v>
      </c>
      <c r="J38" s="64"/>
      <c r="K38" s="64"/>
      <c r="L38" s="48"/>
      <c r="M38" s="71" t="str">
        <f t="shared" si="18"/>
        <v>Sw</v>
      </c>
      <c r="N38" s="140" t="str">
        <f t="shared" si="19"/>
        <v>--</v>
      </c>
      <c r="O38" s="140" t="str">
        <f t="shared" si="20"/>
        <v>--</v>
      </c>
      <c r="P38" s="149" t="str">
        <f>IFERROR(_xll.qlRateHelperQuoteName(N38,Trigger),"--")</f>
        <v>--</v>
      </c>
      <c r="Q38" s="142" t="str">
        <f>IFERROR(_xll.qlRateHelperQuoteValue($N38,Trigger),"--")</f>
        <v>--</v>
      </c>
      <c r="R38" s="141" t="b">
        <v>0</v>
      </c>
      <c r="S38" s="140">
        <v>10</v>
      </c>
      <c r="T38" s="140">
        <v>1</v>
      </c>
      <c r="U38" s="143" t="str">
        <f>IFERROR(_xll.qlRateHelperEarliestDate(N38,Trigger),"--")</f>
        <v>--</v>
      </c>
      <c r="V38" s="143" t="str">
        <f>IFERROR(_xll.qlRateHelperPillarDate(N38,Trigger),"--")</f>
        <v>--</v>
      </c>
      <c r="X38" s="4" t="str">
        <f t="shared" si="23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25</v>
      </c>
      <c r="B39" s="60" t="s">
        <v>54</v>
      </c>
      <c r="C39" s="61" t="s">
        <v>6</v>
      </c>
      <c r="D39" s="61" t="s">
        <v>8</v>
      </c>
      <c r="E39" s="61" t="s">
        <v>7</v>
      </c>
      <c r="F39" s="61" t="s">
        <v>125</v>
      </c>
      <c r="G39" s="61" t="str">
        <f t="shared" si="21"/>
        <v>Euribor3M</v>
      </c>
      <c r="H39" s="59" t="str">
        <f t="shared" si="22"/>
        <v>EURAB3E4Y_LCHQuote</v>
      </c>
      <c r="I39" s="127">
        <v>0</v>
      </c>
      <c r="J39" s="64"/>
      <c r="K39" s="64"/>
      <c r="L39" s="48"/>
      <c r="M39" s="71" t="str">
        <f t="shared" si="18"/>
        <v>Sw</v>
      </c>
      <c r="N39" s="140" t="str">
        <f t="shared" si="19"/>
        <v>--</v>
      </c>
      <c r="O39" s="140" t="str">
        <f t="shared" si="20"/>
        <v>--</v>
      </c>
      <c r="P39" s="149" t="str">
        <f>IFERROR(_xll.qlRateHelperQuoteName(N39,Trigger),"--")</f>
        <v>--</v>
      </c>
      <c r="Q39" s="142" t="str">
        <f>IFERROR(_xll.qlRateHelperQuoteValue($N39,Trigger),"--")</f>
        <v>--</v>
      </c>
      <c r="R39" s="141" t="b">
        <v>0</v>
      </c>
      <c r="S39" s="140">
        <v>10</v>
      </c>
      <c r="T39" s="140">
        <v>1</v>
      </c>
      <c r="U39" s="143" t="str">
        <f>IFERROR(_xll.qlRateHelperEarliestDate(N39,Trigger),"--")</f>
        <v>--</v>
      </c>
      <c r="V39" s="143" t="str">
        <f>IFERROR(_xll.qlRateHelperPillarDate(N39,Trigger),"--")</f>
        <v>--</v>
      </c>
      <c r="X39" s="4" t="str">
        <f t="shared" si="23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25</v>
      </c>
      <c r="B40" s="60" t="s">
        <v>55</v>
      </c>
      <c r="C40" s="61" t="s">
        <v>6</v>
      </c>
      <c r="D40" s="61" t="s">
        <v>8</v>
      </c>
      <c r="E40" s="61" t="s">
        <v>7</v>
      </c>
      <c r="F40" s="61" t="s">
        <v>125</v>
      </c>
      <c r="G40" s="61" t="str">
        <f t="shared" si="21"/>
        <v>Euribor3M</v>
      </c>
      <c r="H40" s="59" t="str">
        <f t="shared" si="22"/>
        <v>EURAB3E5Y_LCHQuote</v>
      </c>
      <c r="I40" s="127">
        <v>0</v>
      </c>
      <c r="J40" s="64"/>
      <c r="K40" s="64"/>
      <c r="L40" s="48"/>
      <c r="M40" s="71" t="str">
        <f t="shared" si="18"/>
        <v>Sw</v>
      </c>
      <c r="N40" s="140" t="str">
        <f t="shared" si="19"/>
        <v>--</v>
      </c>
      <c r="O40" s="140" t="str">
        <f t="shared" si="20"/>
        <v>--</v>
      </c>
      <c r="P40" s="149" t="str">
        <f>IFERROR(_xll.qlRateHelperQuoteName(N40,Trigger),"--")</f>
        <v>--</v>
      </c>
      <c r="Q40" s="142" t="str">
        <f>IFERROR(_xll.qlRateHelperQuoteValue($N40,Trigger),"--")</f>
        <v>--</v>
      </c>
      <c r="R40" s="141" t="b">
        <v>0</v>
      </c>
      <c r="S40" s="140">
        <v>10</v>
      </c>
      <c r="T40" s="140">
        <v>1</v>
      </c>
      <c r="U40" s="143" t="str">
        <f>IFERROR(_xll.qlRateHelperEarliestDate(N40,Trigger),"--")</f>
        <v>--</v>
      </c>
      <c r="V40" s="143" t="str">
        <f>IFERROR(_xll.qlRateHelperPillarDate(N40,Trigger),"--")</f>
        <v>--</v>
      </c>
      <c r="X40" s="4" t="str">
        <f t="shared" si="23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25</v>
      </c>
      <c r="B41" s="60" t="s">
        <v>56</v>
      </c>
      <c r="C41" s="61" t="s">
        <v>6</v>
      </c>
      <c r="D41" s="61" t="s">
        <v>8</v>
      </c>
      <c r="E41" s="61" t="s">
        <v>7</v>
      </c>
      <c r="F41" s="61" t="s">
        <v>125</v>
      </c>
      <c r="G41" s="61" t="str">
        <f t="shared" si="21"/>
        <v>Euribor3M</v>
      </c>
      <c r="H41" s="59" t="str">
        <f t="shared" si="22"/>
        <v>EURAB3E6Y_LCHQuote</v>
      </c>
      <c r="I41" s="127">
        <v>0</v>
      </c>
      <c r="J41" s="64"/>
      <c r="K41" s="64"/>
      <c r="M41" s="71" t="str">
        <f t="shared" si="18"/>
        <v>Sw</v>
      </c>
      <c r="N41" s="141" t="str">
        <f t="shared" si="19"/>
        <v>--</v>
      </c>
      <c r="O41" s="141" t="str">
        <f t="shared" si="20"/>
        <v>--</v>
      </c>
      <c r="P41" s="149" t="str">
        <f>IFERROR(_xll.qlRateHelperQuoteName(N41,Trigger),"--")</f>
        <v>--</v>
      </c>
      <c r="Q41" s="142" t="str">
        <f>IFERROR(_xll.qlRateHelperQuoteValue($N41,Trigger),"--")</f>
        <v>--</v>
      </c>
      <c r="R41" s="141" t="b">
        <v>0</v>
      </c>
      <c r="S41" s="141">
        <v>10</v>
      </c>
      <c r="T41" s="141">
        <v>1</v>
      </c>
      <c r="U41" s="143" t="str">
        <f>IFERROR(_xll.qlRateHelperEarliestDate(N41,Trigger),"--")</f>
        <v>--</v>
      </c>
      <c r="V41" s="143" t="str">
        <f>IFERROR(_xll.qlRateHelperPillarDate(N41,Trigger),"--")</f>
        <v>--</v>
      </c>
      <c r="X41" s="4" t="str">
        <f t="shared" si="23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25</v>
      </c>
      <c r="B42" s="60" t="s">
        <v>57</v>
      </c>
      <c r="C42" s="61" t="s">
        <v>6</v>
      </c>
      <c r="D42" s="61" t="s">
        <v>8</v>
      </c>
      <c r="E42" s="61" t="s">
        <v>7</v>
      </c>
      <c r="F42" s="61" t="s">
        <v>125</v>
      </c>
      <c r="G42" s="61" t="str">
        <f t="shared" si="21"/>
        <v>Euribor3M</v>
      </c>
      <c r="H42" s="59" t="str">
        <f t="shared" si="22"/>
        <v>EURAB3E7Y_LCHQuote</v>
      </c>
      <c r="I42" s="127">
        <v>0</v>
      </c>
      <c r="J42" s="64"/>
      <c r="K42" s="64"/>
      <c r="M42" s="71" t="str">
        <f t="shared" si="18"/>
        <v>Sw</v>
      </c>
      <c r="N42" s="141" t="str">
        <f t="shared" si="19"/>
        <v>--</v>
      </c>
      <c r="O42" s="141" t="str">
        <f t="shared" si="20"/>
        <v>--</v>
      </c>
      <c r="P42" s="149" t="str">
        <f>IFERROR(_xll.qlRateHelperQuoteName(N42,Trigger),"--")</f>
        <v>--</v>
      </c>
      <c r="Q42" s="142" t="str">
        <f>IFERROR(_xll.qlRateHelperQuoteValue($N42,Trigger),"--")</f>
        <v>--</v>
      </c>
      <c r="R42" s="141" t="b">
        <v>0</v>
      </c>
      <c r="S42" s="141">
        <v>10</v>
      </c>
      <c r="T42" s="141">
        <v>1</v>
      </c>
      <c r="U42" s="143" t="str">
        <f>IFERROR(_xll.qlRateHelperEarliestDate(N42,Trigger),"--")</f>
        <v>--</v>
      </c>
      <c r="V42" s="143" t="str">
        <f>IFERROR(_xll.qlRateHelperPillarDate(N42,Trigger),"--")</f>
        <v>--</v>
      </c>
      <c r="X42" s="4" t="str">
        <f t="shared" si="23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25</v>
      </c>
      <c r="B43" s="60" t="s">
        <v>58</v>
      </c>
      <c r="C43" s="61" t="s">
        <v>6</v>
      </c>
      <c r="D43" s="61" t="s">
        <v>8</v>
      </c>
      <c r="E43" s="61" t="s">
        <v>7</v>
      </c>
      <c r="F43" s="61" t="s">
        <v>125</v>
      </c>
      <c r="G43" s="61" t="str">
        <f t="shared" si="21"/>
        <v>Euribor3M</v>
      </c>
      <c r="H43" s="59" t="str">
        <f t="shared" si="22"/>
        <v>EURAB3E8Y_LCHQuote</v>
      </c>
      <c r="I43" s="127">
        <v>0</v>
      </c>
      <c r="J43" s="64"/>
      <c r="K43" s="64"/>
      <c r="M43" s="71" t="str">
        <f t="shared" si="18"/>
        <v>Sw</v>
      </c>
      <c r="N43" s="141" t="str">
        <f t="shared" si="19"/>
        <v>--</v>
      </c>
      <c r="O43" s="141" t="str">
        <f t="shared" si="20"/>
        <v>--</v>
      </c>
      <c r="P43" s="149" t="str">
        <f>IFERROR(_xll.qlRateHelperQuoteName(N43,Trigger),"--")</f>
        <v>--</v>
      </c>
      <c r="Q43" s="142" t="str">
        <f>IFERROR(_xll.qlRateHelperQuoteValue($N43,Trigger),"--")</f>
        <v>--</v>
      </c>
      <c r="R43" s="141" t="b">
        <v>0</v>
      </c>
      <c r="S43" s="141">
        <v>10</v>
      </c>
      <c r="T43" s="141">
        <v>1</v>
      </c>
      <c r="U43" s="143" t="str">
        <f>IFERROR(_xll.qlRateHelperEarliestDate(N43,Trigger),"--")</f>
        <v>--</v>
      </c>
      <c r="V43" s="143" t="str">
        <f>IFERROR(_xll.qlRateHelperPillarDate(N43,Trigger),"--")</f>
        <v>--</v>
      </c>
      <c r="X43" s="4" t="str">
        <f t="shared" si="23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25</v>
      </c>
      <c r="B44" s="60" t="s">
        <v>59</v>
      </c>
      <c r="C44" s="61" t="s">
        <v>6</v>
      </c>
      <c r="D44" s="61" t="s">
        <v>8</v>
      </c>
      <c r="E44" s="61" t="s">
        <v>7</v>
      </c>
      <c r="F44" s="61" t="s">
        <v>125</v>
      </c>
      <c r="G44" s="61" t="str">
        <f t="shared" si="21"/>
        <v>Euribor3M</v>
      </c>
      <c r="H44" s="59" t="str">
        <f t="shared" si="22"/>
        <v>EURAB3E9Y_LCHQuote</v>
      </c>
      <c r="I44" s="127">
        <v>0</v>
      </c>
      <c r="J44" s="64"/>
      <c r="K44" s="64"/>
      <c r="M44" s="71" t="str">
        <f t="shared" si="18"/>
        <v>Sw</v>
      </c>
      <c r="N44" s="141" t="str">
        <f t="shared" si="19"/>
        <v>--</v>
      </c>
      <c r="O44" s="141" t="str">
        <f t="shared" si="20"/>
        <v>--</v>
      </c>
      <c r="P44" s="149" t="str">
        <f>IFERROR(_xll.qlRateHelperQuoteName(N44,Trigger),"--")</f>
        <v>--</v>
      </c>
      <c r="Q44" s="142" t="str">
        <f>IFERROR(_xll.qlRateHelperQuoteValue($N44,Trigger),"--")</f>
        <v>--</v>
      </c>
      <c r="R44" s="141" t="b">
        <v>0</v>
      </c>
      <c r="S44" s="141">
        <v>10</v>
      </c>
      <c r="T44" s="141">
        <v>1</v>
      </c>
      <c r="U44" s="143" t="str">
        <f>IFERROR(_xll.qlRateHelperEarliestDate(N44,Trigger),"--")</f>
        <v>--</v>
      </c>
      <c r="V44" s="143" t="str">
        <f>IFERROR(_xll.qlRateHelperPillarDate(N44,Trigger),"--")</f>
        <v>--</v>
      </c>
      <c r="X44" s="4" t="str">
        <f t="shared" si="23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25</v>
      </c>
      <c r="B45" s="60" t="s">
        <v>60</v>
      </c>
      <c r="C45" s="61" t="s">
        <v>6</v>
      </c>
      <c r="D45" s="61" t="s">
        <v>8</v>
      </c>
      <c r="E45" s="61" t="s">
        <v>7</v>
      </c>
      <c r="F45" s="61" t="s">
        <v>125</v>
      </c>
      <c r="G45" s="61" t="str">
        <f t="shared" si="21"/>
        <v>Euribor3M</v>
      </c>
      <c r="H45" s="59" t="str">
        <f t="shared" si="22"/>
        <v>EURAB3E10Y_LCHQuote</v>
      </c>
      <c r="I45" s="127">
        <v>0</v>
      </c>
      <c r="J45" s="64"/>
      <c r="K45" s="64"/>
      <c r="M45" s="71" t="str">
        <f t="shared" si="18"/>
        <v>Sw</v>
      </c>
      <c r="N45" s="141" t="str">
        <f t="shared" si="19"/>
        <v>--</v>
      </c>
      <c r="O45" s="141" t="str">
        <f t="shared" si="20"/>
        <v>--</v>
      </c>
      <c r="P45" s="149" t="str">
        <f>IFERROR(_xll.qlRateHelperQuoteName(N45,Trigger),"--")</f>
        <v>--</v>
      </c>
      <c r="Q45" s="142" t="str">
        <f>IFERROR(_xll.qlRateHelperQuoteValue($N45,Trigger),"--")</f>
        <v>--</v>
      </c>
      <c r="R45" s="141" t="b">
        <v>0</v>
      </c>
      <c r="S45" s="141">
        <v>10</v>
      </c>
      <c r="T45" s="141">
        <v>1</v>
      </c>
      <c r="U45" s="143" t="str">
        <f>IFERROR(_xll.qlRateHelperEarliestDate(N45,Trigger),"--")</f>
        <v>--</v>
      </c>
      <c r="V45" s="143" t="str">
        <f>IFERROR(_xll.qlRateHelperPillarDate(N45,Trigger),"--")</f>
        <v>--</v>
      </c>
      <c r="X45" s="4" t="str">
        <f t="shared" si="23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25</v>
      </c>
      <c r="B46" s="60" t="s">
        <v>98</v>
      </c>
      <c r="C46" s="61" t="s">
        <v>6</v>
      </c>
      <c r="D46" s="61" t="s">
        <v>8</v>
      </c>
      <c r="E46" s="61" t="s">
        <v>7</v>
      </c>
      <c r="F46" s="61" t="s">
        <v>125</v>
      </c>
      <c r="G46" s="61" t="str">
        <f t="shared" si="21"/>
        <v>Euribor3M</v>
      </c>
      <c r="H46" s="59" t="str">
        <f t="shared" si="22"/>
        <v>EURAB3E11Y_LCHQuote</v>
      </c>
      <c r="I46" s="127">
        <v>0</v>
      </c>
      <c r="J46" s="64"/>
      <c r="K46" s="64"/>
      <c r="M46" s="71" t="str">
        <f t="shared" si="18"/>
        <v>Sw</v>
      </c>
      <c r="N46" s="141" t="str">
        <f t="shared" si="19"/>
        <v>--</v>
      </c>
      <c r="O46" s="141" t="str">
        <f t="shared" si="20"/>
        <v>--</v>
      </c>
      <c r="P46" s="149" t="str">
        <f>IFERROR(_xll.qlRateHelperQuoteName(N46,Trigger),"--")</f>
        <v>--</v>
      </c>
      <c r="Q46" s="142" t="str">
        <f>IFERROR(_xll.qlRateHelperQuoteValue($N46,Trigger),"--")</f>
        <v>--</v>
      </c>
      <c r="R46" s="141" t="b">
        <v>0</v>
      </c>
      <c r="S46" s="141">
        <v>10</v>
      </c>
      <c r="T46" s="141">
        <v>1</v>
      </c>
      <c r="U46" s="143" t="str">
        <f>IFERROR(_xll.qlRateHelperEarliestDate(N46,Trigger),"--")</f>
        <v>--</v>
      </c>
      <c r="V46" s="143" t="str">
        <f>IFERROR(_xll.qlRateHelperPillarDate(N46,Trigger),"--")</f>
        <v>--</v>
      </c>
      <c r="X46" s="4" t="str">
        <f t="shared" si="23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25</v>
      </c>
      <c r="B47" s="60" t="s">
        <v>61</v>
      </c>
      <c r="C47" s="61" t="s">
        <v>6</v>
      </c>
      <c r="D47" s="61" t="s">
        <v>8</v>
      </c>
      <c r="E47" s="61" t="s">
        <v>7</v>
      </c>
      <c r="F47" s="61" t="s">
        <v>125</v>
      </c>
      <c r="G47" s="61" t="str">
        <f t="shared" si="21"/>
        <v>Euribor3M</v>
      </c>
      <c r="H47" s="59" t="str">
        <f t="shared" si="22"/>
        <v>EURAB3E12Y_LCHQuote</v>
      </c>
      <c r="I47" s="127">
        <v>0</v>
      </c>
      <c r="J47" s="64"/>
      <c r="K47" s="64"/>
      <c r="M47" s="71" t="str">
        <f t="shared" si="18"/>
        <v>Sw</v>
      </c>
      <c r="N47" s="141" t="str">
        <f t="shared" si="19"/>
        <v>--</v>
      </c>
      <c r="O47" s="141" t="str">
        <f t="shared" si="20"/>
        <v>--</v>
      </c>
      <c r="P47" s="149" t="str">
        <f>IFERROR(_xll.qlRateHelperQuoteName(N47,Trigger),"--")</f>
        <v>--</v>
      </c>
      <c r="Q47" s="142" t="str">
        <f>IFERROR(_xll.qlRateHelperQuoteValue($N47,Trigger),"--")</f>
        <v>--</v>
      </c>
      <c r="R47" s="141" t="b">
        <v>0</v>
      </c>
      <c r="S47" s="141">
        <v>10</v>
      </c>
      <c r="T47" s="141">
        <v>1</v>
      </c>
      <c r="U47" s="143" t="str">
        <f>IFERROR(_xll.qlRateHelperEarliestDate(N47,Trigger),"--")</f>
        <v>--</v>
      </c>
      <c r="V47" s="143" t="str">
        <f>IFERROR(_xll.qlRateHelperPillarDate(N47,Trigger),"--")</f>
        <v>--</v>
      </c>
      <c r="X47" s="4" t="str">
        <f t="shared" si="23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25</v>
      </c>
      <c r="B48" s="60" t="s">
        <v>99</v>
      </c>
      <c r="C48" s="61" t="s">
        <v>6</v>
      </c>
      <c r="D48" s="61" t="s">
        <v>8</v>
      </c>
      <c r="E48" s="61" t="s">
        <v>7</v>
      </c>
      <c r="F48" s="61" t="s">
        <v>125</v>
      </c>
      <c r="G48" s="61" t="str">
        <f t="shared" si="21"/>
        <v>Euribor3M</v>
      </c>
      <c r="H48" s="59" t="str">
        <f t="shared" si="22"/>
        <v>EURAB3E13Y_LCHQuote</v>
      </c>
      <c r="I48" s="127">
        <v>0</v>
      </c>
      <c r="J48" s="64"/>
      <c r="K48" s="64"/>
      <c r="M48" s="71" t="str">
        <f t="shared" si="18"/>
        <v>Sw</v>
      </c>
      <c r="N48" s="141" t="str">
        <f t="shared" si="19"/>
        <v>--</v>
      </c>
      <c r="O48" s="141" t="str">
        <f t="shared" si="20"/>
        <v>--</v>
      </c>
      <c r="P48" s="149" t="str">
        <f>IFERROR(_xll.qlRateHelperQuoteName(N48,Trigger),"--")</f>
        <v>--</v>
      </c>
      <c r="Q48" s="142" t="str">
        <f>IFERROR(_xll.qlRateHelperQuoteValue($N48,Trigger),"--")</f>
        <v>--</v>
      </c>
      <c r="R48" s="141" t="b">
        <v>0</v>
      </c>
      <c r="S48" s="141">
        <v>10</v>
      </c>
      <c r="T48" s="141">
        <v>1</v>
      </c>
      <c r="U48" s="143" t="str">
        <f>IFERROR(_xll.qlRateHelperEarliestDate(N48,Trigger),"--")</f>
        <v>--</v>
      </c>
      <c r="V48" s="143" t="str">
        <f>IFERROR(_xll.qlRateHelperPillarDate(N48,Trigger),"--")</f>
        <v>--</v>
      </c>
      <c r="X48" s="4" t="str">
        <f t="shared" si="23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25</v>
      </c>
      <c r="B49" s="60" t="s">
        <v>100</v>
      </c>
      <c r="C49" s="61" t="s">
        <v>6</v>
      </c>
      <c r="D49" s="61" t="s">
        <v>8</v>
      </c>
      <c r="E49" s="61" t="s">
        <v>7</v>
      </c>
      <c r="F49" s="61" t="s">
        <v>125</v>
      </c>
      <c r="G49" s="61" t="str">
        <f t="shared" si="21"/>
        <v>Euribor3M</v>
      </c>
      <c r="H49" s="59" t="str">
        <f t="shared" si="22"/>
        <v>EURAB3E14Y_LCHQuote</v>
      </c>
      <c r="I49" s="127">
        <v>0</v>
      </c>
      <c r="J49" s="64"/>
      <c r="K49" s="64"/>
      <c r="M49" s="71" t="str">
        <f t="shared" si="18"/>
        <v>Sw</v>
      </c>
      <c r="N49" s="141" t="str">
        <f t="shared" si="19"/>
        <v>--</v>
      </c>
      <c r="O49" s="141" t="str">
        <f t="shared" si="20"/>
        <v>--</v>
      </c>
      <c r="P49" s="149" t="str">
        <f>IFERROR(_xll.qlRateHelperQuoteName(N49,Trigger),"--")</f>
        <v>--</v>
      </c>
      <c r="Q49" s="142" t="str">
        <f>IFERROR(_xll.qlRateHelperQuoteValue($N49,Trigger),"--")</f>
        <v>--</v>
      </c>
      <c r="R49" s="141" t="b">
        <v>0</v>
      </c>
      <c r="S49" s="141">
        <v>10</v>
      </c>
      <c r="T49" s="141">
        <v>1</v>
      </c>
      <c r="U49" s="143" t="str">
        <f>IFERROR(_xll.qlRateHelperEarliestDate(N49,Trigger),"--")</f>
        <v>--</v>
      </c>
      <c r="V49" s="143" t="str">
        <f>IFERROR(_xll.qlRateHelperPillarDate(N49,Trigger),"--")</f>
        <v>--</v>
      </c>
      <c r="X49" s="4" t="str">
        <f t="shared" si="23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25</v>
      </c>
      <c r="B50" s="60" t="s">
        <v>62</v>
      </c>
      <c r="C50" s="61" t="s">
        <v>6</v>
      </c>
      <c r="D50" s="61" t="s">
        <v>8</v>
      </c>
      <c r="E50" s="61" t="s">
        <v>7</v>
      </c>
      <c r="F50" s="61" t="s">
        <v>125</v>
      </c>
      <c r="G50" s="61" t="str">
        <f t="shared" si="21"/>
        <v>Euribor3M</v>
      </c>
      <c r="H50" s="59" t="str">
        <f t="shared" si="22"/>
        <v>EURAB3E15Y_LCHQuote</v>
      </c>
      <c r="I50" s="127">
        <v>0</v>
      </c>
      <c r="J50" s="64"/>
      <c r="K50" s="64"/>
      <c r="M50" s="71" t="str">
        <f t="shared" si="18"/>
        <v>Sw</v>
      </c>
      <c r="N50" s="141" t="str">
        <f t="shared" si="19"/>
        <v>--</v>
      </c>
      <c r="O50" s="141" t="str">
        <f t="shared" si="20"/>
        <v>--</v>
      </c>
      <c r="P50" s="149" t="str">
        <f>IFERROR(_xll.qlRateHelperQuoteName(N50,Trigger),"--")</f>
        <v>--</v>
      </c>
      <c r="Q50" s="142" t="str">
        <f>IFERROR(_xll.qlRateHelperQuoteValue($N50,Trigger),"--")</f>
        <v>--</v>
      </c>
      <c r="R50" s="141" t="b">
        <v>0</v>
      </c>
      <c r="S50" s="141">
        <v>10</v>
      </c>
      <c r="T50" s="141">
        <v>1</v>
      </c>
      <c r="U50" s="143" t="str">
        <f>IFERROR(_xll.qlRateHelperEarliestDate(N50,Trigger),"--")</f>
        <v>--</v>
      </c>
      <c r="V50" s="143" t="str">
        <f>IFERROR(_xll.qlRateHelperPillarDate(N50,Trigger),"--")</f>
        <v>--</v>
      </c>
      <c r="X50" s="4" t="str">
        <f t="shared" si="23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25</v>
      </c>
      <c r="B51" s="60" t="s">
        <v>101</v>
      </c>
      <c r="C51" s="61" t="s">
        <v>6</v>
      </c>
      <c r="D51" s="61" t="s">
        <v>8</v>
      </c>
      <c r="E51" s="61" t="s">
        <v>7</v>
      </c>
      <c r="F51" s="61" t="s">
        <v>125</v>
      </c>
      <c r="G51" s="61" t="str">
        <f t="shared" si="21"/>
        <v>Euribor3M</v>
      </c>
      <c r="H51" s="59" t="str">
        <f t="shared" si="22"/>
        <v>EURAB3E16Y_LCHQuote</v>
      </c>
      <c r="I51" s="127">
        <v>0</v>
      </c>
      <c r="J51" s="64"/>
      <c r="K51" s="64"/>
      <c r="M51" s="71" t="str">
        <f t="shared" si="18"/>
        <v>Sw</v>
      </c>
      <c r="N51" s="141" t="str">
        <f t="shared" si="19"/>
        <v>--</v>
      </c>
      <c r="O51" s="141" t="str">
        <f t="shared" si="20"/>
        <v>--</v>
      </c>
      <c r="P51" s="149" t="str">
        <f>IFERROR(_xll.qlRateHelperQuoteName(N51,Trigger),"--")</f>
        <v>--</v>
      </c>
      <c r="Q51" s="142" t="str">
        <f>IFERROR(_xll.qlRateHelperQuoteValue($N51,Trigger),"--")</f>
        <v>--</v>
      </c>
      <c r="R51" s="141" t="b">
        <v>0</v>
      </c>
      <c r="S51" s="141">
        <v>10</v>
      </c>
      <c r="T51" s="141">
        <v>1</v>
      </c>
      <c r="U51" s="143" t="str">
        <f>IFERROR(_xll.qlRateHelperEarliestDate(N51,Trigger),"--")</f>
        <v>--</v>
      </c>
      <c r="V51" s="143" t="str">
        <f>IFERROR(_xll.qlRateHelperPillarDate(N51,Trigger),"--")</f>
        <v>--</v>
      </c>
      <c r="X51" s="4" t="str">
        <f t="shared" si="23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25</v>
      </c>
      <c r="B52" s="60" t="s">
        <v>102</v>
      </c>
      <c r="C52" s="61" t="s">
        <v>6</v>
      </c>
      <c r="D52" s="61" t="s">
        <v>8</v>
      </c>
      <c r="E52" s="61" t="s">
        <v>7</v>
      </c>
      <c r="F52" s="61" t="s">
        <v>125</v>
      </c>
      <c r="G52" s="61" t="str">
        <f t="shared" si="21"/>
        <v>Euribor3M</v>
      </c>
      <c r="H52" s="59" t="str">
        <f t="shared" si="22"/>
        <v>EURAB3E17Y_LCHQuote</v>
      </c>
      <c r="I52" s="127">
        <v>0</v>
      </c>
      <c r="J52" s="64"/>
      <c r="K52" s="64"/>
      <c r="M52" s="71" t="str">
        <f t="shared" si="18"/>
        <v>Sw</v>
      </c>
      <c r="N52" s="141" t="str">
        <f t="shared" si="19"/>
        <v>--</v>
      </c>
      <c r="O52" s="141" t="str">
        <f t="shared" si="20"/>
        <v>--</v>
      </c>
      <c r="P52" s="149" t="str">
        <f>IFERROR(_xll.qlRateHelperQuoteName(N52,Trigger),"--")</f>
        <v>--</v>
      </c>
      <c r="Q52" s="142" t="str">
        <f>IFERROR(_xll.qlRateHelperQuoteValue($N52,Trigger),"--")</f>
        <v>--</v>
      </c>
      <c r="R52" s="141" t="b">
        <v>0</v>
      </c>
      <c r="S52" s="141">
        <v>10</v>
      </c>
      <c r="T52" s="141">
        <v>1</v>
      </c>
      <c r="U52" s="143" t="str">
        <f>IFERROR(_xll.qlRateHelperEarliestDate(N52,Trigger),"--")</f>
        <v>--</v>
      </c>
      <c r="V52" s="143" t="str">
        <f>IFERROR(_xll.qlRateHelperPillarDate(N52,Trigger),"--")</f>
        <v>--</v>
      </c>
      <c r="X52" s="4" t="str">
        <f t="shared" si="23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25</v>
      </c>
      <c r="B53" s="60" t="s">
        <v>103</v>
      </c>
      <c r="C53" s="61" t="s">
        <v>6</v>
      </c>
      <c r="D53" s="61" t="s">
        <v>8</v>
      </c>
      <c r="E53" s="61" t="s">
        <v>7</v>
      </c>
      <c r="F53" s="61" t="s">
        <v>125</v>
      </c>
      <c r="G53" s="61" t="str">
        <f t="shared" si="21"/>
        <v>Euribor3M</v>
      </c>
      <c r="H53" s="59" t="str">
        <f t="shared" si="22"/>
        <v>EURAB3E18Y_LCHQuote</v>
      </c>
      <c r="I53" s="127">
        <v>0</v>
      </c>
      <c r="J53" s="64"/>
      <c r="K53" s="64"/>
      <c r="M53" s="71" t="str">
        <f t="shared" si="18"/>
        <v>Sw</v>
      </c>
      <c r="N53" s="141" t="str">
        <f t="shared" si="19"/>
        <v>--</v>
      </c>
      <c r="O53" s="141" t="str">
        <f t="shared" si="20"/>
        <v>--</v>
      </c>
      <c r="P53" s="149" t="str">
        <f>IFERROR(_xll.qlRateHelperQuoteName(N53,Trigger),"--")</f>
        <v>--</v>
      </c>
      <c r="Q53" s="142" t="str">
        <f>IFERROR(_xll.qlRateHelperQuoteValue($N53,Trigger),"--")</f>
        <v>--</v>
      </c>
      <c r="R53" s="141" t="b">
        <v>0</v>
      </c>
      <c r="S53" s="141">
        <v>10</v>
      </c>
      <c r="T53" s="141">
        <v>1</v>
      </c>
      <c r="U53" s="143" t="str">
        <f>IFERROR(_xll.qlRateHelperEarliestDate(N53,Trigger),"--")</f>
        <v>--</v>
      </c>
      <c r="V53" s="143" t="str">
        <f>IFERROR(_xll.qlRateHelperPillarDate(N53,Trigger),"--")</f>
        <v>--</v>
      </c>
      <c r="X53" s="4" t="str">
        <f t="shared" si="23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9" t="e">
        <v>#N/A</v>
      </c>
      <c r="AI53" s="170" t="e">
        <v>#N/A</v>
      </c>
      <c r="AJ53" s="172" t="e">
        <f t="shared" si="1"/>
        <v>#N/A</v>
      </c>
      <c r="AK53" s="80" t="e">
        <v>#N/A</v>
      </c>
      <c r="AL53" s="161" t="e">
        <f t="shared" si="2"/>
        <v>#N/A</v>
      </c>
    </row>
    <row r="54" spans="1:38" ht="11.25" customHeight="1" x14ac:dyDescent="0.2">
      <c r="A54" s="59" t="s">
        <v>25</v>
      </c>
      <c r="B54" s="60" t="s">
        <v>104</v>
      </c>
      <c r="C54" s="61" t="s">
        <v>6</v>
      </c>
      <c r="D54" s="61" t="s">
        <v>8</v>
      </c>
      <c r="E54" s="61" t="s">
        <v>7</v>
      </c>
      <c r="F54" s="61" t="s">
        <v>125</v>
      </c>
      <c r="G54" s="61" t="str">
        <f t="shared" si="21"/>
        <v>Euribor3M</v>
      </c>
      <c r="H54" s="59" t="str">
        <f t="shared" si="22"/>
        <v>EURAB3E19Y_LCHQuote</v>
      </c>
      <c r="I54" s="127">
        <v>0</v>
      </c>
      <c r="J54" s="64"/>
      <c r="K54" s="64"/>
      <c r="M54" s="71" t="str">
        <f t="shared" si="18"/>
        <v>Sw</v>
      </c>
      <c r="N54" s="141" t="str">
        <f t="shared" si="19"/>
        <v>--</v>
      </c>
      <c r="O54" s="141" t="str">
        <f t="shared" si="20"/>
        <v>--</v>
      </c>
      <c r="P54" s="149" t="str">
        <f>IFERROR(_xll.qlRateHelperQuoteName(N54,Trigger),"--")</f>
        <v>--</v>
      </c>
      <c r="Q54" s="142" t="str">
        <f>IFERROR(_xll.qlRateHelperQuoteValue($N54,Trigger),"--")</f>
        <v>--</v>
      </c>
      <c r="R54" s="141" t="b">
        <v>0</v>
      </c>
      <c r="S54" s="141">
        <v>10</v>
      </c>
      <c r="T54" s="141">
        <v>1</v>
      </c>
      <c r="U54" s="143" t="str">
        <f>IFERROR(_xll.qlRateHelperEarliestDate(N54,Trigger),"--")</f>
        <v>--</v>
      </c>
      <c r="V54" s="143" t="str">
        <f>IFERROR(_xll.qlRateHelperPillarDate(N54,Trigger),"--")</f>
        <v>--</v>
      </c>
      <c r="X54" s="4" t="str">
        <f t="shared" si="23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9" t="e">
        <v>#N/A</v>
      </c>
      <c r="AI54" s="170" t="e">
        <v>#N/A</v>
      </c>
      <c r="AJ54" s="172" t="e">
        <f t="shared" si="1"/>
        <v>#N/A</v>
      </c>
      <c r="AK54" s="80" t="e">
        <v>#N/A</v>
      </c>
      <c r="AL54" s="161" t="e">
        <f t="shared" si="2"/>
        <v>#N/A</v>
      </c>
    </row>
    <row r="55" spans="1:38" ht="11.25" customHeight="1" x14ac:dyDescent="0.2">
      <c r="A55" s="59" t="s">
        <v>25</v>
      </c>
      <c r="B55" s="60" t="s">
        <v>63</v>
      </c>
      <c r="C55" s="61" t="s">
        <v>6</v>
      </c>
      <c r="D55" s="61" t="s">
        <v>8</v>
      </c>
      <c r="E55" s="61" t="s">
        <v>7</v>
      </c>
      <c r="F55" s="61" t="s">
        <v>125</v>
      </c>
      <c r="G55" s="61" t="str">
        <f t="shared" si="21"/>
        <v>Euribor3M</v>
      </c>
      <c r="H55" s="59" t="str">
        <f t="shared" si="22"/>
        <v>EURAB3E20Y_LCHQuote</v>
      </c>
      <c r="I55" s="127">
        <v>0</v>
      </c>
      <c r="J55" s="64"/>
      <c r="K55" s="64"/>
      <c r="M55" s="71" t="str">
        <f t="shared" si="18"/>
        <v>Sw</v>
      </c>
      <c r="N55" s="141" t="str">
        <f t="shared" si="19"/>
        <v>--</v>
      </c>
      <c r="O55" s="141" t="str">
        <f t="shared" si="20"/>
        <v>--</v>
      </c>
      <c r="P55" s="149" t="str">
        <f>IFERROR(_xll.qlRateHelperQuoteName(N55,Trigger),"--")</f>
        <v>--</v>
      </c>
      <c r="Q55" s="142" t="str">
        <f>IFERROR(_xll.qlRateHelperQuoteValue($N55,Trigger),"--")</f>
        <v>--</v>
      </c>
      <c r="R55" s="141" t="b">
        <v>0</v>
      </c>
      <c r="S55" s="141">
        <v>10</v>
      </c>
      <c r="T55" s="141">
        <v>1</v>
      </c>
      <c r="U55" s="143" t="str">
        <f>IFERROR(_xll.qlRateHelperEarliestDate(N55,Trigger),"--")</f>
        <v>--</v>
      </c>
      <c r="V55" s="143" t="str">
        <f>IFERROR(_xll.qlRateHelperPillarDate(N55,Trigger),"--")</f>
        <v>--</v>
      </c>
      <c r="X55" s="4" t="str">
        <f t="shared" si="23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9" t="e">
        <v>#N/A</v>
      </c>
      <c r="AI55" s="170" t="e">
        <v>#N/A</v>
      </c>
      <c r="AJ55" s="172" t="e">
        <f t="shared" si="1"/>
        <v>#N/A</v>
      </c>
      <c r="AK55" s="80" t="e">
        <v>#N/A</v>
      </c>
      <c r="AL55" s="161" t="e">
        <f t="shared" si="2"/>
        <v>#N/A</v>
      </c>
    </row>
    <row r="56" spans="1:38" ht="11.25" customHeight="1" x14ac:dyDescent="0.2">
      <c r="A56" s="59" t="s">
        <v>25</v>
      </c>
      <c r="B56" s="60" t="s">
        <v>105</v>
      </c>
      <c r="C56" s="61" t="s">
        <v>6</v>
      </c>
      <c r="D56" s="61" t="s">
        <v>8</v>
      </c>
      <c r="E56" s="61" t="s">
        <v>7</v>
      </c>
      <c r="F56" s="61" t="s">
        <v>125</v>
      </c>
      <c r="G56" s="61" t="str">
        <f t="shared" si="21"/>
        <v>Euribor3M</v>
      </c>
      <c r="H56" s="59" t="str">
        <f t="shared" si="22"/>
        <v>EURAB3E21Y_LCHQuote</v>
      </c>
      <c r="I56" s="127">
        <v>0</v>
      </c>
      <c r="J56" s="64"/>
      <c r="K56" s="64"/>
      <c r="M56" s="71" t="str">
        <f t="shared" si="18"/>
        <v>Sw</v>
      </c>
      <c r="N56" s="141" t="str">
        <f t="shared" si="19"/>
        <v>--</v>
      </c>
      <c r="O56" s="141" t="str">
        <f t="shared" si="20"/>
        <v>--</v>
      </c>
      <c r="P56" s="149" t="str">
        <f>IFERROR(_xll.qlRateHelperQuoteName(N56,Trigger),"--")</f>
        <v>--</v>
      </c>
      <c r="Q56" s="142" t="str">
        <f>IFERROR(_xll.qlRateHelperQuoteValue($N56,Trigger),"--")</f>
        <v>--</v>
      </c>
      <c r="R56" s="141" t="b">
        <v>0</v>
      </c>
      <c r="S56" s="141">
        <v>10</v>
      </c>
      <c r="T56" s="141">
        <v>1</v>
      </c>
      <c r="U56" s="143" t="str">
        <f>IFERROR(_xll.qlRateHelperEarliestDate(N56,Trigger),"--")</f>
        <v>--</v>
      </c>
      <c r="V56" s="143" t="str">
        <f>IFERROR(_xll.qlRateHelperPillarDate(N56,Trigger),"--")</f>
        <v>--</v>
      </c>
      <c r="X56" s="4" t="str">
        <f t="shared" si="23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9" t="e">
        <v>#N/A</v>
      </c>
      <c r="AI56" s="170" t="e">
        <v>#N/A</v>
      </c>
      <c r="AJ56" s="172" t="e">
        <f t="shared" si="1"/>
        <v>#N/A</v>
      </c>
      <c r="AK56" s="80" t="e">
        <v>#N/A</v>
      </c>
      <c r="AL56" s="161" t="e">
        <f t="shared" si="2"/>
        <v>#N/A</v>
      </c>
    </row>
    <row r="57" spans="1:38" ht="11.25" customHeight="1" x14ac:dyDescent="0.2">
      <c r="A57" s="59" t="s">
        <v>25</v>
      </c>
      <c r="B57" s="60" t="s">
        <v>106</v>
      </c>
      <c r="C57" s="61" t="s">
        <v>6</v>
      </c>
      <c r="D57" s="61" t="s">
        <v>8</v>
      </c>
      <c r="E57" s="61" t="s">
        <v>7</v>
      </c>
      <c r="F57" s="61" t="s">
        <v>125</v>
      </c>
      <c r="G57" s="61" t="str">
        <f t="shared" si="21"/>
        <v>Euribor3M</v>
      </c>
      <c r="H57" s="59" t="str">
        <f t="shared" si="22"/>
        <v>EURAB3E22Y_LCHQuote</v>
      </c>
      <c r="I57" s="127">
        <v>0</v>
      </c>
      <c r="J57" s="64"/>
      <c r="K57" s="64"/>
      <c r="M57" s="71" t="str">
        <f t="shared" si="18"/>
        <v>Sw</v>
      </c>
      <c r="N57" s="141" t="str">
        <f t="shared" si="19"/>
        <v>--</v>
      </c>
      <c r="O57" s="141" t="str">
        <f t="shared" si="20"/>
        <v>--</v>
      </c>
      <c r="P57" s="149" t="str">
        <f>IFERROR(_xll.qlRateHelperQuoteName(N57,Trigger),"--")</f>
        <v>--</v>
      </c>
      <c r="Q57" s="142" t="str">
        <f>IFERROR(_xll.qlRateHelperQuoteValue($N57,Trigger),"--")</f>
        <v>--</v>
      </c>
      <c r="R57" s="141" t="b">
        <v>0</v>
      </c>
      <c r="S57" s="141">
        <v>10</v>
      </c>
      <c r="T57" s="141">
        <v>1</v>
      </c>
      <c r="U57" s="143" t="str">
        <f>IFERROR(_xll.qlRateHelperEarliestDate(N57,Trigger),"--")</f>
        <v>--</v>
      </c>
      <c r="V57" s="143" t="str">
        <f>IFERROR(_xll.qlRateHelperPillarDate(N57,Trigger),"--")</f>
        <v>--</v>
      </c>
      <c r="X57" s="4" t="str">
        <f t="shared" si="23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9" t="e">
        <v>#N/A</v>
      </c>
      <c r="AI57" s="170" t="e">
        <v>#N/A</v>
      </c>
      <c r="AJ57" s="172" t="e">
        <f t="shared" si="1"/>
        <v>#N/A</v>
      </c>
      <c r="AK57" s="80" t="e">
        <v>#N/A</v>
      </c>
      <c r="AL57" s="161" t="e">
        <f t="shared" si="2"/>
        <v>#N/A</v>
      </c>
    </row>
    <row r="58" spans="1:38" ht="11.25" customHeight="1" x14ac:dyDescent="0.2">
      <c r="A58" s="59" t="s">
        <v>25</v>
      </c>
      <c r="B58" s="60" t="s">
        <v>107</v>
      </c>
      <c r="C58" s="61" t="s">
        <v>6</v>
      </c>
      <c r="D58" s="61" t="s">
        <v>8</v>
      </c>
      <c r="E58" s="61" t="s">
        <v>7</v>
      </c>
      <c r="F58" s="61" t="s">
        <v>125</v>
      </c>
      <c r="G58" s="61" t="str">
        <f t="shared" si="21"/>
        <v>Euribor3M</v>
      </c>
      <c r="H58" s="59" t="str">
        <f t="shared" si="22"/>
        <v>EURAB3E23Y_LCHQuote</v>
      </c>
      <c r="I58" s="127">
        <v>0</v>
      </c>
      <c r="J58" s="64"/>
      <c r="K58" s="64"/>
      <c r="M58" s="71" t="str">
        <f t="shared" si="18"/>
        <v>Sw</v>
      </c>
      <c r="N58" s="141" t="str">
        <f t="shared" si="19"/>
        <v>--</v>
      </c>
      <c r="O58" s="141" t="str">
        <f t="shared" si="20"/>
        <v>--</v>
      </c>
      <c r="P58" s="149" t="str">
        <f>IFERROR(_xll.qlRateHelperQuoteName(N58,Trigger),"--")</f>
        <v>--</v>
      </c>
      <c r="Q58" s="142" t="str">
        <f>IFERROR(_xll.qlRateHelperQuoteValue($N58,Trigger),"--")</f>
        <v>--</v>
      </c>
      <c r="R58" s="141" t="b">
        <v>0</v>
      </c>
      <c r="S58" s="141">
        <v>10</v>
      </c>
      <c r="T58" s="141">
        <v>1</v>
      </c>
      <c r="U58" s="143" t="str">
        <f>IFERROR(_xll.qlRateHelperEarliestDate(N58,Trigger),"--")</f>
        <v>--</v>
      </c>
      <c r="V58" s="143" t="str">
        <f>IFERROR(_xll.qlRateHelperPillarDate(N58,Trigger),"--")</f>
        <v>--</v>
      </c>
      <c r="X58" s="4" t="str">
        <f t="shared" si="23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9" t="e">
        <v>#N/A</v>
      </c>
      <c r="AI58" s="170" t="e">
        <v>#N/A</v>
      </c>
      <c r="AJ58" s="172" t="e">
        <f t="shared" si="1"/>
        <v>#N/A</v>
      </c>
      <c r="AK58" s="80" t="e">
        <v>#N/A</v>
      </c>
      <c r="AL58" s="161" t="e">
        <f t="shared" si="2"/>
        <v>#N/A</v>
      </c>
    </row>
    <row r="59" spans="1:38" ht="11.25" customHeight="1" x14ac:dyDescent="0.2">
      <c r="A59" s="59" t="s">
        <v>25</v>
      </c>
      <c r="B59" s="60" t="s">
        <v>108</v>
      </c>
      <c r="C59" s="61" t="s">
        <v>6</v>
      </c>
      <c r="D59" s="61" t="s">
        <v>8</v>
      </c>
      <c r="E59" s="61" t="s">
        <v>7</v>
      </c>
      <c r="F59" s="61" t="s">
        <v>125</v>
      </c>
      <c r="G59" s="61" t="str">
        <f t="shared" si="21"/>
        <v>Euribor3M</v>
      </c>
      <c r="H59" s="59" t="str">
        <f t="shared" si="22"/>
        <v>EURAB3E24Y_LCHQuote</v>
      </c>
      <c r="I59" s="127">
        <v>0</v>
      </c>
      <c r="J59" s="64"/>
      <c r="K59" s="64"/>
      <c r="M59" s="71" t="str">
        <f t="shared" si="18"/>
        <v>Sw</v>
      </c>
      <c r="N59" s="141" t="str">
        <f t="shared" si="19"/>
        <v>--</v>
      </c>
      <c r="O59" s="141" t="str">
        <f t="shared" si="20"/>
        <v>--</v>
      </c>
      <c r="P59" s="149" t="str">
        <f>IFERROR(_xll.qlRateHelperQuoteName(N59,Trigger),"--")</f>
        <v>--</v>
      </c>
      <c r="Q59" s="142" t="str">
        <f>IFERROR(_xll.qlRateHelperQuoteValue($N59,Trigger),"--")</f>
        <v>--</v>
      </c>
      <c r="R59" s="141" t="b">
        <v>0</v>
      </c>
      <c r="S59" s="141">
        <v>10</v>
      </c>
      <c r="T59" s="141">
        <v>1</v>
      </c>
      <c r="U59" s="143" t="str">
        <f>IFERROR(_xll.qlRateHelperEarliestDate(N59,Trigger),"--")</f>
        <v>--</v>
      </c>
      <c r="V59" s="143" t="str">
        <f>IFERROR(_xll.qlRateHelperPillarDate(N59,Trigger),"--")</f>
        <v>--</v>
      </c>
      <c r="X59" s="4" t="str">
        <f t="shared" si="23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9" t="e">
        <v>#N/A</v>
      </c>
      <c r="AI59" s="170" t="e">
        <v>#N/A</v>
      </c>
      <c r="AJ59" s="172" t="e">
        <f t="shared" si="1"/>
        <v>#N/A</v>
      </c>
      <c r="AK59" s="80" t="e">
        <v>#N/A</v>
      </c>
      <c r="AL59" s="161" t="e">
        <f t="shared" si="2"/>
        <v>#N/A</v>
      </c>
    </row>
    <row r="60" spans="1:38" ht="11.25" customHeight="1" x14ac:dyDescent="0.2">
      <c r="A60" s="59" t="s">
        <v>25</v>
      </c>
      <c r="B60" s="60" t="s">
        <v>64</v>
      </c>
      <c r="C60" s="61" t="s">
        <v>6</v>
      </c>
      <c r="D60" s="61" t="s">
        <v>8</v>
      </c>
      <c r="E60" s="61" t="s">
        <v>7</v>
      </c>
      <c r="F60" s="61" t="s">
        <v>125</v>
      </c>
      <c r="G60" s="61" t="str">
        <f t="shared" si="21"/>
        <v>Euribor3M</v>
      </c>
      <c r="H60" s="59" t="str">
        <f t="shared" si="22"/>
        <v>EURAB3E25Y_LCHQuote</v>
      </c>
      <c r="I60" s="127">
        <v>0</v>
      </c>
      <c r="J60" s="64"/>
      <c r="K60" s="64"/>
      <c r="M60" s="71" t="str">
        <f t="shared" si="18"/>
        <v>Sw</v>
      </c>
      <c r="N60" s="141" t="str">
        <f t="shared" si="19"/>
        <v>--</v>
      </c>
      <c r="O60" s="141" t="str">
        <f t="shared" si="20"/>
        <v>--</v>
      </c>
      <c r="P60" s="149" t="str">
        <f>IFERROR(_xll.qlRateHelperQuoteName(N60,Trigger),"--")</f>
        <v>--</v>
      </c>
      <c r="Q60" s="142" t="str">
        <f>IFERROR(_xll.qlRateHelperQuoteValue($N60,Trigger),"--")</f>
        <v>--</v>
      </c>
      <c r="R60" s="141" t="b">
        <v>0</v>
      </c>
      <c r="S60" s="141">
        <v>10</v>
      </c>
      <c r="T60" s="141">
        <v>1</v>
      </c>
      <c r="U60" s="143" t="str">
        <f>IFERROR(_xll.qlRateHelperEarliestDate(N60,Trigger),"--")</f>
        <v>--</v>
      </c>
      <c r="V60" s="143" t="str">
        <f>IFERROR(_xll.qlRateHelperPillarDate(N60,Trigger),"--")</f>
        <v>--</v>
      </c>
      <c r="X60" s="4" t="str">
        <f t="shared" si="23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9" t="e">
        <v>#N/A</v>
      </c>
      <c r="AI60" s="170" t="e">
        <v>#N/A</v>
      </c>
      <c r="AJ60" s="172" t="e">
        <f t="shared" si="1"/>
        <v>#N/A</v>
      </c>
      <c r="AK60" s="80" t="e">
        <v>#N/A</v>
      </c>
      <c r="AL60" s="161" t="e">
        <f t="shared" si="2"/>
        <v>#N/A</v>
      </c>
    </row>
    <row r="61" spans="1:38" ht="11.25" customHeight="1" x14ac:dyDescent="0.2">
      <c r="A61" s="59" t="s">
        <v>25</v>
      </c>
      <c r="B61" s="60" t="s">
        <v>109</v>
      </c>
      <c r="C61" s="61" t="s">
        <v>6</v>
      </c>
      <c r="D61" s="61" t="s">
        <v>8</v>
      </c>
      <c r="E61" s="61" t="s">
        <v>7</v>
      </c>
      <c r="F61" s="61" t="s">
        <v>125</v>
      </c>
      <c r="G61" s="61" t="str">
        <f t="shared" si="21"/>
        <v>Euribor3M</v>
      </c>
      <c r="H61" s="59" t="str">
        <f t="shared" si="22"/>
        <v>EURAB3E26Y_LCHQuote</v>
      </c>
      <c r="I61" s="127">
        <v>0</v>
      </c>
      <c r="J61" s="64"/>
      <c r="K61" s="64"/>
      <c r="M61" s="71" t="str">
        <f t="shared" si="18"/>
        <v>Sw</v>
      </c>
      <c r="N61" s="141" t="str">
        <f t="shared" si="19"/>
        <v>--</v>
      </c>
      <c r="O61" s="141" t="str">
        <f t="shared" si="20"/>
        <v>--</v>
      </c>
      <c r="P61" s="149" t="str">
        <f>IFERROR(_xll.qlRateHelperQuoteName(N61,Trigger),"--")</f>
        <v>--</v>
      </c>
      <c r="Q61" s="142" t="str">
        <f>IFERROR(_xll.qlRateHelperQuoteValue($N61,Trigger),"--")</f>
        <v>--</v>
      </c>
      <c r="R61" s="141" t="b">
        <v>0</v>
      </c>
      <c r="S61" s="141">
        <v>10</v>
      </c>
      <c r="T61" s="141">
        <v>1</v>
      </c>
      <c r="U61" s="143" t="str">
        <f>IFERROR(_xll.qlRateHelperEarliestDate(N61,Trigger),"--")</f>
        <v>--</v>
      </c>
      <c r="V61" s="143" t="str">
        <f>IFERROR(_xll.qlRateHelperPillarDate(N61,Trigger),"--")</f>
        <v>--</v>
      </c>
      <c r="X61" s="4" t="str">
        <f t="shared" si="23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9" t="e">
        <v>#N/A</v>
      </c>
      <c r="AI61" s="170" t="e">
        <v>#N/A</v>
      </c>
      <c r="AJ61" s="172" t="e">
        <f t="shared" si="1"/>
        <v>#N/A</v>
      </c>
      <c r="AK61" s="80" t="e">
        <v>#N/A</v>
      </c>
      <c r="AL61" s="161" t="e">
        <f t="shared" si="2"/>
        <v>#N/A</v>
      </c>
    </row>
    <row r="62" spans="1:38" ht="11.25" customHeight="1" x14ac:dyDescent="0.2">
      <c r="A62" s="59" t="s">
        <v>25</v>
      </c>
      <c r="B62" s="60" t="s">
        <v>65</v>
      </c>
      <c r="C62" s="61" t="s">
        <v>6</v>
      </c>
      <c r="D62" s="61" t="s">
        <v>8</v>
      </c>
      <c r="E62" s="61" t="s">
        <v>7</v>
      </c>
      <c r="F62" s="61" t="s">
        <v>125</v>
      </c>
      <c r="G62" s="61" t="str">
        <f t="shared" si="21"/>
        <v>Euribor3M</v>
      </c>
      <c r="H62" s="59" t="str">
        <f t="shared" si="22"/>
        <v>EURAB3E27Y_LCHQuote</v>
      </c>
      <c r="I62" s="127">
        <v>0</v>
      </c>
      <c r="J62" s="64"/>
      <c r="K62" s="64"/>
      <c r="M62" s="71" t="str">
        <f t="shared" si="18"/>
        <v>Sw</v>
      </c>
      <c r="N62" s="141" t="str">
        <f t="shared" si="19"/>
        <v>--</v>
      </c>
      <c r="O62" s="141" t="str">
        <f t="shared" si="20"/>
        <v>--</v>
      </c>
      <c r="P62" s="149" t="str">
        <f>IFERROR(_xll.qlRateHelperQuoteName(N62,Trigger),"--")</f>
        <v>--</v>
      </c>
      <c r="Q62" s="142" t="str">
        <f>IFERROR(_xll.qlRateHelperQuoteValue($N62,Trigger),"--")</f>
        <v>--</v>
      </c>
      <c r="R62" s="141" t="b">
        <v>0</v>
      </c>
      <c r="S62" s="141">
        <v>10</v>
      </c>
      <c r="T62" s="141">
        <v>1</v>
      </c>
      <c r="U62" s="143" t="str">
        <f>IFERROR(_xll.qlRateHelperEarliestDate(N62,Trigger),"--")</f>
        <v>--</v>
      </c>
      <c r="V62" s="143" t="str">
        <f>IFERROR(_xll.qlRateHelperPillarDate(N62,Trigger),"--")</f>
        <v>--</v>
      </c>
      <c r="X62" s="4" t="str">
        <f t="shared" si="23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9" t="e">
        <v>#N/A</v>
      </c>
      <c r="AI62" s="170" t="e">
        <v>#N/A</v>
      </c>
      <c r="AJ62" s="172" t="e">
        <f t="shared" si="1"/>
        <v>#N/A</v>
      </c>
      <c r="AK62" s="80" t="e">
        <v>#N/A</v>
      </c>
      <c r="AL62" s="161" t="e">
        <f t="shared" si="2"/>
        <v>#N/A</v>
      </c>
    </row>
    <row r="63" spans="1:38" ht="11.25" customHeight="1" x14ac:dyDescent="0.2">
      <c r="A63" s="59" t="s">
        <v>25</v>
      </c>
      <c r="B63" s="60" t="s">
        <v>110</v>
      </c>
      <c r="C63" s="61" t="s">
        <v>6</v>
      </c>
      <c r="D63" s="61" t="s">
        <v>8</v>
      </c>
      <c r="E63" s="61" t="s">
        <v>7</v>
      </c>
      <c r="F63" s="61" t="s">
        <v>125</v>
      </c>
      <c r="G63" s="61" t="str">
        <f t="shared" si="21"/>
        <v>Euribor3M</v>
      </c>
      <c r="H63" s="59" t="str">
        <f t="shared" si="22"/>
        <v>EURAB3E28Y_LCHQuote</v>
      </c>
      <c r="I63" s="127">
        <v>0</v>
      </c>
      <c r="J63" s="64"/>
      <c r="K63" s="64"/>
      <c r="M63" s="71" t="str">
        <f t="shared" si="18"/>
        <v>Sw</v>
      </c>
      <c r="N63" s="141" t="str">
        <f t="shared" si="19"/>
        <v>--</v>
      </c>
      <c r="O63" s="141" t="str">
        <f t="shared" si="20"/>
        <v>--</v>
      </c>
      <c r="P63" s="149" t="str">
        <f>IFERROR(_xll.qlRateHelperQuoteName(N63,Trigger),"--")</f>
        <v>--</v>
      </c>
      <c r="Q63" s="142" t="str">
        <f>IFERROR(_xll.qlRateHelperQuoteValue($N63,Trigger),"--")</f>
        <v>--</v>
      </c>
      <c r="R63" s="141" t="b">
        <v>0</v>
      </c>
      <c r="S63" s="141">
        <v>10</v>
      </c>
      <c r="T63" s="141">
        <v>1</v>
      </c>
      <c r="U63" s="143" t="str">
        <f>IFERROR(_xll.qlRateHelperEarliestDate(N63,Trigger),"--")</f>
        <v>--</v>
      </c>
      <c r="V63" s="143" t="str">
        <f>IFERROR(_xll.qlRateHelperPillarDate(N63,Trigger),"--")</f>
        <v>--</v>
      </c>
      <c r="X63" s="4" t="str">
        <f t="shared" si="23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9" t="e">
        <v>#N/A</v>
      </c>
      <c r="AI63" s="170" t="e">
        <v>#N/A</v>
      </c>
      <c r="AJ63" s="172" t="e">
        <f t="shared" si="1"/>
        <v>#N/A</v>
      </c>
      <c r="AK63" s="80" t="e">
        <v>#N/A</v>
      </c>
      <c r="AL63" s="161" t="e">
        <f t="shared" si="2"/>
        <v>#N/A</v>
      </c>
    </row>
    <row r="64" spans="1:38" ht="11.25" customHeight="1" x14ac:dyDescent="0.2">
      <c r="A64" s="59" t="s">
        <v>25</v>
      </c>
      <c r="B64" s="60" t="s">
        <v>111</v>
      </c>
      <c r="C64" s="61" t="s">
        <v>6</v>
      </c>
      <c r="D64" s="61" t="s">
        <v>8</v>
      </c>
      <c r="E64" s="61" t="s">
        <v>7</v>
      </c>
      <c r="F64" s="61" t="s">
        <v>125</v>
      </c>
      <c r="G64" s="61" t="str">
        <f t="shared" si="21"/>
        <v>Euribor3M</v>
      </c>
      <c r="H64" s="59" t="str">
        <f t="shared" si="22"/>
        <v>EURAB3E29Y_LCHQuote</v>
      </c>
      <c r="I64" s="127">
        <v>0</v>
      </c>
      <c r="J64" s="64"/>
      <c r="K64" s="64"/>
      <c r="M64" s="71" t="str">
        <f t="shared" si="18"/>
        <v>Sw</v>
      </c>
      <c r="N64" s="141" t="str">
        <f t="shared" si="19"/>
        <v>--</v>
      </c>
      <c r="O64" s="141" t="str">
        <f t="shared" si="20"/>
        <v>--</v>
      </c>
      <c r="P64" s="149" t="str">
        <f>IFERROR(_xll.qlRateHelperQuoteName(N64,Trigger),"--")</f>
        <v>--</v>
      </c>
      <c r="Q64" s="142" t="str">
        <f>IFERROR(_xll.qlRateHelperQuoteValue($N64,Trigger),"--")</f>
        <v>--</v>
      </c>
      <c r="R64" s="141" t="b">
        <v>0</v>
      </c>
      <c r="S64" s="141">
        <v>10</v>
      </c>
      <c r="T64" s="141">
        <v>1</v>
      </c>
      <c r="U64" s="143" t="str">
        <f>IFERROR(_xll.qlRateHelperEarliestDate(N64,Trigger),"--")</f>
        <v>--</v>
      </c>
      <c r="V64" s="143" t="str">
        <f>IFERROR(_xll.qlRateHelperPillarDate(N64,Trigger),"--")</f>
        <v>--</v>
      </c>
      <c r="X64" s="4" t="str">
        <f t="shared" si="23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9" t="e">
        <v>#N/A</v>
      </c>
      <c r="AI64" s="170" t="e">
        <v>#N/A</v>
      </c>
      <c r="AJ64" s="172" t="e">
        <f t="shared" si="1"/>
        <v>#N/A</v>
      </c>
      <c r="AK64" s="80" t="e">
        <v>#N/A</v>
      </c>
      <c r="AL64" s="161" t="e">
        <f t="shared" si="2"/>
        <v>#N/A</v>
      </c>
    </row>
    <row r="65" spans="1:38" ht="11.25" customHeight="1" x14ac:dyDescent="0.2">
      <c r="A65" s="59" t="s">
        <v>25</v>
      </c>
      <c r="B65" s="60" t="s">
        <v>66</v>
      </c>
      <c r="C65" s="61" t="s">
        <v>6</v>
      </c>
      <c r="D65" s="61" t="s">
        <v>8</v>
      </c>
      <c r="E65" s="61" t="s">
        <v>7</v>
      </c>
      <c r="F65" s="61" t="s">
        <v>125</v>
      </c>
      <c r="G65" s="61" t="str">
        <f t="shared" si="21"/>
        <v>Euribor3M</v>
      </c>
      <c r="H65" s="59" t="str">
        <f t="shared" si="22"/>
        <v>EURAB3E30Y_LCHQuote</v>
      </c>
      <c r="I65" s="127">
        <v>0</v>
      </c>
      <c r="J65" s="64"/>
      <c r="K65" s="64"/>
      <c r="M65" s="72" t="str">
        <f t="shared" si="18"/>
        <v>Sw</v>
      </c>
      <c r="N65" s="144" t="str">
        <f t="shared" si="19"/>
        <v>--</v>
      </c>
      <c r="O65" s="141" t="str">
        <f t="shared" si="20"/>
        <v>--</v>
      </c>
      <c r="P65" s="149" t="str">
        <f>IFERROR(_xll.qlRateHelperQuoteName(N65,Trigger),"--")</f>
        <v>--</v>
      </c>
      <c r="Q65" s="153" t="str">
        <f>IFERROR(_xll.qlRateHelperQuoteValue($N65,Trigger),"--")</f>
        <v>--</v>
      </c>
      <c r="R65" s="144" t="b">
        <v>0</v>
      </c>
      <c r="S65" s="144">
        <v>10</v>
      </c>
      <c r="T65" s="144">
        <v>1</v>
      </c>
      <c r="U65" s="143" t="str">
        <f>IFERROR(_xll.qlRateHelperEarliestDate(N65,Trigger),"--")</f>
        <v>--</v>
      </c>
      <c r="V65" s="143" t="str">
        <f>IFERROR(_xll.qlRateHelperPillarDate(N65,Trigger),"--")</f>
        <v>--</v>
      </c>
      <c r="X65" s="4" t="str">
        <f t="shared" si="23"/>
        <v/>
      </c>
      <c r="Y65" s="4" t="e">
        <v>#N/A</v>
      </c>
      <c r="Z65" s="4" t="e">
        <v>#N/A</v>
      </c>
      <c r="AA65" s="4" t="str">
        <f>IFERROR(_xll.qlRateHelperQuoteName(Y65,Trigger),"")</f>
        <v/>
      </c>
      <c r="AB65" s="70" t="str">
        <f>IFERROR(_xll.qlRateHelperRate(Y65,Trigger),"")</f>
        <v/>
      </c>
      <c r="AC65" s="104" t="str">
        <f>IF(ISERROR(_xll.qlSwapRateHelperSpread($Y65)),IF(ISERROR(_xll.qlFuturesRateHelperConvexityAdjustment($Y65)),"",_xll.qlFuturesRateHelperConvexityAdjustment($Y65)),_xll.qlSwapRateHelperSpread($Y65))</f>
        <v/>
      </c>
      <c r="AD65" s="5" t="str">
        <f>IFERROR(_xll.qlRateHelperEarliestDate(Y65,Trigger),"")</f>
        <v/>
      </c>
      <c r="AE65" s="5" t="str">
        <f>IFERROR(_xll.qlRateHelperPillarDate(Y65,Trigger),"")</f>
        <v/>
      </c>
      <c r="AF65" s="70" t="e">
        <v>#N/A</v>
      </c>
      <c r="AG65" s="77" t="e">
        <v>#N/A</v>
      </c>
      <c r="AH65" s="169" t="e">
        <v>#N/A</v>
      </c>
      <c r="AI65" s="170" t="e">
        <v>#N/A</v>
      </c>
      <c r="AJ65" s="172" t="e">
        <f t="shared" si="1"/>
        <v>#N/A</v>
      </c>
      <c r="AK65" s="80" t="e">
        <v>#N/A</v>
      </c>
      <c r="AL65" s="161" t="e">
        <f t="shared" si="2"/>
        <v>#N/A</v>
      </c>
    </row>
    <row r="66" spans="1:38" ht="11.25" customHeight="1" x14ac:dyDescent="0.2">
      <c r="A66" s="59" t="s">
        <v>25</v>
      </c>
      <c r="B66" s="60" t="s">
        <v>67</v>
      </c>
      <c r="C66" s="61" t="s">
        <v>6</v>
      </c>
      <c r="D66" s="61" t="s">
        <v>8</v>
      </c>
      <c r="E66" s="61" t="s">
        <v>7</v>
      </c>
      <c r="F66" s="61" t="s">
        <v>125</v>
      </c>
      <c r="G66" s="61" t="str">
        <f t="shared" si="21"/>
        <v>Euribor3M</v>
      </c>
      <c r="H66" s="59" t="str">
        <f t="shared" si="22"/>
        <v>EURAB3E35Y_LCHQuote</v>
      </c>
      <c r="I66" s="125">
        <v>0</v>
      </c>
      <c r="J66" s="64"/>
      <c r="K66" s="64"/>
      <c r="M66" s="71" t="str">
        <f t="shared" ref="M66" si="24">A72</f>
        <v>BasSw</v>
      </c>
      <c r="N66" s="141" t="str">
        <f t="shared" ref="N66" si="25">IF(ISBLANK(J72),"--",J72)</f>
        <v>obj_006da#0001</v>
      </c>
      <c r="O66" s="137" t="str">
        <f t="shared" ref="O66" si="26">IF(ISBLANK(K72),"--",K72)</f>
        <v>obj_006b6#0001</v>
      </c>
      <c r="P66" s="148" t="str">
        <f>IFERROR(_xll.qlRateHelperQuoteName(N66,Trigger),"--")</f>
        <v>EUR3E6E6M_LCHQuote</v>
      </c>
      <c r="Q66" s="142" t="str">
        <f>IFERROR(_xll.qlRateHelperQuoteValue($N66,Trigger),"--")</f>
        <v>--</v>
      </c>
      <c r="R66" s="141" t="b">
        <v>0</v>
      </c>
      <c r="S66" s="141">
        <v>10</v>
      </c>
      <c r="T66" s="141">
        <v>1</v>
      </c>
      <c r="U66" s="139">
        <f>IFERROR(_xll.qlRateHelperEarliestDate(N66,Trigger),"--")</f>
        <v>42256</v>
      </c>
      <c r="V66" s="139">
        <f>IFERROR(_xll.qlRateHelperPillarDate(N66,Trigger),"--")</f>
        <v>42438</v>
      </c>
      <c r="X66" s="4" t="str">
        <f t="shared" si="23"/>
        <v/>
      </c>
      <c r="Y66" s="4" t="e">
        <v>#N/A</v>
      </c>
      <c r="Z66" s="4" t="e">
        <v>#N/A</v>
      </c>
      <c r="AA66" s="4" t="str">
        <f>IFERROR(_xll.qlRateHelperQuoteName(Y66,Trigger),"")</f>
        <v/>
      </c>
      <c r="AB66" s="70" t="str">
        <f>IFERROR(_xll.qlRateHelperRate(Y66,Trigger),"")</f>
        <v/>
      </c>
      <c r="AC66" s="104" t="str">
        <f>IF(ISERROR(_xll.qlSwapRateHelperSpread($Y66)),IF(ISERROR(_xll.qlFuturesRateHelperConvexityAdjustment($Y66)),"",_xll.qlFuturesRateHelperConvexityAdjustment($Y66)),_xll.qlSwapRateHelperSpread($Y66))</f>
        <v/>
      </c>
      <c r="AD66" s="5" t="str">
        <f>IFERROR(_xll.qlRateHelperEarliestDate(Y66,Trigger),"")</f>
        <v/>
      </c>
      <c r="AE66" s="5" t="str">
        <f>IFERROR(_xll.qlRateHelperPillarDate(Y66,Trigger),"")</f>
        <v/>
      </c>
      <c r="AF66" s="70" t="e">
        <v>#N/A</v>
      </c>
      <c r="AG66" s="77" t="e">
        <v>#N/A</v>
      </c>
      <c r="AH66" s="169" t="e">
        <v>#N/A</v>
      </c>
      <c r="AI66" s="170" t="e">
        <v>#N/A</v>
      </c>
      <c r="AJ66" s="172" t="e">
        <f t="shared" si="1"/>
        <v>#N/A</v>
      </c>
      <c r="AK66" s="80" t="e">
        <v>#N/A</v>
      </c>
      <c r="AL66" s="161" t="e">
        <f t="shared" si="2"/>
        <v>#N/A</v>
      </c>
    </row>
    <row r="67" spans="1:38" ht="11.25" customHeight="1" x14ac:dyDescent="0.2">
      <c r="A67" s="59" t="s">
        <v>25</v>
      </c>
      <c r="B67" s="60" t="s">
        <v>68</v>
      </c>
      <c r="C67" s="61" t="s">
        <v>6</v>
      </c>
      <c r="D67" s="61" t="s">
        <v>8</v>
      </c>
      <c r="E67" s="61" t="s">
        <v>7</v>
      </c>
      <c r="F67" s="61" t="s">
        <v>125</v>
      </c>
      <c r="G67" s="61" t="str">
        <f t="shared" si="21"/>
        <v>Euribor3M</v>
      </c>
      <c r="H67" s="59" t="str">
        <f t="shared" si="22"/>
        <v>EURAB3E40Y_LCHQuote</v>
      </c>
      <c r="I67" s="125">
        <v>0</v>
      </c>
      <c r="J67" s="64"/>
      <c r="K67" s="64"/>
      <c r="M67" s="71" t="str">
        <f t="shared" ref="M67:M103" si="27">A73</f>
        <v>BasSw</v>
      </c>
      <c r="N67" s="141" t="str">
        <f t="shared" ref="N67:N103" si="28">IF(ISBLANK(J73),"--",J73)</f>
        <v>obj_00686#0001</v>
      </c>
      <c r="O67" s="141" t="str">
        <f t="shared" ref="O67:O103" si="29">IF(ISBLANK(K73),"--",K73)</f>
        <v>obj_00670#0001</v>
      </c>
      <c r="P67" s="149" t="str">
        <f>IFERROR(_xll.qlRateHelperQuoteName(N67,Trigger),"--")</f>
        <v>EUR3E6E1Y_LCHQuote</v>
      </c>
      <c r="Q67" s="142" t="str">
        <f>IFERROR(_xll.qlRateHelperQuoteValue($N67,Trigger),"--")</f>
        <v>--</v>
      </c>
      <c r="R67" s="141" t="b">
        <v>0</v>
      </c>
      <c r="S67" s="141">
        <v>10</v>
      </c>
      <c r="T67" s="141">
        <v>1</v>
      </c>
      <c r="U67" s="143">
        <f>IFERROR(_xll.qlRateHelperEarliestDate(N67,Trigger),"--")</f>
        <v>42256</v>
      </c>
      <c r="V67" s="143">
        <f>IFERROR(_xll.qlRateHelperPillarDate(N67,Trigger),"--")</f>
        <v>42622</v>
      </c>
      <c r="X67" s="4" t="str">
        <f t="shared" ref="X67:X103" si="30">IFERROR(INDEX($M$3:$M$103,MATCH(AA67,$P$3:$P$103,0),1),"")</f>
        <v/>
      </c>
      <c r="Y67" s="4" t="e">
        <v>#N/A</v>
      </c>
      <c r="Z67" s="4" t="e">
        <v>#N/A</v>
      </c>
      <c r="AA67" s="4" t="str">
        <f>IFERROR(_xll.qlRateHelperQuoteName(Y67,Trigger),"")</f>
        <v/>
      </c>
      <c r="AB67" s="70" t="str">
        <f>IFERROR(_xll.qlRateHelperRate(Y67,Trigger),"")</f>
        <v/>
      </c>
      <c r="AC67" s="104" t="str">
        <f>IF(ISERROR(_xll.qlSwapRateHelperSpread($Y67)),IF(ISERROR(_xll.qlFuturesRateHelperConvexityAdjustment($Y67)),"",_xll.qlFuturesRateHelperConvexityAdjustment($Y67)),_xll.qlSwapRateHelperSpread($Y67))</f>
        <v/>
      </c>
      <c r="AD67" s="5" t="str">
        <f>IFERROR(_xll.qlRateHelperEarliestDate(Y67,Trigger),"")</f>
        <v/>
      </c>
      <c r="AE67" s="5" t="str">
        <f>IFERROR(_xll.qlRateHelperPillarDate(Y67,Trigger),"")</f>
        <v/>
      </c>
      <c r="AF67" s="70" t="e">
        <v>#N/A</v>
      </c>
      <c r="AG67" s="77" t="e">
        <v>#N/A</v>
      </c>
      <c r="AH67" s="169" t="e">
        <v>#N/A</v>
      </c>
      <c r="AI67" s="170" t="e">
        <v>#N/A</v>
      </c>
      <c r="AJ67" s="172" t="e">
        <f t="shared" ref="AJ67:AJ103" si="31">AF67-AI67</f>
        <v>#N/A</v>
      </c>
      <c r="AK67" s="80" t="e">
        <v>#N/A</v>
      </c>
      <c r="AL67" s="161" t="e">
        <f t="shared" ref="AL67:AL103" si="32">AK67-AG67</f>
        <v>#N/A</v>
      </c>
    </row>
    <row r="68" spans="1:38" ht="11.25" customHeight="1" x14ac:dyDescent="0.2">
      <c r="A68" s="59" t="s">
        <v>25</v>
      </c>
      <c r="B68" s="60" t="s">
        <v>69</v>
      </c>
      <c r="C68" s="61" t="s">
        <v>6</v>
      </c>
      <c r="D68" s="61" t="s">
        <v>8</v>
      </c>
      <c r="E68" s="61" t="s">
        <v>7</v>
      </c>
      <c r="F68" s="61" t="s">
        <v>125</v>
      </c>
      <c r="G68" s="61" t="str">
        <f t="shared" si="21"/>
        <v>Euribor3M</v>
      </c>
      <c r="H68" s="59" t="str">
        <f t="shared" si="22"/>
        <v>EURAB3E50Y_LCHQuote</v>
      </c>
      <c r="I68" s="125">
        <v>0</v>
      </c>
      <c r="J68" s="64"/>
      <c r="K68" s="64"/>
      <c r="M68" s="71" t="str">
        <f t="shared" si="27"/>
        <v>BasSw</v>
      </c>
      <c r="N68" s="141" t="str">
        <f t="shared" si="28"/>
        <v>obj_0069f#0001</v>
      </c>
      <c r="O68" s="141" t="str">
        <f t="shared" si="29"/>
        <v>obj_006aa#0001</v>
      </c>
      <c r="P68" s="149" t="str">
        <f>IFERROR(_xll.qlRateHelperQuoteName(N68,Trigger),"--")</f>
        <v>EUR3E6E15M_LCHQuote</v>
      </c>
      <c r="Q68" s="142" t="str">
        <f>IFERROR(_xll.qlRateHelperQuoteValue($N68,Trigger),"--")</f>
        <v>--</v>
      </c>
      <c r="R68" s="141" t="b">
        <v>0</v>
      </c>
      <c r="S68" s="141">
        <v>10</v>
      </c>
      <c r="T68" s="141">
        <v>1</v>
      </c>
      <c r="U68" s="143">
        <f>IFERROR(_xll.qlRateHelperEarliestDate(N68,Trigger),"--")</f>
        <v>42256</v>
      </c>
      <c r="V68" s="143">
        <f>IFERROR(_xll.qlRateHelperPillarDate(N68,Trigger),"--")</f>
        <v>42713</v>
      </c>
      <c r="X68" s="4" t="str">
        <f t="shared" si="30"/>
        <v/>
      </c>
      <c r="Y68" s="4" t="e">
        <v>#N/A</v>
      </c>
      <c r="Z68" s="4" t="e">
        <v>#N/A</v>
      </c>
      <c r="AA68" s="4" t="str">
        <f>IFERROR(_xll.qlRateHelperQuoteName(Y68,Trigger),"")</f>
        <v/>
      </c>
      <c r="AB68" s="70" t="str">
        <f>IFERROR(_xll.qlRateHelperRate(Y68,Trigger),"")</f>
        <v/>
      </c>
      <c r="AC68" s="104" t="str">
        <f>IF(ISERROR(_xll.qlSwapRateHelperSpread($Y68)),IF(ISERROR(_xll.qlFuturesRateHelperConvexityAdjustment($Y68)),"",_xll.qlFuturesRateHelperConvexityAdjustment($Y68)),_xll.qlSwapRateHelperSpread($Y68))</f>
        <v/>
      </c>
      <c r="AD68" s="5" t="str">
        <f>IFERROR(_xll.qlRateHelperEarliestDate(Y68,Trigger),"")</f>
        <v/>
      </c>
      <c r="AE68" s="5" t="str">
        <f>IFERROR(_xll.qlRateHelperPillarDate(Y68,Trigger),"")</f>
        <v/>
      </c>
      <c r="AF68" s="70" t="e">
        <v>#N/A</v>
      </c>
      <c r="AG68" s="77" t="e">
        <v>#N/A</v>
      </c>
      <c r="AH68" s="169" t="e">
        <v>#N/A</v>
      </c>
      <c r="AI68" s="170" t="e">
        <v>#N/A</v>
      </c>
      <c r="AJ68" s="172" t="e">
        <f t="shared" si="31"/>
        <v>#N/A</v>
      </c>
      <c r="AK68" s="80" t="e">
        <v>#N/A</v>
      </c>
      <c r="AL68" s="161" t="e">
        <f t="shared" si="32"/>
        <v>#N/A</v>
      </c>
    </row>
    <row r="69" spans="1:38" ht="11.25" customHeight="1" x14ac:dyDescent="0.2">
      <c r="A69" s="1" t="s">
        <v>25</v>
      </c>
      <c r="B69" s="8" t="s">
        <v>112</v>
      </c>
      <c r="C69" s="7" t="s">
        <v>6</v>
      </c>
      <c r="D69" s="7" t="s">
        <v>8</v>
      </c>
      <c r="E69" s="7" t="s">
        <v>7</v>
      </c>
      <c r="F69" s="7" t="s">
        <v>125</v>
      </c>
      <c r="G69" s="7" t="str">
        <f t="shared" si="21"/>
        <v>Euribor3M</v>
      </c>
      <c r="H69" s="1" t="str">
        <f t="shared" si="22"/>
        <v>EURAB3E60Y_LCHQuote</v>
      </c>
      <c r="I69" s="128">
        <v>0</v>
      </c>
      <c r="J69" s="3"/>
      <c r="K69" s="3"/>
      <c r="M69" s="71" t="str">
        <f t="shared" si="27"/>
        <v>BasSw</v>
      </c>
      <c r="N69" s="141" t="str">
        <f t="shared" si="28"/>
        <v>obj_006d4#0001</v>
      </c>
      <c r="O69" s="141" t="str">
        <f t="shared" si="29"/>
        <v>obj_006cd#0001</v>
      </c>
      <c r="P69" s="149" t="str">
        <f>IFERROR(_xll.qlRateHelperQuoteName(N69,Trigger),"--")</f>
        <v>EUR3E6E18M_LCHQuote</v>
      </c>
      <c r="Q69" s="142" t="str">
        <f>IFERROR(_xll.qlRateHelperQuoteValue($N69,Trigger),"--")</f>
        <v>--</v>
      </c>
      <c r="R69" s="141" t="b">
        <v>0</v>
      </c>
      <c r="S69" s="141">
        <v>10</v>
      </c>
      <c r="T69" s="141">
        <v>1</v>
      </c>
      <c r="U69" s="143">
        <f>IFERROR(_xll.qlRateHelperEarliestDate(N69,Trigger),"--")</f>
        <v>42256</v>
      </c>
      <c r="V69" s="143">
        <f>IFERROR(_xll.qlRateHelperPillarDate(N69,Trigger),"--")</f>
        <v>42803</v>
      </c>
      <c r="X69" s="4" t="str">
        <f t="shared" si="30"/>
        <v/>
      </c>
      <c r="Y69" s="4" t="e">
        <v>#N/A</v>
      </c>
      <c r="Z69" s="4" t="e">
        <v>#N/A</v>
      </c>
      <c r="AA69" s="4" t="str">
        <f>IFERROR(_xll.qlRateHelperQuoteName(Y69,Trigger),"")</f>
        <v/>
      </c>
      <c r="AB69" s="70" t="str">
        <f>IFERROR(_xll.qlRateHelperRate(Y69,Trigger),"")</f>
        <v/>
      </c>
      <c r="AC69" s="104" t="str">
        <f>IF(ISERROR(_xll.qlSwapRateHelperSpread($Y69)),IF(ISERROR(_xll.qlFuturesRateHelperConvexityAdjustment($Y69)),"",_xll.qlFuturesRateHelperConvexityAdjustment($Y69)),_xll.qlSwapRateHelperSpread($Y69))</f>
        <v/>
      </c>
      <c r="AD69" s="5" t="str">
        <f>IFERROR(_xll.qlRateHelperEarliestDate(Y69,Trigger),"")</f>
        <v/>
      </c>
      <c r="AE69" s="5" t="str">
        <f>IFERROR(_xll.qlRateHelperPillarDate(Y69,Trigger),"")</f>
        <v/>
      </c>
      <c r="AF69" s="70" t="e">
        <v>#N/A</v>
      </c>
      <c r="AG69" s="77" t="e">
        <v>#N/A</v>
      </c>
      <c r="AH69" s="169" t="e">
        <v>#N/A</v>
      </c>
      <c r="AI69" s="170" t="e">
        <v>#N/A</v>
      </c>
      <c r="AJ69" s="172" t="e">
        <f t="shared" si="31"/>
        <v>#N/A</v>
      </c>
      <c r="AK69" s="80" t="e">
        <v>#N/A</v>
      </c>
      <c r="AL69" s="161" t="e">
        <f t="shared" si="32"/>
        <v>#N/A</v>
      </c>
    </row>
    <row r="70" spans="1:38" ht="11.25" customHeight="1" x14ac:dyDescent="0.2">
      <c r="M70" s="71" t="str">
        <f t="shared" si="27"/>
        <v>BasSw</v>
      </c>
      <c r="N70" s="141" t="str">
        <f t="shared" si="28"/>
        <v>obj_006ca#0001</v>
      </c>
      <c r="O70" s="141" t="str">
        <f t="shared" si="29"/>
        <v>obj_006c9#0001</v>
      </c>
      <c r="P70" s="149" t="str">
        <f>IFERROR(_xll.qlRateHelperQuoteName(N70,Trigger),"--")</f>
        <v>EUR3E6E21M_LCHQuote</v>
      </c>
      <c r="Q70" s="142" t="str">
        <f>IFERROR(_xll.qlRateHelperQuoteValue($N70,Trigger),"--")</f>
        <v>--</v>
      </c>
      <c r="R70" s="141" t="b">
        <v>0</v>
      </c>
      <c r="S70" s="141">
        <v>10</v>
      </c>
      <c r="T70" s="141">
        <v>1</v>
      </c>
      <c r="U70" s="143">
        <f>IFERROR(_xll.qlRateHelperEarliestDate(N70,Trigger),"--")</f>
        <v>42256</v>
      </c>
      <c r="V70" s="143">
        <f>IFERROR(_xll.qlRateHelperPillarDate(N70,Trigger),"--")</f>
        <v>42895</v>
      </c>
      <c r="X70" s="4" t="str">
        <f t="shared" si="30"/>
        <v/>
      </c>
      <c r="Y70" s="4" t="e">
        <v>#N/A</v>
      </c>
      <c r="Z70" s="4" t="e">
        <v>#N/A</v>
      </c>
      <c r="AA70" s="4" t="str">
        <f>IFERROR(_xll.qlRateHelperQuoteName(Y70,Trigger),"")</f>
        <v/>
      </c>
      <c r="AB70" s="70" t="str">
        <f>IFERROR(_xll.qlRateHelperRate(Y70,Trigger),"")</f>
        <v/>
      </c>
      <c r="AC70" s="104" t="str">
        <f>IF(ISERROR(_xll.qlSwapRateHelperSpread($Y70)),IF(ISERROR(_xll.qlFuturesRateHelperConvexityAdjustment($Y70)),"",_xll.qlFuturesRateHelperConvexityAdjustment($Y70)),_xll.qlSwapRateHelperSpread($Y70))</f>
        <v/>
      </c>
      <c r="AD70" s="5" t="str">
        <f>IFERROR(_xll.qlRateHelperEarliestDate(Y70,Trigger),"")</f>
        <v/>
      </c>
      <c r="AE70" s="5" t="str">
        <f>IFERROR(_xll.qlRateHelperPillarDate(Y70,Trigger),"")</f>
        <v/>
      </c>
      <c r="AF70" s="70" t="e">
        <v>#N/A</v>
      </c>
      <c r="AG70" s="77" t="e">
        <v>#N/A</v>
      </c>
      <c r="AH70" s="169" t="e">
        <v>#N/A</v>
      </c>
      <c r="AI70" s="170" t="e">
        <v>#N/A</v>
      </c>
      <c r="AJ70" s="172" t="e">
        <f t="shared" si="31"/>
        <v>#N/A</v>
      </c>
      <c r="AK70" s="80" t="e">
        <v>#N/A</v>
      </c>
      <c r="AL70" s="161" t="e">
        <f t="shared" si="32"/>
        <v>#N/A</v>
      </c>
    </row>
    <row r="71" spans="1:38" ht="11.25" customHeight="1" x14ac:dyDescent="0.2">
      <c r="A71" s="65" t="s">
        <v>9</v>
      </c>
      <c r="B71" s="65" t="s">
        <v>29</v>
      </c>
      <c r="C71" s="65" t="s">
        <v>114</v>
      </c>
      <c r="D71" s="65" t="s">
        <v>5</v>
      </c>
      <c r="E71" s="65" t="s">
        <v>34</v>
      </c>
      <c r="F71" s="65" t="s">
        <v>115</v>
      </c>
      <c r="G71" s="65" t="s">
        <v>4</v>
      </c>
      <c r="H71" s="65" t="s">
        <v>1</v>
      </c>
      <c r="I71" s="65" t="s">
        <v>113</v>
      </c>
      <c r="J71" s="65" t="s">
        <v>150</v>
      </c>
      <c r="K71" s="65" t="s">
        <v>151</v>
      </c>
      <c r="M71" s="71" t="str">
        <f t="shared" si="27"/>
        <v>BasSw</v>
      </c>
      <c r="N71" s="141" t="str">
        <f t="shared" si="28"/>
        <v>obj_006a1#0001</v>
      </c>
      <c r="O71" s="141" t="str">
        <f t="shared" si="29"/>
        <v>obj_006cf#0001</v>
      </c>
      <c r="P71" s="149" t="str">
        <f>IFERROR(_xll.qlRateHelperQuoteName(N71,Trigger),"--")</f>
        <v>EUR3E6E2Y_LCHQuote</v>
      </c>
      <c r="Q71" s="142" t="str">
        <f>IFERROR(_xll.qlRateHelperQuoteValue($N71,Trigger),"--")</f>
        <v>--</v>
      </c>
      <c r="R71" s="141" t="b">
        <v>0</v>
      </c>
      <c r="S71" s="141">
        <v>10</v>
      </c>
      <c r="T71" s="141">
        <v>1</v>
      </c>
      <c r="U71" s="143">
        <f>IFERROR(_xll.qlRateHelperEarliestDate(N71,Trigger),"--")</f>
        <v>42256</v>
      </c>
      <c r="V71" s="143">
        <f>IFERROR(_xll.qlRateHelperPillarDate(N71,Trigger),"--")</f>
        <v>42989</v>
      </c>
      <c r="X71" s="4" t="str">
        <f t="shared" si="30"/>
        <v/>
      </c>
      <c r="Y71" s="4" t="e">
        <v>#N/A</v>
      </c>
      <c r="Z71" s="4" t="e">
        <v>#N/A</v>
      </c>
      <c r="AA71" s="4" t="str">
        <f>IFERROR(_xll.qlRateHelperQuoteName(Y71,Trigger),"")</f>
        <v/>
      </c>
      <c r="AB71" s="70" t="str">
        <f>IFERROR(_xll.qlRateHelperRate(Y71,Trigger),"")</f>
        <v/>
      </c>
      <c r="AC71" s="104" t="str">
        <f>IF(ISERROR(_xll.qlSwapRateHelperSpread($Y71)),IF(ISERROR(_xll.qlFuturesRateHelperConvexityAdjustment($Y71)),"",_xll.qlFuturesRateHelperConvexityAdjustment($Y71)),_xll.qlSwapRateHelperSpread($Y71))</f>
        <v/>
      </c>
      <c r="AD71" s="5" t="str">
        <f>IFERROR(_xll.qlRateHelperEarliestDate(Y71,Trigger),"")</f>
        <v/>
      </c>
      <c r="AE71" s="5" t="str">
        <f>IFERROR(_xll.qlRateHelperPillarDate(Y71,Trigger),"")</f>
        <v/>
      </c>
      <c r="AF71" s="70" t="e">
        <v>#N/A</v>
      </c>
      <c r="AG71" s="77" t="e">
        <v>#N/A</v>
      </c>
      <c r="AH71" s="169" t="e">
        <v>#N/A</v>
      </c>
      <c r="AI71" s="170" t="e">
        <v>#N/A</v>
      </c>
      <c r="AJ71" s="172" t="e">
        <f t="shared" si="31"/>
        <v>#N/A</v>
      </c>
      <c r="AK71" s="80" t="e">
        <v>#N/A</v>
      </c>
      <c r="AL71" s="161" t="e">
        <f t="shared" si="32"/>
        <v>#N/A</v>
      </c>
    </row>
    <row r="72" spans="1:38" ht="11.25" customHeight="1" x14ac:dyDescent="0.2">
      <c r="A72" s="53" t="s">
        <v>118</v>
      </c>
      <c r="B72" s="115" t="s">
        <v>3</v>
      </c>
      <c r="C72" s="55" t="s">
        <v>6</v>
      </c>
      <c r="D72" s="61" t="s">
        <v>8</v>
      </c>
      <c r="E72" s="61" t="s">
        <v>7</v>
      </c>
      <c r="F72" s="61" t="s">
        <v>125</v>
      </c>
      <c r="G72" s="61" t="str">
        <f t="shared" ref="G72:G109" si="33">PROPER(Currency)&amp;FamilyName&amp;Tenor</f>
        <v>Euribor3M</v>
      </c>
      <c r="H72" s="59" t="str">
        <f t="shared" ref="H72:H109" si="34">IF(LCHQuoteOverwrite,Currency&amp;"3E6E"&amp;B72&amp;LCHQuoteSuffix,Currency&amp;$G$30&amp;$H$30&amp;"BASIS"&amp;$B72&amp;QuoteSuffix)</f>
        <v>EUR3E6E6M_LCHQuote</v>
      </c>
      <c r="I72" s="126">
        <v>0</v>
      </c>
      <c r="J72" s="58" t="str">
        <f>_xll.qlSwapRateHelper2(,$H72,2,$B72,Calendar,$D72,$E72,$F72,$G72,$I72,$C72,Discounting1,PillarDate,,Permanent,Trigger,ObjectOverwrite)</f>
        <v>obj_006da#0001</v>
      </c>
      <c r="K72" s="58" t="str">
        <f>_xll.qlSwapRateHelper2(,$H72,2,$B72,Calendar,$D72,$E72,$F72,$G72,$I72,$C72,Discounting2,PillarDate,,Permanent,Trigger,ObjectOverwrite)</f>
        <v>obj_006b6#0001</v>
      </c>
      <c r="M72" s="71" t="str">
        <f t="shared" si="27"/>
        <v>BasSw</v>
      </c>
      <c r="N72" s="141" t="str">
        <f t="shared" si="28"/>
        <v>obj_006a4#0001</v>
      </c>
      <c r="O72" s="141" t="str">
        <f t="shared" si="29"/>
        <v>obj_006c4#0001</v>
      </c>
      <c r="P72" s="149" t="str">
        <f>IFERROR(_xll.qlRateHelperQuoteName(N72,Trigger),"--")</f>
        <v>EUR3E6E3Y_LCHQuote</v>
      </c>
      <c r="Q72" s="142" t="str">
        <f>IFERROR(_xll.qlRateHelperQuoteValue($N72,Trigger),"--")</f>
        <v>--</v>
      </c>
      <c r="R72" s="141" t="b">
        <v>0</v>
      </c>
      <c r="S72" s="141">
        <v>10</v>
      </c>
      <c r="T72" s="141">
        <v>1</v>
      </c>
      <c r="U72" s="143">
        <f>IFERROR(_xll.qlRateHelperEarliestDate(N72,Trigger),"--")</f>
        <v>42256</v>
      </c>
      <c r="V72" s="143">
        <f>IFERROR(_xll.qlRateHelperPillarDate(N72,Trigger),"--")</f>
        <v>43353</v>
      </c>
      <c r="X72" s="4" t="str">
        <f t="shared" si="30"/>
        <v/>
      </c>
      <c r="Y72" s="4" t="e">
        <v>#N/A</v>
      </c>
      <c r="Z72" s="4" t="e">
        <v>#N/A</v>
      </c>
      <c r="AA72" s="4" t="str">
        <f>IFERROR(_xll.qlRateHelperQuoteName(Y72,Trigger),"")</f>
        <v/>
      </c>
      <c r="AB72" s="70" t="str">
        <f>IFERROR(_xll.qlRateHelperRate(Y72,Trigger),"")</f>
        <v/>
      </c>
      <c r="AC72" s="104" t="str">
        <f>IF(ISERROR(_xll.qlSwapRateHelperSpread($Y72)),IF(ISERROR(_xll.qlFuturesRateHelperConvexityAdjustment($Y72)),"",_xll.qlFuturesRateHelperConvexityAdjustment($Y72)),_xll.qlSwapRateHelperSpread($Y72))</f>
        <v/>
      </c>
      <c r="AD72" s="5" t="str">
        <f>IFERROR(_xll.qlRateHelperEarliestDate(Y72,Trigger),"")</f>
        <v/>
      </c>
      <c r="AE72" s="5" t="str">
        <f>IFERROR(_xll.qlRateHelperPillarDate(Y72,Trigger),"")</f>
        <v/>
      </c>
      <c r="AF72" s="70" t="e">
        <v>#N/A</v>
      </c>
      <c r="AG72" s="77" t="e">
        <v>#N/A</v>
      </c>
      <c r="AH72" s="169" t="e">
        <v>#N/A</v>
      </c>
      <c r="AI72" s="170" t="e">
        <v>#N/A</v>
      </c>
      <c r="AJ72" s="172" t="e">
        <f t="shared" si="31"/>
        <v>#N/A</v>
      </c>
      <c r="AK72" s="80" t="e">
        <v>#N/A</v>
      </c>
      <c r="AL72" s="161" t="e">
        <f t="shared" si="32"/>
        <v>#N/A</v>
      </c>
    </row>
    <row r="73" spans="1:38" ht="11.25" customHeight="1" x14ac:dyDescent="0.2">
      <c r="A73" s="59" t="s">
        <v>118</v>
      </c>
      <c r="B73" s="116" t="s">
        <v>28</v>
      </c>
      <c r="C73" s="61" t="s">
        <v>6</v>
      </c>
      <c r="D73" s="61" t="s">
        <v>8</v>
      </c>
      <c r="E73" s="61" t="s">
        <v>7</v>
      </c>
      <c r="F73" s="61" t="s">
        <v>125</v>
      </c>
      <c r="G73" s="61" t="str">
        <f t="shared" si="33"/>
        <v>Euribor3M</v>
      </c>
      <c r="H73" s="59" t="str">
        <f t="shared" ref="H73" si="35">IF(LCHQuoteOverwrite,Currency&amp;"3E6E"&amp;B73&amp;LCHQuoteSuffix,Currency&amp;$G$30&amp;$H$30&amp;"BASIS"&amp;$B73&amp;QuoteSuffix)</f>
        <v>EUR3E6E1Y_LCHQuote</v>
      </c>
      <c r="I73" s="127">
        <v>0</v>
      </c>
      <c r="J73" s="64" t="str">
        <f>_xll.qlSwapRateHelper2(,$H73,2,$B73,Calendar,$D73,$E73,$F73,$G73,$I73,$C73,Discounting1,PillarDate,,Permanent,Trigger,ObjectOverwrite)</f>
        <v>obj_00686#0001</v>
      </c>
      <c r="K73" s="64" t="str">
        <f>_xll.qlSwapRateHelper2(,$H73,2,$B73,Calendar,$D73,$E73,$F73,$G73,$I73,$C73,Discounting2,PillarDate,,Permanent,Trigger,ObjectOverwrite)</f>
        <v>obj_00670#0001</v>
      </c>
      <c r="M73" s="71" t="str">
        <f t="shared" si="27"/>
        <v>BasSw</v>
      </c>
      <c r="N73" s="141" t="str">
        <f t="shared" si="28"/>
        <v>obj_006c6#0001</v>
      </c>
      <c r="O73" s="141" t="str">
        <f t="shared" si="29"/>
        <v>obj_006d8#0001</v>
      </c>
      <c r="P73" s="149" t="str">
        <f>IFERROR(_xll.qlRateHelperQuoteName(N73,Trigger),"--")</f>
        <v>EUR3E6E4Y_LCHQuote</v>
      </c>
      <c r="Q73" s="142">
        <f>IFERROR(_xll.qlRateHelperQuoteValue($N73,Trigger),"--")</f>
        <v>1.5613332999999999E-3</v>
      </c>
      <c r="R73" s="141" t="b">
        <v>1</v>
      </c>
      <c r="S73" s="141">
        <v>10</v>
      </c>
      <c r="T73" s="141">
        <v>1</v>
      </c>
      <c r="U73" s="143">
        <f>IFERROR(_xll.qlRateHelperEarliestDate(N73,Trigger),"--")</f>
        <v>42256</v>
      </c>
      <c r="V73" s="143">
        <f>IFERROR(_xll.qlRateHelperPillarDate(N73,Trigger),"--")</f>
        <v>43717</v>
      </c>
      <c r="X73" s="4" t="str">
        <f t="shared" si="30"/>
        <v/>
      </c>
      <c r="Y73" s="4" t="e">
        <v>#N/A</v>
      </c>
      <c r="Z73" s="4" t="e">
        <v>#N/A</v>
      </c>
      <c r="AA73" s="4" t="str">
        <f>IFERROR(_xll.qlRateHelperQuoteName(Y73,Trigger),"")</f>
        <v/>
      </c>
      <c r="AB73" s="70" t="str">
        <f>IFERROR(_xll.qlRateHelperRate(Y73,Trigger),"")</f>
        <v/>
      </c>
      <c r="AC73" s="104" t="str">
        <f>IF(ISERROR(_xll.qlSwapRateHelperSpread($Y73)),IF(ISERROR(_xll.qlFuturesRateHelperConvexityAdjustment($Y73)),"",_xll.qlFuturesRateHelperConvexityAdjustment($Y73)),_xll.qlSwapRateHelperSpread($Y73))</f>
        <v/>
      </c>
      <c r="AD73" s="5" t="str">
        <f>IFERROR(_xll.qlRateHelperEarliestDate(Y73,Trigger),"")</f>
        <v/>
      </c>
      <c r="AE73" s="5" t="str">
        <f>IFERROR(_xll.qlRateHelperPillarDate(Y73,Trigger),"")</f>
        <v/>
      </c>
      <c r="AF73" s="70" t="e">
        <v>#N/A</v>
      </c>
      <c r="AG73" s="77" t="e">
        <v>#N/A</v>
      </c>
      <c r="AH73" s="169" t="e">
        <v>#N/A</v>
      </c>
      <c r="AI73" s="170" t="e">
        <v>#N/A</v>
      </c>
      <c r="AJ73" s="172" t="e">
        <f t="shared" si="31"/>
        <v>#N/A</v>
      </c>
      <c r="AK73" s="80" t="e">
        <v>#N/A</v>
      </c>
      <c r="AL73" s="161" t="e">
        <f t="shared" si="32"/>
        <v>#N/A</v>
      </c>
    </row>
    <row r="74" spans="1:38" ht="11.25" customHeight="1" x14ac:dyDescent="0.2">
      <c r="A74" s="59" t="s">
        <v>118</v>
      </c>
      <c r="B74" s="116" t="s">
        <v>49</v>
      </c>
      <c r="C74" s="61" t="s">
        <v>6</v>
      </c>
      <c r="D74" s="61" t="s">
        <v>8</v>
      </c>
      <c r="E74" s="61" t="s">
        <v>7</v>
      </c>
      <c r="F74" s="61" t="s">
        <v>125</v>
      </c>
      <c r="G74" s="61" t="str">
        <f t="shared" si="33"/>
        <v>Euribor3M</v>
      </c>
      <c r="H74" s="59" t="str">
        <f t="shared" si="34"/>
        <v>EUR3E6E15M_LCHQuote</v>
      </c>
      <c r="I74" s="127">
        <v>0</v>
      </c>
      <c r="J74" s="64" t="str">
        <f>_xll.qlSwapRateHelper2(,$H74,2,$B74,Calendar,$D74,$E74,$F74,$G74,$I74,$C74,Discounting1,PillarDate,,Permanent,Trigger,ObjectOverwrite)</f>
        <v>obj_0069f#0001</v>
      </c>
      <c r="K74" s="64" t="str">
        <f>_xll.qlSwapRateHelper2(,$H74,2,$B74,Calendar,$D74,$E74,$F74,$G74,$I74,$C74,Discounting2,PillarDate,,Permanent,Trigger,ObjectOverwrite)</f>
        <v>obj_006aa#0001</v>
      </c>
      <c r="M74" s="71" t="str">
        <f t="shared" si="27"/>
        <v>BasSw</v>
      </c>
      <c r="N74" s="141" t="str">
        <f t="shared" si="28"/>
        <v>obj_006d2#0001</v>
      </c>
      <c r="O74" s="141" t="str">
        <f t="shared" si="29"/>
        <v>obj_006d3#0001</v>
      </c>
      <c r="P74" s="149" t="str">
        <f>IFERROR(_xll.qlRateHelperQuoteName(N74,Trigger),"--")</f>
        <v>EUR3E6E5Y_LCHQuote</v>
      </c>
      <c r="Q74" s="142">
        <f>IFERROR(_xll.qlRateHelperQuoteValue($N74,Trigger),"--")</f>
        <v>2.7236999999999999E-3</v>
      </c>
      <c r="R74" s="141" t="b">
        <v>1</v>
      </c>
      <c r="S74" s="141">
        <v>10</v>
      </c>
      <c r="T74" s="141">
        <v>1</v>
      </c>
      <c r="U74" s="143">
        <f>IFERROR(_xll.qlRateHelperEarliestDate(N74,Trigger),"--")</f>
        <v>42256</v>
      </c>
      <c r="V74" s="143">
        <f>IFERROR(_xll.qlRateHelperPillarDate(N74,Trigger),"--")</f>
        <v>44083</v>
      </c>
      <c r="X74" s="4" t="str">
        <f t="shared" si="30"/>
        <v/>
      </c>
      <c r="Y74" s="4" t="e">
        <v>#N/A</v>
      </c>
      <c r="Z74" s="4" t="e">
        <v>#N/A</v>
      </c>
      <c r="AA74" s="4" t="str">
        <f>IFERROR(_xll.qlRateHelperQuoteName(Y74,Trigger),"")</f>
        <v/>
      </c>
      <c r="AB74" s="70" t="str">
        <f>IFERROR(_xll.qlRateHelperRate(Y74,Trigger),"")</f>
        <v/>
      </c>
      <c r="AC74" s="104" t="str">
        <f>IF(ISERROR(_xll.qlSwapRateHelperSpread($Y74)),IF(ISERROR(_xll.qlFuturesRateHelperConvexityAdjustment($Y74)),"",_xll.qlFuturesRateHelperConvexityAdjustment($Y74)),_xll.qlSwapRateHelperSpread($Y74))</f>
        <v/>
      </c>
      <c r="AD74" s="5" t="str">
        <f>IFERROR(_xll.qlRateHelperEarliestDate(Y74,Trigger),"")</f>
        <v/>
      </c>
      <c r="AE74" s="5" t="str">
        <f>IFERROR(_xll.qlRateHelperPillarDate(Y74,Trigger),"")</f>
        <v/>
      </c>
      <c r="AF74" s="70" t="e">
        <v>#N/A</v>
      </c>
      <c r="AG74" s="77" t="e">
        <v>#N/A</v>
      </c>
      <c r="AH74" s="169" t="e">
        <v>#N/A</v>
      </c>
      <c r="AI74" s="170" t="e">
        <v>#N/A</v>
      </c>
      <c r="AJ74" s="172" t="e">
        <f t="shared" si="31"/>
        <v>#N/A</v>
      </c>
      <c r="AK74" s="80" t="e">
        <v>#N/A</v>
      </c>
      <c r="AL74" s="161" t="e">
        <f t="shared" si="32"/>
        <v>#N/A</v>
      </c>
    </row>
    <row r="75" spans="1:38" ht="11.25" customHeight="1" x14ac:dyDescent="0.2">
      <c r="A75" s="59" t="s">
        <v>118</v>
      </c>
      <c r="B75" s="116" t="s">
        <v>50</v>
      </c>
      <c r="C75" s="61" t="s">
        <v>6</v>
      </c>
      <c r="D75" s="61" t="s">
        <v>8</v>
      </c>
      <c r="E75" s="61" t="s">
        <v>7</v>
      </c>
      <c r="F75" s="61" t="s">
        <v>125</v>
      </c>
      <c r="G75" s="61" t="str">
        <f t="shared" si="33"/>
        <v>Euribor3M</v>
      </c>
      <c r="H75" s="59" t="str">
        <f t="shared" si="34"/>
        <v>EUR3E6E18M_LCHQuote</v>
      </c>
      <c r="I75" s="127">
        <v>0</v>
      </c>
      <c r="J75" s="64" t="str">
        <f>_xll.qlSwapRateHelper2(,$H75,2,$B75,Calendar,$D75,$E75,$F75,$G75,$I75,$C75,Discounting1,PillarDate,,Permanent,Trigger,ObjectOverwrite)</f>
        <v>obj_006d4#0001</v>
      </c>
      <c r="K75" s="64" t="str">
        <f>_xll.qlSwapRateHelper2(,$H75,2,$B75,Calendar,$D75,$E75,$F75,$G75,$I75,$C75,Discounting2,PillarDate,,Permanent,Trigger,ObjectOverwrite)</f>
        <v>obj_006cd#0001</v>
      </c>
      <c r="M75" s="71" t="str">
        <f t="shared" si="27"/>
        <v>BasSw</v>
      </c>
      <c r="N75" s="141" t="str">
        <f t="shared" si="28"/>
        <v>obj_006b9#0001</v>
      </c>
      <c r="O75" s="141" t="str">
        <f t="shared" si="29"/>
        <v>obj_006bc#0001</v>
      </c>
      <c r="P75" s="149" t="str">
        <f>IFERROR(_xll.qlRateHelperQuoteName(N75,Trigger),"--")</f>
        <v>EUR3E6E6Y_LCHQuote</v>
      </c>
      <c r="Q75" s="142">
        <f>IFERROR(_xll.qlRateHelperQuoteValue($N75,Trigger),"--")</f>
        <v>4.0376500000000003E-3</v>
      </c>
      <c r="R75" s="141" t="b">
        <v>1</v>
      </c>
      <c r="S75" s="141">
        <v>10</v>
      </c>
      <c r="T75" s="141">
        <v>1</v>
      </c>
      <c r="U75" s="143">
        <f>IFERROR(_xll.qlRateHelperEarliestDate(N75,Trigger),"--")</f>
        <v>42256</v>
      </c>
      <c r="V75" s="143">
        <f>IFERROR(_xll.qlRateHelperPillarDate(N75,Trigger),"--")</f>
        <v>44448</v>
      </c>
      <c r="X75" s="4" t="str">
        <f t="shared" si="30"/>
        <v/>
      </c>
      <c r="Y75" s="4" t="e">
        <v>#N/A</v>
      </c>
      <c r="Z75" s="4" t="e">
        <v>#N/A</v>
      </c>
      <c r="AA75" s="4" t="str">
        <f>IFERROR(_xll.qlRateHelperQuoteName(Y75,Trigger),"")</f>
        <v/>
      </c>
      <c r="AB75" s="70" t="str">
        <f>IFERROR(_xll.qlRateHelperRate(Y75,Trigger),"")</f>
        <v/>
      </c>
      <c r="AC75" s="104" t="str">
        <f>IF(ISERROR(_xll.qlSwapRateHelperSpread($Y75)),IF(ISERROR(_xll.qlFuturesRateHelperConvexityAdjustment($Y75)),"",_xll.qlFuturesRateHelperConvexityAdjustment($Y75)),_xll.qlSwapRateHelperSpread($Y75))</f>
        <v/>
      </c>
      <c r="AD75" s="5" t="str">
        <f>IFERROR(_xll.qlRateHelperEarliestDate(Y75,Trigger),"")</f>
        <v/>
      </c>
      <c r="AE75" s="5" t="str">
        <f>IFERROR(_xll.qlRateHelperPillarDate(Y75,Trigger),"")</f>
        <v/>
      </c>
      <c r="AF75" s="70" t="e">
        <v>#N/A</v>
      </c>
      <c r="AG75" s="77" t="e">
        <v>#N/A</v>
      </c>
      <c r="AH75" s="169" t="e">
        <v>#N/A</v>
      </c>
      <c r="AI75" s="170" t="e">
        <v>#N/A</v>
      </c>
      <c r="AJ75" s="172" t="e">
        <f t="shared" si="31"/>
        <v>#N/A</v>
      </c>
      <c r="AK75" s="80" t="e">
        <v>#N/A</v>
      </c>
      <c r="AL75" s="161" t="e">
        <f t="shared" si="32"/>
        <v>#N/A</v>
      </c>
    </row>
    <row r="76" spans="1:38" ht="11.25" customHeight="1" x14ac:dyDescent="0.2">
      <c r="A76" s="59" t="s">
        <v>118</v>
      </c>
      <c r="B76" s="116" t="s">
        <v>51</v>
      </c>
      <c r="C76" s="61" t="s">
        <v>6</v>
      </c>
      <c r="D76" s="61" t="s">
        <v>8</v>
      </c>
      <c r="E76" s="61" t="s">
        <v>7</v>
      </c>
      <c r="F76" s="61" t="s">
        <v>125</v>
      </c>
      <c r="G76" s="61" t="str">
        <f t="shared" si="33"/>
        <v>Euribor3M</v>
      </c>
      <c r="H76" s="59" t="str">
        <f t="shared" si="34"/>
        <v>EUR3E6E21M_LCHQuote</v>
      </c>
      <c r="I76" s="127">
        <v>0</v>
      </c>
      <c r="J76" s="64" t="str">
        <f>_xll.qlSwapRateHelper2(,$H76,2,$B76,Calendar,$D76,$E76,$F76,$G76,$I76,$C76,Discounting1,PillarDate,,Permanent,Trigger,ObjectOverwrite)</f>
        <v>obj_006ca#0001</v>
      </c>
      <c r="K76" s="64" t="str">
        <f>_xll.qlSwapRateHelper2(,$H76,2,$B76,Calendar,$D76,$E76,$F76,$G76,$I76,$C76,Discounting2,PillarDate,,Permanent,Trigger,ObjectOverwrite)</f>
        <v>obj_006c9#0001</v>
      </c>
      <c r="M76" s="71" t="str">
        <f t="shared" si="27"/>
        <v>BasSw</v>
      </c>
      <c r="N76" s="141" t="str">
        <f t="shared" si="28"/>
        <v>obj_006bf#0001</v>
      </c>
      <c r="O76" s="141" t="str">
        <f t="shared" si="29"/>
        <v>obj_006b1#0001</v>
      </c>
      <c r="P76" s="149" t="str">
        <f>IFERROR(_xll.qlRateHelperQuoteName(N76,Trigger),"--")</f>
        <v>EUR3E6E7Y_LCHQuote</v>
      </c>
      <c r="Q76" s="142">
        <f>IFERROR(_xll.qlRateHelperQuoteValue($N76,Trigger),"--")</f>
        <v>5.4074500000000003E-3</v>
      </c>
      <c r="R76" s="141" t="b">
        <v>1</v>
      </c>
      <c r="S76" s="141">
        <v>10</v>
      </c>
      <c r="T76" s="141">
        <v>1</v>
      </c>
      <c r="U76" s="143">
        <f>IFERROR(_xll.qlRateHelperEarliestDate(N76,Trigger),"--")</f>
        <v>42256</v>
      </c>
      <c r="V76" s="143">
        <f>IFERROR(_xll.qlRateHelperPillarDate(N76,Trigger),"--")</f>
        <v>44813</v>
      </c>
      <c r="X76" s="4" t="str">
        <f t="shared" si="30"/>
        <v/>
      </c>
      <c r="Y76" s="4" t="e">
        <v>#N/A</v>
      </c>
      <c r="Z76" s="4" t="e">
        <v>#N/A</v>
      </c>
      <c r="AA76" s="4" t="str">
        <f>IFERROR(_xll.qlRateHelperQuoteName(Y76,Trigger),"")</f>
        <v/>
      </c>
      <c r="AB76" s="70" t="str">
        <f>IFERROR(_xll.qlRateHelperRate(Y76,Trigger),"")</f>
        <v/>
      </c>
      <c r="AC76" s="104" t="str">
        <f>IF(ISERROR(_xll.qlSwapRateHelperSpread($Y76)),IF(ISERROR(_xll.qlFuturesRateHelperConvexityAdjustment($Y76)),"",_xll.qlFuturesRateHelperConvexityAdjustment($Y76)),_xll.qlSwapRateHelperSpread($Y76))</f>
        <v/>
      </c>
      <c r="AD76" s="5" t="str">
        <f>IFERROR(_xll.qlRateHelperEarliestDate(Y76,Trigger),"")</f>
        <v/>
      </c>
      <c r="AE76" s="5" t="str">
        <f>IFERROR(_xll.qlRateHelperPillarDate(Y76,Trigger),"")</f>
        <v/>
      </c>
      <c r="AF76" s="70" t="e">
        <v>#N/A</v>
      </c>
      <c r="AG76" s="77" t="e">
        <v>#N/A</v>
      </c>
      <c r="AH76" s="169" t="e">
        <v>#N/A</v>
      </c>
      <c r="AI76" s="170" t="e">
        <v>#N/A</v>
      </c>
      <c r="AJ76" s="172" t="e">
        <f t="shared" si="31"/>
        <v>#N/A</v>
      </c>
      <c r="AK76" s="80" t="e">
        <v>#N/A</v>
      </c>
      <c r="AL76" s="161" t="e">
        <f t="shared" si="32"/>
        <v>#N/A</v>
      </c>
    </row>
    <row r="77" spans="1:38" ht="11.25" customHeight="1" x14ac:dyDescent="0.2">
      <c r="A77" s="59" t="s">
        <v>118</v>
      </c>
      <c r="B77" s="116" t="s">
        <v>52</v>
      </c>
      <c r="C77" s="61" t="s">
        <v>6</v>
      </c>
      <c r="D77" s="61" t="s">
        <v>8</v>
      </c>
      <c r="E77" s="61" t="s">
        <v>7</v>
      </c>
      <c r="F77" s="61" t="s">
        <v>125</v>
      </c>
      <c r="G77" s="61" t="str">
        <f t="shared" si="33"/>
        <v>Euribor3M</v>
      </c>
      <c r="H77" s="59" t="str">
        <f t="shared" si="34"/>
        <v>EUR3E6E2Y_LCHQuote</v>
      </c>
      <c r="I77" s="127">
        <v>0</v>
      </c>
      <c r="J77" s="64" t="str">
        <f>_xll.qlSwapRateHelper2(,$H77,2,$B77,Calendar,$D77,$E77,$F77,$G77,$I77,$C77,Discounting1,PillarDate,,Permanent,Trigger,ObjectOverwrite)</f>
        <v>obj_006a1#0001</v>
      </c>
      <c r="K77" s="64" t="str">
        <f>_xll.qlSwapRateHelper2(,$H77,2,$B77,Calendar,$D77,$E77,$F77,$G77,$I77,$C77,Discounting2,PillarDate,,Permanent,Trigger,ObjectOverwrite)</f>
        <v>obj_006cf#0001</v>
      </c>
      <c r="M77" s="71" t="str">
        <f t="shared" si="27"/>
        <v>BasSw</v>
      </c>
      <c r="N77" s="141" t="str">
        <f t="shared" si="28"/>
        <v>obj_006b0#0001</v>
      </c>
      <c r="O77" s="141" t="str">
        <f t="shared" si="29"/>
        <v>obj_006d0#0001</v>
      </c>
      <c r="P77" s="149" t="str">
        <f>IFERROR(_xll.qlRateHelperQuoteName(N77,Trigger),"--")</f>
        <v>EUR3E6E8Y_LCHQuote</v>
      </c>
      <c r="Q77" s="142">
        <f>IFERROR(_xll.qlRateHelperQuoteValue($N77,Trigger),"--")</f>
        <v>6.7477500000000003E-3</v>
      </c>
      <c r="R77" s="141" t="b">
        <v>1</v>
      </c>
      <c r="S77" s="141">
        <v>10</v>
      </c>
      <c r="T77" s="141">
        <v>1</v>
      </c>
      <c r="U77" s="143">
        <f>IFERROR(_xll.qlRateHelperEarliestDate(N77,Trigger),"--")</f>
        <v>42256</v>
      </c>
      <c r="V77" s="143">
        <f>IFERROR(_xll.qlRateHelperPillarDate(N77,Trigger),"--")</f>
        <v>45180</v>
      </c>
      <c r="X77" s="4" t="str">
        <f t="shared" si="30"/>
        <v/>
      </c>
      <c r="Y77" s="4" t="e">
        <v>#N/A</v>
      </c>
      <c r="Z77" s="4" t="e">
        <v>#N/A</v>
      </c>
      <c r="AA77" s="4" t="str">
        <f>IFERROR(_xll.qlRateHelperQuoteName(Y77,Trigger),"")</f>
        <v/>
      </c>
      <c r="AB77" s="70" t="str">
        <f>IFERROR(_xll.qlRateHelperRate(Y77,Trigger),"")</f>
        <v/>
      </c>
      <c r="AC77" s="104" t="str">
        <f>IF(ISERROR(_xll.qlSwapRateHelperSpread($Y77)),IF(ISERROR(_xll.qlFuturesRateHelperConvexityAdjustment($Y77)),"",_xll.qlFuturesRateHelperConvexityAdjustment($Y77)),_xll.qlSwapRateHelperSpread($Y77))</f>
        <v/>
      </c>
      <c r="AD77" s="5" t="str">
        <f>IFERROR(_xll.qlRateHelperEarliestDate(Y77,Trigger),"")</f>
        <v/>
      </c>
      <c r="AE77" s="5" t="str">
        <f>IFERROR(_xll.qlRateHelperPillarDate(Y77,Trigger),"")</f>
        <v/>
      </c>
      <c r="AF77" s="70" t="e">
        <v>#N/A</v>
      </c>
      <c r="AG77" s="77" t="e">
        <v>#N/A</v>
      </c>
      <c r="AH77" s="169" t="e">
        <v>#N/A</v>
      </c>
      <c r="AI77" s="170" t="e">
        <v>#N/A</v>
      </c>
      <c r="AJ77" s="172" t="e">
        <f t="shared" si="31"/>
        <v>#N/A</v>
      </c>
      <c r="AK77" s="80" t="e">
        <v>#N/A</v>
      </c>
      <c r="AL77" s="161" t="e">
        <f t="shared" si="32"/>
        <v>#N/A</v>
      </c>
    </row>
    <row r="78" spans="1:38" ht="11.25" customHeight="1" x14ac:dyDescent="0.2">
      <c r="A78" s="59" t="s">
        <v>118</v>
      </c>
      <c r="B78" s="116" t="s">
        <v>53</v>
      </c>
      <c r="C78" s="61" t="s">
        <v>6</v>
      </c>
      <c r="D78" s="61" t="s">
        <v>8</v>
      </c>
      <c r="E78" s="61" t="s">
        <v>7</v>
      </c>
      <c r="F78" s="61" t="s">
        <v>125</v>
      </c>
      <c r="G78" s="61" t="str">
        <f t="shared" si="33"/>
        <v>Euribor3M</v>
      </c>
      <c r="H78" s="59" t="str">
        <f t="shared" si="34"/>
        <v>EUR3E6E3Y_LCHQuote</v>
      </c>
      <c r="I78" s="127">
        <v>0</v>
      </c>
      <c r="J78" s="64" t="str">
        <f>_xll.qlSwapRateHelper2(,$H78,2,$B78,Calendar,$D78,$E78,$F78,$G78,$I78,$C78,Discounting1,PillarDate,,Permanent,Trigger,ObjectOverwrite)</f>
        <v>obj_006a4#0001</v>
      </c>
      <c r="K78" s="64" t="str">
        <f>_xll.qlSwapRateHelper2(,$H78,2,$B78,Calendar,$D78,$E78,$F78,$G78,$I78,$C78,Discounting2,PillarDate,,Permanent,Trigger,ObjectOverwrite)</f>
        <v>obj_006c4#0001</v>
      </c>
      <c r="M78" s="71" t="str">
        <f t="shared" si="27"/>
        <v>BasSw</v>
      </c>
      <c r="N78" s="141" t="str">
        <f t="shared" si="28"/>
        <v>obj_006c2#0001</v>
      </c>
      <c r="O78" s="141" t="str">
        <f t="shared" si="29"/>
        <v>obj_006a5#0001</v>
      </c>
      <c r="P78" s="149" t="str">
        <f>IFERROR(_xll.qlRateHelperQuoteName(N78,Trigger),"--")</f>
        <v>EUR3E6E9Y_LCHQuote</v>
      </c>
      <c r="Q78" s="142">
        <f>IFERROR(_xll.qlRateHelperQuoteValue($N78,Trigger),"--")</f>
        <v>7.9822999999999995E-3</v>
      </c>
      <c r="R78" s="141" t="b">
        <v>1</v>
      </c>
      <c r="S78" s="141">
        <v>10</v>
      </c>
      <c r="T78" s="141">
        <v>1</v>
      </c>
      <c r="U78" s="143">
        <f>IFERROR(_xll.qlRateHelperEarliestDate(N78,Trigger),"--")</f>
        <v>42256</v>
      </c>
      <c r="V78" s="143">
        <f>IFERROR(_xll.qlRateHelperPillarDate(N78,Trigger),"--")</f>
        <v>45544</v>
      </c>
      <c r="X78" s="4" t="str">
        <f t="shared" si="30"/>
        <v/>
      </c>
      <c r="Y78" s="4" t="e">
        <v>#N/A</v>
      </c>
      <c r="Z78" s="4" t="e">
        <v>#N/A</v>
      </c>
      <c r="AA78" s="4" t="str">
        <f>IFERROR(_xll.qlRateHelperQuoteName(Y78,Trigger),"")</f>
        <v/>
      </c>
      <c r="AB78" s="70" t="str">
        <f>IFERROR(_xll.qlRateHelperRate(Y78,Trigger),"")</f>
        <v/>
      </c>
      <c r="AC78" s="104" t="str">
        <f>IF(ISERROR(_xll.qlSwapRateHelperSpread($Y78)),IF(ISERROR(_xll.qlFuturesRateHelperConvexityAdjustment($Y78)),"",_xll.qlFuturesRateHelperConvexityAdjustment($Y78)),_xll.qlSwapRateHelperSpread($Y78))</f>
        <v/>
      </c>
      <c r="AD78" s="5" t="str">
        <f>IFERROR(_xll.qlRateHelperEarliestDate(Y78,Trigger),"")</f>
        <v/>
      </c>
      <c r="AE78" s="5" t="str">
        <f>IFERROR(_xll.qlRateHelperPillarDate(Y78,Trigger),"")</f>
        <v/>
      </c>
      <c r="AF78" s="70" t="e">
        <v>#N/A</v>
      </c>
      <c r="AG78" s="77" t="e">
        <v>#N/A</v>
      </c>
      <c r="AH78" s="169" t="e">
        <v>#N/A</v>
      </c>
      <c r="AI78" s="170" t="e">
        <v>#N/A</v>
      </c>
      <c r="AJ78" s="172" t="e">
        <f t="shared" si="31"/>
        <v>#N/A</v>
      </c>
      <c r="AK78" s="80" t="e">
        <v>#N/A</v>
      </c>
      <c r="AL78" s="161" t="e">
        <f t="shared" si="32"/>
        <v>#N/A</v>
      </c>
    </row>
    <row r="79" spans="1:38" ht="11.25" customHeight="1" x14ac:dyDescent="0.2">
      <c r="A79" s="59" t="s">
        <v>118</v>
      </c>
      <c r="B79" s="116" t="s">
        <v>54</v>
      </c>
      <c r="C79" s="61" t="s">
        <v>6</v>
      </c>
      <c r="D79" s="61" t="s">
        <v>8</v>
      </c>
      <c r="E79" s="61" t="s">
        <v>7</v>
      </c>
      <c r="F79" s="61" t="s">
        <v>125</v>
      </c>
      <c r="G79" s="61" t="str">
        <f t="shared" si="33"/>
        <v>Euribor3M</v>
      </c>
      <c r="H79" s="59" t="str">
        <f t="shared" si="34"/>
        <v>EUR3E6E4Y_LCHQuote</v>
      </c>
      <c r="I79" s="127">
        <v>0</v>
      </c>
      <c r="J79" s="64" t="str">
        <f>_xll.qlSwapRateHelper2(,$H79,2,$B79,Calendar,$D79,$E79,$F79,$G79,$I79,$C79,Discounting1,PillarDate,,Permanent,Trigger,ObjectOverwrite)</f>
        <v>obj_006c6#0001</v>
      </c>
      <c r="K79" s="64" t="str">
        <f>_xll.qlSwapRateHelper2(,$H79,2,$B79,Calendar,$D79,$E79,$F79,$G79,$I79,$C79,Discounting2,PillarDate,,Permanent,Trigger,ObjectOverwrite)</f>
        <v>obj_006d8#0001</v>
      </c>
      <c r="M79" s="71" t="str">
        <f t="shared" si="27"/>
        <v>BasSw</v>
      </c>
      <c r="N79" s="141" t="str">
        <f t="shared" si="28"/>
        <v>obj_006ac#0001</v>
      </c>
      <c r="O79" s="141" t="str">
        <f t="shared" si="29"/>
        <v>obj_006ad#0001</v>
      </c>
      <c r="P79" s="149" t="str">
        <f>IFERROR(_xll.qlRateHelperQuoteName(N79,Trigger),"--")</f>
        <v>EUR3E6E10Y_LCHQuote</v>
      </c>
      <c r="Q79" s="142">
        <f>IFERROR(_xll.qlRateHelperQuoteValue($N79,Trigger),"--")</f>
        <v>9.0766000000000006E-3</v>
      </c>
      <c r="R79" s="141" t="b">
        <v>1</v>
      </c>
      <c r="S79" s="141">
        <v>10</v>
      </c>
      <c r="T79" s="141">
        <v>1</v>
      </c>
      <c r="U79" s="143">
        <f>IFERROR(_xll.qlRateHelperEarliestDate(N79,Trigger),"--")</f>
        <v>42256</v>
      </c>
      <c r="V79" s="143">
        <f>IFERROR(_xll.qlRateHelperPillarDate(N79,Trigger),"--")</f>
        <v>45909</v>
      </c>
      <c r="X79" s="4" t="str">
        <f t="shared" si="30"/>
        <v/>
      </c>
      <c r="Y79" s="4" t="e">
        <v>#N/A</v>
      </c>
      <c r="Z79" s="4" t="e">
        <v>#N/A</v>
      </c>
      <c r="AA79" s="4" t="str">
        <f>IFERROR(_xll.qlRateHelperQuoteName(Y79,Trigger),"")</f>
        <v/>
      </c>
      <c r="AB79" s="70" t="str">
        <f>IFERROR(_xll.qlRateHelperRate(Y79,Trigger),"")</f>
        <v/>
      </c>
      <c r="AC79" s="104" t="str">
        <f>IF(ISERROR(_xll.qlSwapRateHelperSpread($Y79)),IF(ISERROR(_xll.qlFuturesRateHelperConvexityAdjustment($Y79)),"",_xll.qlFuturesRateHelperConvexityAdjustment($Y79)),_xll.qlSwapRateHelperSpread($Y79))</f>
        <v/>
      </c>
      <c r="AD79" s="5" t="str">
        <f>IFERROR(_xll.qlRateHelperEarliestDate(Y79,Trigger),"")</f>
        <v/>
      </c>
      <c r="AE79" s="5" t="str">
        <f>IFERROR(_xll.qlRateHelperPillarDate(Y79,Trigger),"")</f>
        <v/>
      </c>
      <c r="AF79" s="70" t="e">
        <v>#N/A</v>
      </c>
      <c r="AG79" s="77" t="e">
        <v>#N/A</v>
      </c>
      <c r="AH79" s="169" t="e">
        <v>#N/A</v>
      </c>
      <c r="AI79" s="170" t="e">
        <v>#N/A</v>
      </c>
      <c r="AJ79" s="172" t="e">
        <f t="shared" si="31"/>
        <v>#N/A</v>
      </c>
      <c r="AK79" s="80" t="e">
        <v>#N/A</v>
      </c>
      <c r="AL79" s="161" t="e">
        <f t="shared" si="32"/>
        <v>#N/A</v>
      </c>
    </row>
    <row r="80" spans="1:38" ht="11.25" customHeight="1" x14ac:dyDescent="0.2">
      <c r="A80" s="59" t="s">
        <v>118</v>
      </c>
      <c r="B80" s="116" t="s">
        <v>55</v>
      </c>
      <c r="C80" s="61" t="s">
        <v>6</v>
      </c>
      <c r="D80" s="61" t="s">
        <v>8</v>
      </c>
      <c r="E80" s="61" t="s">
        <v>7</v>
      </c>
      <c r="F80" s="61" t="s">
        <v>125</v>
      </c>
      <c r="G80" s="61" t="str">
        <f t="shared" si="33"/>
        <v>Euribor3M</v>
      </c>
      <c r="H80" s="59" t="str">
        <f t="shared" si="34"/>
        <v>EUR3E6E5Y_LCHQuote</v>
      </c>
      <c r="I80" s="127">
        <v>0</v>
      </c>
      <c r="J80" s="64" t="str">
        <f>_xll.qlSwapRateHelper2(,$H80,2,$B80,Calendar,$D80,$E80,$F80,$G80,$I80,$C80,Discounting1,PillarDate,,Permanent,Trigger,ObjectOverwrite)</f>
        <v>obj_006d2#0001</v>
      </c>
      <c r="K80" s="64" t="str">
        <f>_xll.qlSwapRateHelper2(,$H80,2,$B80,Calendar,$D80,$E80,$F80,$G80,$I80,$C80,Discounting2,PillarDate,,Permanent,Trigger,ObjectOverwrite)</f>
        <v>obj_006d3#0001</v>
      </c>
      <c r="M80" s="71" t="str">
        <f t="shared" si="27"/>
        <v>BasSw</v>
      </c>
      <c r="N80" s="141" t="str">
        <f t="shared" si="28"/>
        <v>obj_006e4#0001</v>
      </c>
      <c r="O80" s="141" t="str">
        <f t="shared" si="29"/>
        <v>obj_006ab#0001</v>
      </c>
      <c r="P80" s="149" t="str">
        <f>IFERROR(_xll.qlRateHelperQuoteName(N80,Trigger),"--")</f>
        <v>EUR3E6E11Y_LCHQuote</v>
      </c>
      <c r="Q80" s="142" t="str">
        <f>IFERROR(_xll.qlRateHelperQuoteValue($N80,Trigger),"--")</f>
        <v>--</v>
      </c>
      <c r="R80" s="141" t="b">
        <v>0</v>
      </c>
      <c r="S80" s="141">
        <v>10</v>
      </c>
      <c r="T80" s="141">
        <v>1</v>
      </c>
      <c r="U80" s="143">
        <f>IFERROR(_xll.qlRateHelperEarliestDate(N80,Trigger),"--")</f>
        <v>42256</v>
      </c>
      <c r="V80" s="143">
        <f>IFERROR(_xll.qlRateHelperPillarDate(N80,Trigger),"--")</f>
        <v>46274</v>
      </c>
      <c r="X80" s="4" t="str">
        <f t="shared" si="30"/>
        <v/>
      </c>
      <c r="Y80" s="4" t="e">
        <v>#N/A</v>
      </c>
      <c r="Z80" s="4" t="e">
        <v>#N/A</v>
      </c>
      <c r="AA80" s="4" t="str">
        <f>IFERROR(_xll.qlRateHelperQuoteName(Y80,Trigger),"")</f>
        <v/>
      </c>
      <c r="AB80" s="70" t="str">
        <f>IFERROR(_xll.qlRateHelperRate(Y80,Trigger),"")</f>
        <v/>
      </c>
      <c r="AC80" s="104" t="str">
        <f>IF(ISERROR(_xll.qlSwapRateHelperSpread($Y80)),IF(ISERROR(_xll.qlFuturesRateHelperConvexityAdjustment($Y80)),"",_xll.qlFuturesRateHelperConvexityAdjustment($Y80)),_xll.qlSwapRateHelperSpread($Y80))</f>
        <v/>
      </c>
      <c r="AD80" s="5" t="str">
        <f>IFERROR(_xll.qlRateHelperEarliestDate(Y80,Trigger),"")</f>
        <v/>
      </c>
      <c r="AE80" s="5" t="str">
        <f>IFERROR(_xll.qlRateHelperPillarDate(Y80,Trigger),"")</f>
        <v/>
      </c>
      <c r="AF80" s="70" t="e">
        <v>#N/A</v>
      </c>
      <c r="AG80" s="77" t="e">
        <v>#N/A</v>
      </c>
      <c r="AH80" s="169" t="e">
        <v>#N/A</v>
      </c>
      <c r="AI80" s="170" t="e">
        <v>#N/A</v>
      </c>
      <c r="AJ80" s="172" t="e">
        <f t="shared" si="31"/>
        <v>#N/A</v>
      </c>
      <c r="AK80" s="80" t="e">
        <v>#N/A</v>
      </c>
      <c r="AL80" s="161" t="e">
        <f t="shared" si="32"/>
        <v>#N/A</v>
      </c>
    </row>
    <row r="81" spans="1:38" x14ac:dyDescent="0.2">
      <c r="A81" s="59" t="s">
        <v>118</v>
      </c>
      <c r="B81" s="116" t="s">
        <v>56</v>
      </c>
      <c r="C81" s="61" t="s">
        <v>6</v>
      </c>
      <c r="D81" s="61" t="s">
        <v>8</v>
      </c>
      <c r="E81" s="61" t="s">
        <v>7</v>
      </c>
      <c r="F81" s="61" t="s">
        <v>125</v>
      </c>
      <c r="G81" s="61" t="str">
        <f t="shared" si="33"/>
        <v>Euribor3M</v>
      </c>
      <c r="H81" s="59" t="str">
        <f t="shared" si="34"/>
        <v>EUR3E6E6Y_LCHQuote</v>
      </c>
      <c r="I81" s="127">
        <v>0</v>
      </c>
      <c r="J81" s="64" t="str">
        <f>_xll.qlSwapRateHelper2(,$H81,2,$B81,Calendar,$D81,$E81,$F81,$G81,$I81,$C81,Discounting1,PillarDate,,Permanent,Trigger,ObjectOverwrite)</f>
        <v>obj_006b9#0001</v>
      </c>
      <c r="K81" s="64" t="str">
        <f>_xll.qlSwapRateHelper2(,$H81,2,$B81,Calendar,$D81,$E81,$F81,$G81,$I81,$C81,Discounting2,PillarDate,,Permanent,Trigger,ObjectOverwrite)</f>
        <v>obj_006bc#0001</v>
      </c>
      <c r="M81" s="71" t="str">
        <f t="shared" si="27"/>
        <v>BasSw</v>
      </c>
      <c r="N81" s="141" t="str">
        <f t="shared" si="28"/>
        <v>obj_006ae#0001</v>
      </c>
      <c r="O81" s="141" t="str">
        <f t="shared" si="29"/>
        <v>obj_006ce#0001</v>
      </c>
      <c r="P81" s="149" t="str">
        <f>IFERROR(_xll.qlRateHelperQuoteName(N81,Trigger),"--")</f>
        <v>EUR3E6E12Y_LCHQuote</v>
      </c>
      <c r="Q81" s="142">
        <f>IFERROR(_xll.qlRateHelperQuoteValue($N81,Trigger),"--")</f>
        <v>1.0948299999999999E-2</v>
      </c>
      <c r="R81" s="141" t="b">
        <v>1</v>
      </c>
      <c r="S81" s="141">
        <v>10</v>
      </c>
      <c r="T81" s="141">
        <v>1</v>
      </c>
      <c r="U81" s="143">
        <f>IFERROR(_xll.qlRateHelperEarliestDate(N81,Trigger),"--")</f>
        <v>42256</v>
      </c>
      <c r="V81" s="143">
        <f>IFERROR(_xll.qlRateHelperPillarDate(N81,Trigger),"--")</f>
        <v>46639</v>
      </c>
      <c r="X81" s="4" t="str">
        <f t="shared" si="30"/>
        <v/>
      </c>
      <c r="Y81" s="4" t="e">
        <v>#N/A</v>
      </c>
      <c r="Z81" s="4" t="e">
        <v>#N/A</v>
      </c>
      <c r="AA81" s="4" t="str">
        <f>IFERROR(_xll.qlRateHelperQuoteName(Y81,Trigger),"")</f>
        <v/>
      </c>
      <c r="AB81" s="70" t="str">
        <f>IFERROR(_xll.qlRateHelperRate(Y81,Trigger),"")</f>
        <v/>
      </c>
      <c r="AC81" s="104" t="str">
        <f>IF(ISERROR(_xll.qlSwapRateHelperSpread($Y81)),IF(ISERROR(_xll.qlFuturesRateHelperConvexityAdjustment($Y81)),"",_xll.qlFuturesRateHelperConvexityAdjustment($Y81)),_xll.qlSwapRateHelperSpread($Y81))</f>
        <v/>
      </c>
      <c r="AD81" s="5" t="str">
        <f>IFERROR(_xll.qlRateHelperEarliestDate(Y81,Trigger),"")</f>
        <v/>
      </c>
      <c r="AE81" s="5" t="str">
        <f>IFERROR(_xll.qlRateHelperPillarDate(Y81,Trigger),"")</f>
        <v/>
      </c>
      <c r="AF81" s="70" t="e">
        <v>#N/A</v>
      </c>
      <c r="AG81" s="77" t="e">
        <v>#N/A</v>
      </c>
      <c r="AH81" s="169" t="e">
        <v>#N/A</v>
      </c>
      <c r="AI81" s="170" t="e">
        <v>#N/A</v>
      </c>
      <c r="AJ81" s="172" t="e">
        <f t="shared" si="31"/>
        <v>#N/A</v>
      </c>
      <c r="AK81" s="80" t="e">
        <v>#N/A</v>
      </c>
      <c r="AL81" s="161" t="e">
        <f t="shared" si="32"/>
        <v>#N/A</v>
      </c>
    </row>
    <row r="82" spans="1:38" x14ac:dyDescent="0.2">
      <c r="A82" s="59" t="s">
        <v>118</v>
      </c>
      <c r="B82" s="116" t="s">
        <v>57</v>
      </c>
      <c r="C82" s="61" t="s">
        <v>6</v>
      </c>
      <c r="D82" s="61" t="s">
        <v>8</v>
      </c>
      <c r="E82" s="61" t="s">
        <v>7</v>
      </c>
      <c r="F82" s="61" t="s">
        <v>125</v>
      </c>
      <c r="G82" s="61" t="str">
        <f t="shared" si="33"/>
        <v>Euribor3M</v>
      </c>
      <c r="H82" s="59" t="str">
        <f t="shared" si="34"/>
        <v>EUR3E6E7Y_LCHQuote</v>
      </c>
      <c r="I82" s="127">
        <v>0</v>
      </c>
      <c r="J82" s="64" t="str">
        <f>_xll.qlSwapRateHelper2(,$H82,2,$B82,Calendar,$D82,$E82,$F82,$G82,$I82,$C82,Discounting1,PillarDate,,Permanent,Trigger,ObjectOverwrite)</f>
        <v>obj_006bf#0001</v>
      </c>
      <c r="K82" s="64" t="str">
        <f>_xll.qlSwapRateHelper2(,$H82,2,$B82,Calendar,$D82,$E82,$F82,$G82,$I82,$C82,Discounting2,PillarDate,,Permanent,Trigger,ObjectOverwrite)</f>
        <v>obj_006b1#0001</v>
      </c>
      <c r="M82" s="71" t="str">
        <f t="shared" si="27"/>
        <v>BasSw</v>
      </c>
      <c r="N82" s="141" t="str">
        <f t="shared" si="28"/>
        <v>obj_006a7#0001</v>
      </c>
      <c r="O82" s="141" t="str">
        <f t="shared" si="29"/>
        <v>obj_006b5#0001</v>
      </c>
      <c r="P82" s="149" t="str">
        <f>IFERROR(_xll.qlRateHelperQuoteName(N82,Trigger),"--")</f>
        <v>EUR3E6E13Y_LCHQuote</v>
      </c>
      <c r="Q82" s="142" t="str">
        <f>IFERROR(_xll.qlRateHelperQuoteValue($N82,Trigger),"--")</f>
        <v>--</v>
      </c>
      <c r="R82" s="141" t="b">
        <v>0</v>
      </c>
      <c r="S82" s="141">
        <v>10</v>
      </c>
      <c r="T82" s="141">
        <v>1</v>
      </c>
      <c r="U82" s="143">
        <f>IFERROR(_xll.qlRateHelperEarliestDate(N82,Trigger),"--")</f>
        <v>42256</v>
      </c>
      <c r="V82" s="143">
        <f>IFERROR(_xll.qlRateHelperPillarDate(N82,Trigger),"--")</f>
        <v>47007</v>
      </c>
      <c r="X82" s="4" t="str">
        <f t="shared" si="30"/>
        <v/>
      </c>
      <c r="Y82" s="4" t="e">
        <v>#N/A</v>
      </c>
      <c r="Z82" s="4" t="e">
        <v>#N/A</v>
      </c>
      <c r="AA82" s="4" t="str">
        <f>IFERROR(_xll.qlRateHelperQuoteName(Y82,Trigger),"")</f>
        <v/>
      </c>
      <c r="AB82" s="70" t="str">
        <f>IFERROR(_xll.qlRateHelperRate(Y82,Trigger),"")</f>
        <v/>
      </c>
      <c r="AC82" s="104" t="str">
        <f>IF(ISERROR(_xll.qlSwapRateHelperSpread($Y82)),IF(ISERROR(_xll.qlFuturesRateHelperConvexityAdjustment($Y82)),"",_xll.qlFuturesRateHelperConvexityAdjustment($Y82)),_xll.qlSwapRateHelperSpread($Y82))</f>
        <v/>
      </c>
      <c r="AD82" s="5" t="str">
        <f>IFERROR(_xll.qlRateHelperEarliestDate(Y82,Trigger),"")</f>
        <v/>
      </c>
      <c r="AE82" s="5" t="str">
        <f>IFERROR(_xll.qlRateHelperPillarDate(Y82,Trigger),"")</f>
        <v/>
      </c>
      <c r="AF82" s="70" t="e">
        <v>#N/A</v>
      </c>
      <c r="AG82" s="77" t="e">
        <v>#N/A</v>
      </c>
      <c r="AH82" s="169" t="e">
        <v>#N/A</v>
      </c>
      <c r="AI82" s="170" t="e">
        <v>#N/A</v>
      </c>
      <c r="AJ82" s="172" t="e">
        <f t="shared" si="31"/>
        <v>#N/A</v>
      </c>
      <c r="AK82" s="80" t="e">
        <v>#N/A</v>
      </c>
      <c r="AL82" s="161" t="e">
        <f t="shared" si="32"/>
        <v>#N/A</v>
      </c>
    </row>
    <row r="83" spans="1:38" x14ac:dyDescent="0.2">
      <c r="A83" s="59" t="s">
        <v>118</v>
      </c>
      <c r="B83" s="116" t="s">
        <v>58</v>
      </c>
      <c r="C83" s="61" t="s">
        <v>6</v>
      </c>
      <c r="D83" s="61" t="s">
        <v>8</v>
      </c>
      <c r="E83" s="61" t="s">
        <v>7</v>
      </c>
      <c r="F83" s="61" t="s">
        <v>125</v>
      </c>
      <c r="G83" s="61" t="str">
        <f t="shared" si="33"/>
        <v>Euribor3M</v>
      </c>
      <c r="H83" s="59" t="str">
        <f t="shared" si="34"/>
        <v>EUR3E6E8Y_LCHQuote</v>
      </c>
      <c r="I83" s="127">
        <v>0</v>
      </c>
      <c r="J83" s="64" t="str">
        <f>_xll.qlSwapRateHelper2(,$H83,2,$B83,Calendar,$D83,$E83,$F83,$G83,$I83,$C83,Discounting1,PillarDate,,Permanent,Trigger,ObjectOverwrite)</f>
        <v>obj_006b0#0001</v>
      </c>
      <c r="K83" s="64" t="str">
        <f>_xll.qlSwapRateHelper2(,$H83,2,$B83,Calendar,$D83,$E83,$F83,$G83,$I83,$C83,Discounting2,PillarDate,,Permanent,Trigger,ObjectOverwrite)</f>
        <v>obj_006d0#0001</v>
      </c>
      <c r="M83" s="71" t="str">
        <f t="shared" si="27"/>
        <v>BasSw</v>
      </c>
      <c r="N83" s="141" t="str">
        <f t="shared" si="28"/>
        <v>obj_006d5#0001</v>
      </c>
      <c r="O83" s="141" t="str">
        <f t="shared" si="29"/>
        <v>obj_006a6#0001</v>
      </c>
      <c r="P83" s="149" t="str">
        <f>IFERROR(_xll.qlRateHelperQuoteName(N83,Trigger),"--")</f>
        <v>EUR3E6E14Y_LCHQuote</v>
      </c>
      <c r="Q83" s="142" t="str">
        <f>IFERROR(_xll.qlRateHelperQuoteValue($N83,Trigger),"--")</f>
        <v>--</v>
      </c>
      <c r="R83" s="141" t="b">
        <v>0</v>
      </c>
      <c r="S83" s="141">
        <v>10</v>
      </c>
      <c r="T83" s="141">
        <v>1</v>
      </c>
      <c r="U83" s="143">
        <f>IFERROR(_xll.qlRateHelperEarliestDate(N83,Trigger),"--")</f>
        <v>42256</v>
      </c>
      <c r="V83" s="143">
        <f>IFERROR(_xll.qlRateHelperPillarDate(N83,Trigger),"--")</f>
        <v>47371</v>
      </c>
      <c r="X83" s="4" t="str">
        <f t="shared" si="30"/>
        <v/>
      </c>
      <c r="Y83" s="4" t="e">
        <v>#N/A</v>
      </c>
      <c r="Z83" s="4" t="e">
        <v>#N/A</v>
      </c>
      <c r="AA83" s="4" t="str">
        <f>IFERROR(_xll.qlRateHelperQuoteName(Y83,Trigger),"")</f>
        <v/>
      </c>
      <c r="AB83" s="70" t="str">
        <f>IFERROR(_xll.qlRateHelperRate(Y83,Trigger),"")</f>
        <v/>
      </c>
      <c r="AC83" s="104" t="str">
        <f>IF(ISERROR(_xll.qlSwapRateHelperSpread($Y83)),IF(ISERROR(_xll.qlFuturesRateHelperConvexityAdjustment($Y83)),"",_xll.qlFuturesRateHelperConvexityAdjustment($Y83)),_xll.qlSwapRateHelperSpread($Y83))</f>
        <v/>
      </c>
      <c r="AD83" s="5" t="str">
        <f>IFERROR(_xll.qlRateHelperEarliestDate(Y83,Trigger),"")</f>
        <v/>
      </c>
      <c r="AE83" s="5" t="str">
        <f>IFERROR(_xll.qlRateHelperPillarDate(Y83,Trigger),"")</f>
        <v/>
      </c>
      <c r="AF83" s="70" t="e">
        <v>#N/A</v>
      </c>
      <c r="AG83" s="77" t="e">
        <v>#N/A</v>
      </c>
      <c r="AH83" s="169" t="e">
        <v>#N/A</v>
      </c>
      <c r="AI83" s="170" t="e">
        <v>#N/A</v>
      </c>
      <c r="AJ83" s="172" t="e">
        <f t="shared" si="31"/>
        <v>#N/A</v>
      </c>
      <c r="AK83" s="80" t="e">
        <v>#N/A</v>
      </c>
      <c r="AL83" s="161" t="e">
        <f t="shared" si="32"/>
        <v>#N/A</v>
      </c>
    </row>
    <row r="84" spans="1:38" x14ac:dyDescent="0.2">
      <c r="A84" s="59" t="s">
        <v>118</v>
      </c>
      <c r="B84" s="116" t="s">
        <v>59</v>
      </c>
      <c r="C84" s="61" t="s">
        <v>6</v>
      </c>
      <c r="D84" s="61" t="s">
        <v>8</v>
      </c>
      <c r="E84" s="61" t="s">
        <v>7</v>
      </c>
      <c r="F84" s="61" t="s">
        <v>125</v>
      </c>
      <c r="G84" s="61" t="str">
        <f t="shared" si="33"/>
        <v>Euribor3M</v>
      </c>
      <c r="H84" s="59" t="str">
        <f t="shared" si="34"/>
        <v>EUR3E6E9Y_LCHQuote</v>
      </c>
      <c r="I84" s="127">
        <v>0</v>
      </c>
      <c r="J84" s="64" t="str">
        <f>_xll.qlSwapRateHelper2(,$H84,2,$B84,Calendar,$D84,$E84,$F84,$G84,$I84,$C84,Discounting1,PillarDate,,Permanent,Trigger,ObjectOverwrite)</f>
        <v>obj_006c2#0001</v>
      </c>
      <c r="K84" s="64" t="str">
        <f>_xll.qlSwapRateHelper2(,$H84,2,$B84,Calendar,$D84,$E84,$F84,$G84,$I84,$C84,Discounting2,PillarDate,,Permanent,Trigger,ObjectOverwrite)</f>
        <v>obj_006a5#0001</v>
      </c>
      <c r="M84" s="71" t="str">
        <f t="shared" si="27"/>
        <v>BasSw</v>
      </c>
      <c r="N84" s="141" t="str">
        <f t="shared" si="28"/>
        <v>obj_0069b#0001</v>
      </c>
      <c r="O84" s="141" t="str">
        <f t="shared" si="29"/>
        <v>obj_0069e#0001</v>
      </c>
      <c r="P84" s="149" t="str">
        <f>IFERROR(_xll.qlRateHelperQuoteName(N84,Trigger),"--")</f>
        <v>EUR3E6E15Y_LCHQuote</v>
      </c>
      <c r="Q84" s="142">
        <f>IFERROR(_xll.qlRateHelperQuoteValue($N84,Trigger),"--")</f>
        <v>1.28708E-2</v>
      </c>
      <c r="R84" s="141" t="b">
        <v>1</v>
      </c>
      <c r="S84" s="141">
        <v>10</v>
      </c>
      <c r="T84" s="141">
        <v>1</v>
      </c>
      <c r="U84" s="143">
        <f>IFERROR(_xll.qlRateHelperEarliestDate(N84,Trigger),"--")</f>
        <v>42256</v>
      </c>
      <c r="V84" s="143">
        <f>IFERROR(_xll.qlRateHelperPillarDate(N84,Trigger),"--")</f>
        <v>47735</v>
      </c>
      <c r="X84" s="4" t="str">
        <f t="shared" si="30"/>
        <v/>
      </c>
      <c r="Y84" s="4" t="e">
        <v>#N/A</v>
      </c>
      <c r="Z84" s="4" t="e">
        <v>#N/A</v>
      </c>
      <c r="AA84" s="4" t="str">
        <f>IFERROR(_xll.qlRateHelperQuoteName(Y84,Trigger),"")</f>
        <v/>
      </c>
      <c r="AB84" s="70" t="str">
        <f>IFERROR(_xll.qlRateHelperRate(Y84,Trigger),"")</f>
        <v/>
      </c>
      <c r="AC84" s="104" t="str">
        <f>IF(ISERROR(_xll.qlSwapRateHelperSpread($Y84)),IF(ISERROR(_xll.qlFuturesRateHelperConvexityAdjustment($Y84)),"",_xll.qlFuturesRateHelperConvexityAdjustment($Y84)),_xll.qlSwapRateHelperSpread($Y84))</f>
        <v/>
      </c>
      <c r="AD84" s="5" t="str">
        <f>IFERROR(_xll.qlRateHelperEarliestDate(Y84,Trigger),"")</f>
        <v/>
      </c>
      <c r="AE84" s="5" t="str">
        <f>IFERROR(_xll.qlRateHelperPillarDate(Y84,Trigger),"")</f>
        <v/>
      </c>
      <c r="AF84" s="70" t="e">
        <v>#N/A</v>
      </c>
      <c r="AG84" s="77" t="e">
        <v>#N/A</v>
      </c>
      <c r="AH84" s="169" t="e">
        <v>#N/A</v>
      </c>
      <c r="AI84" s="170" t="e">
        <v>#N/A</v>
      </c>
      <c r="AJ84" s="172" t="e">
        <f t="shared" si="31"/>
        <v>#N/A</v>
      </c>
      <c r="AK84" s="80" t="e">
        <v>#N/A</v>
      </c>
      <c r="AL84" s="161" t="e">
        <f t="shared" si="32"/>
        <v>#N/A</v>
      </c>
    </row>
    <row r="85" spans="1:38" x14ac:dyDescent="0.2">
      <c r="A85" s="59" t="s">
        <v>118</v>
      </c>
      <c r="B85" s="116" t="s">
        <v>60</v>
      </c>
      <c r="C85" s="61" t="s">
        <v>6</v>
      </c>
      <c r="D85" s="61" t="s">
        <v>8</v>
      </c>
      <c r="E85" s="61" t="s">
        <v>7</v>
      </c>
      <c r="F85" s="61" t="s">
        <v>125</v>
      </c>
      <c r="G85" s="61" t="str">
        <f t="shared" si="33"/>
        <v>Euribor3M</v>
      </c>
      <c r="H85" s="59" t="str">
        <f t="shared" si="34"/>
        <v>EUR3E6E10Y_LCHQuote</v>
      </c>
      <c r="I85" s="127">
        <v>0</v>
      </c>
      <c r="J85" s="64" t="str">
        <f>_xll.qlSwapRateHelper2(,$H85,2,$B85,Calendar,$D85,$E85,$F85,$G85,$I85,$C85,Discounting1,PillarDate,,Permanent,Trigger,ObjectOverwrite)</f>
        <v>obj_006ac#0001</v>
      </c>
      <c r="K85" s="64" t="str">
        <f>_xll.qlSwapRateHelper2(,$H85,2,$B85,Calendar,$D85,$E85,$F85,$G85,$I85,$C85,Discounting2,PillarDate,,Permanent,Trigger,ObjectOverwrite)</f>
        <v>obj_006ad#0001</v>
      </c>
      <c r="M85" s="71" t="str">
        <f t="shared" si="27"/>
        <v>BasSw</v>
      </c>
      <c r="N85" s="141" t="str">
        <f t="shared" si="28"/>
        <v>obj_006cb#0001</v>
      </c>
      <c r="O85" s="141" t="str">
        <f t="shared" si="29"/>
        <v>obj_006af#0001</v>
      </c>
      <c r="P85" s="149" t="str">
        <f>IFERROR(_xll.qlRateHelperQuoteName(N85,Trigger),"--")</f>
        <v>EUR3E6E16Y_LCHQuote</v>
      </c>
      <c r="Q85" s="142" t="str">
        <f>IFERROR(_xll.qlRateHelperQuoteValue($N85,Trigger),"--")</f>
        <v>--</v>
      </c>
      <c r="R85" s="141" t="b">
        <v>0</v>
      </c>
      <c r="S85" s="141">
        <v>10</v>
      </c>
      <c r="T85" s="141">
        <v>1</v>
      </c>
      <c r="U85" s="143">
        <f>IFERROR(_xll.qlRateHelperEarliestDate(N85,Trigger),"--")</f>
        <v>42256</v>
      </c>
      <c r="V85" s="143">
        <f>IFERROR(_xll.qlRateHelperPillarDate(N85,Trigger),"--")</f>
        <v>48100</v>
      </c>
      <c r="X85" s="4" t="str">
        <f t="shared" si="30"/>
        <v/>
      </c>
      <c r="Y85" s="4" t="e">
        <v>#N/A</v>
      </c>
      <c r="Z85" s="4" t="e">
        <v>#N/A</v>
      </c>
      <c r="AA85" s="4" t="str">
        <f>IFERROR(_xll.qlRateHelperQuoteName(Y85,Trigger),"")</f>
        <v/>
      </c>
      <c r="AB85" s="70" t="str">
        <f>IFERROR(_xll.qlRateHelperRate(Y85,Trigger),"")</f>
        <v/>
      </c>
      <c r="AC85" s="104" t="str">
        <f>IF(ISERROR(_xll.qlSwapRateHelperSpread($Y85)),IF(ISERROR(_xll.qlFuturesRateHelperConvexityAdjustment($Y85)),"",_xll.qlFuturesRateHelperConvexityAdjustment($Y85)),_xll.qlSwapRateHelperSpread($Y85))</f>
        <v/>
      </c>
      <c r="AD85" s="5" t="str">
        <f>IFERROR(_xll.qlRateHelperEarliestDate(Y85,Trigger),"")</f>
        <v/>
      </c>
      <c r="AE85" s="5" t="str">
        <f>IFERROR(_xll.qlRateHelperPillarDate(Y85,Trigger),"")</f>
        <v/>
      </c>
      <c r="AF85" s="70" t="e">
        <v>#N/A</v>
      </c>
      <c r="AG85" s="77" t="e">
        <v>#N/A</v>
      </c>
      <c r="AH85" s="169" t="e">
        <v>#N/A</v>
      </c>
      <c r="AI85" s="170" t="e">
        <v>#N/A</v>
      </c>
      <c r="AJ85" s="172" t="e">
        <f t="shared" si="31"/>
        <v>#N/A</v>
      </c>
      <c r="AK85" s="80" t="e">
        <v>#N/A</v>
      </c>
      <c r="AL85" s="161" t="e">
        <f t="shared" si="32"/>
        <v>#N/A</v>
      </c>
    </row>
    <row r="86" spans="1:38" x14ac:dyDescent="0.2">
      <c r="A86" s="59" t="s">
        <v>118</v>
      </c>
      <c r="B86" s="116" t="s">
        <v>98</v>
      </c>
      <c r="C86" s="61" t="s">
        <v>6</v>
      </c>
      <c r="D86" s="61" t="s">
        <v>8</v>
      </c>
      <c r="E86" s="61" t="s">
        <v>7</v>
      </c>
      <c r="F86" s="61" t="s">
        <v>125</v>
      </c>
      <c r="G86" s="61" t="str">
        <f t="shared" si="33"/>
        <v>Euribor3M</v>
      </c>
      <c r="H86" s="59" t="str">
        <f t="shared" si="34"/>
        <v>EUR3E6E11Y_LCHQuote</v>
      </c>
      <c r="I86" s="127">
        <v>0</v>
      </c>
      <c r="J86" s="64" t="str">
        <f>_xll.qlSwapRateHelper2(,$H86,2,$B86,Calendar,$D86,$E86,$F86,$G86,$I86,$C86,Discounting1,PillarDate,,Permanent,Trigger,ObjectOverwrite)</f>
        <v>obj_006e4#0001</v>
      </c>
      <c r="K86" s="64" t="str">
        <f>_xll.qlSwapRateHelper2(,$H86,2,$B86,Calendar,$D86,$E86,$F86,$G86,$I86,$C86,Discounting2,PillarDate,,Permanent,Trigger,ObjectOverwrite)</f>
        <v>obj_006ab#0001</v>
      </c>
      <c r="M86" s="71" t="str">
        <f t="shared" si="27"/>
        <v>BasSw</v>
      </c>
      <c r="N86" s="141" t="str">
        <f t="shared" si="28"/>
        <v>obj_006d9#0001</v>
      </c>
      <c r="O86" s="141" t="str">
        <f t="shared" si="29"/>
        <v>obj_006b7#0001</v>
      </c>
      <c r="P86" s="149" t="str">
        <f>IFERROR(_xll.qlRateHelperQuoteName(N86,Trigger),"--")</f>
        <v>EUR3E6E17Y_LCHQuote</v>
      </c>
      <c r="Q86" s="142" t="str">
        <f>IFERROR(_xll.qlRateHelperQuoteValue($N86,Trigger),"--")</f>
        <v>--</v>
      </c>
      <c r="R86" s="141" t="b">
        <v>0</v>
      </c>
      <c r="S86" s="141">
        <v>10</v>
      </c>
      <c r="T86" s="141">
        <v>1</v>
      </c>
      <c r="U86" s="143">
        <f>IFERROR(_xll.qlRateHelperEarliestDate(N86,Trigger),"--")</f>
        <v>42256</v>
      </c>
      <c r="V86" s="143">
        <f>IFERROR(_xll.qlRateHelperPillarDate(N86,Trigger),"--")</f>
        <v>48466</v>
      </c>
      <c r="X86" s="4" t="str">
        <f t="shared" si="30"/>
        <v/>
      </c>
      <c r="Y86" s="4" t="e">
        <v>#N/A</v>
      </c>
      <c r="Z86" s="4" t="e">
        <v>#N/A</v>
      </c>
      <c r="AA86" s="4" t="str">
        <f>IFERROR(_xll.qlRateHelperQuoteName(Y86,Trigger),"")</f>
        <v/>
      </c>
      <c r="AB86" s="70" t="str">
        <f>IFERROR(_xll.qlRateHelperRate(Y86,Trigger),"")</f>
        <v/>
      </c>
      <c r="AC86" s="104" t="str">
        <f>IF(ISERROR(_xll.qlSwapRateHelperSpread($Y86)),IF(ISERROR(_xll.qlFuturesRateHelperConvexityAdjustment($Y86)),"",_xll.qlFuturesRateHelperConvexityAdjustment($Y86)),_xll.qlSwapRateHelperSpread($Y86))</f>
        <v/>
      </c>
      <c r="AD86" s="5" t="str">
        <f>IFERROR(_xll.qlRateHelperEarliestDate(Y86,Trigger),"")</f>
        <v/>
      </c>
      <c r="AE86" s="5" t="str">
        <f>IFERROR(_xll.qlRateHelperPillarDate(Y86,Trigger),"")</f>
        <v/>
      </c>
      <c r="AF86" s="70" t="e">
        <v>#N/A</v>
      </c>
      <c r="AG86" s="77" t="e">
        <v>#N/A</v>
      </c>
      <c r="AH86" s="169" t="e">
        <v>#N/A</v>
      </c>
      <c r="AI86" s="170" t="e">
        <v>#N/A</v>
      </c>
      <c r="AJ86" s="172" t="e">
        <f t="shared" si="31"/>
        <v>#N/A</v>
      </c>
      <c r="AK86" s="80" t="e">
        <v>#N/A</v>
      </c>
      <c r="AL86" s="161" t="e">
        <f t="shared" si="32"/>
        <v>#N/A</v>
      </c>
    </row>
    <row r="87" spans="1:38" x14ac:dyDescent="0.2">
      <c r="A87" s="59" t="s">
        <v>118</v>
      </c>
      <c r="B87" s="116" t="s">
        <v>61</v>
      </c>
      <c r="C87" s="61" t="s">
        <v>6</v>
      </c>
      <c r="D87" s="61" t="s">
        <v>8</v>
      </c>
      <c r="E87" s="61" t="s">
        <v>7</v>
      </c>
      <c r="F87" s="61" t="s">
        <v>125</v>
      </c>
      <c r="G87" s="61" t="str">
        <f t="shared" si="33"/>
        <v>Euribor3M</v>
      </c>
      <c r="H87" s="59" t="str">
        <f t="shared" si="34"/>
        <v>EUR3E6E12Y_LCHQuote</v>
      </c>
      <c r="I87" s="127">
        <v>0</v>
      </c>
      <c r="J87" s="64" t="str">
        <f>_xll.qlSwapRateHelper2(,$H87,2,$B87,Calendar,$D87,$E87,$F87,$G87,$I87,$C87,Discounting1,PillarDate,,Permanent,Trigger,ObjectOverwrite)</f>
        <v>obj_006ae#0001</v>
      </c>
      <c r="K87" s="64" t="str">
        <f>_xll.qlSwapRateHelper2(,$H87,2,$B87,Calendar,$D87,$E87,$F87,$G87,$I87,$C87,Discounting2,PillarDate,,Permanent,Trigger,ObjectOverwrite)</f>
        <v>obj_006ce#0001</v>
      </c>
      <c r="M87" s="71" t="str">
        <f t="shared" si="27"/>
        <v>BasSw</v>
      </c>
      <c r="N87" s="141" t="str">
        <f t="shared" si="28"/>
        <v>obj_006e2#0001</v>
      </c>
      <c r="O87" s="141" t="str">
        <f t="shared" si="29"/>
        <v>obj_006d6#0001</v>
      </c>
      <c r="P87" s="149" t="str">
        <f>IFERROR(_xll.qlRateHelperQuoteName(N87,Trigger),"--")</f>
        <v>EUR3E6E18Y_LCHQuote</v>
      </c>
      <c r="Q87" s="142" t="str">
        <f>IFERROR(_xll.qlRateHelperQuoteValue($N87,Trigger),"--")</f>
        <v>--</v>
      </c>
      <c r="R87" s="141" t="b">
        <v>0</v>
      </c>
      <c r="S87" s="141">
        <v>10</v>
      </c>
      <c r="T87" s="141">
        <v>1</v>
      </c>
      <c r="U87" s="143">
        <f>IFERROR(_xll.qlRateHelperEarliestDate(N87,Trigger),"--")</f>
        <v>42256</v>
      </c>
      <c r="V87" s="143">
        <f>IFERROR(_xll.qlRateHelperPillarDate(N87,Trigger),"--")</f>
        <v>48831</v>
      </c>
      <c r="X87" s="4" t="str">
        <f t="shared" si="30"/>
        <v/>
      </c>
      <c r="Y87" s="4" t="e">
        <v>#N/A</v>
      </c>
      <c r="Z87" s="4" t="e">
        <v>#N/A</v>
      </c>
      <c r="AA87" s="4" t="str">
        <f>IFERROR(_xll.qlRateHelperQuoteName(Y87,Trigger),"")</f>
        <v/>
      </c>
      <c r="AB87" s="70" t="str">
        <f>IFERROR(_xll.qlRateHelperRate(Y87,Trigger),"")</f>
        <v/>
      </c>
      <c r="AC87" s="104" t="str">
        <f>IF(ISERROR(_xll.qlSwapRateHelperSpread($Y87)),IF(ISERROR(_xll.qlFuturesRateHelperConvexityAdjustment($Y87)),"",_xll.qlFuturesRateHelperConvexityAdjustment($Y87)),_xll.qlSwapRateHelperSpread($Y87))</f>
        <v/>
      </c>
      <c r="AD87" s="5" t="str">
        <f>IFERROR(_xll.qlRateHelperEarliestDate(Y87,Trigger),"")</f>
        <v/>
      </c>
      <c r="AE87" s="5" t="str">
        <f>IFERROR(_xll.qlRateHelperPillarDate(Y87,Trigger),"")</f>
        <v/>
      </c>
      <c r="AF87" s="70" t="e">
        <v>#N/A</v>
      </c>
      <c r="AG87" s="77" t="e">
        <v>#N/A</v>
      </c>
      <c r="AH87" s="169" t="e">
        <v>#N/A</v>
      </c>
      <c r="AI87" s="170" t="e">
        <v>#N/A</v>
      </c>
      <c r="AJ87" s="172" t="e">
        <f t="shared" si="31"/>
        <v>#N/A</v>
      </c>
      <c r="AK87" s="80" t="e">
        <v>#N/A</v>
      </c>
      <c r="AL87" s="161" t="e">
        <f t="shared" si="32"/>
        <v>#N/A</v>
      </c>
    </row>
    <row r="88" spans="1:38" x14ac:dyDescent="0.2">
      <c r="A88" s="59" t="s">
        <v>118</v>
      </c>
      <c r="B88" s="116" t="s">
        <v>99</v>
      </c>
      <c r="C88" s="61" t="s">
        <v>6</v>
      </c>
      <c r="D88" s="61" t="s">
        <v>8</v>
      </c>
      <c r="E88" s="61" t="s">
        <v>7</v>
      </c>
      <c r="F88" s="61" t="s">
        <v>125</v>
      </c>
      <c r="G88" s="61" t="str">
        <f t="shared" si="33"/>
        <v>Euribor3M</v>
      </c>
      <c r="H88" s="59" t="str">
        <f t="shared" si="34"/>
        <v>EUR3E6E13Y_LCHQuote</v>
      </c>
      <c r="I88" s="127">
        <v>0</v>
      </c>
      <c r="J88" s="64" t="str">
        <f>_xll.qlSwapRateHelper2(,$H88,2,$B88,Calendar,$D88,$E88,$F88,$G88,$I88,$C88,Discounting1,PillarDate,,Permanent,Trigger,ObjectOverwrite)</f>
        <v>obj_006a7#0001</v>
      </c>
      <c r="K88" s="64" t="str">
        <f>_xll.qlSwapRateHelper2(,$H88,2,$B88,Calendar,$D88,$E88,$F88,$G88,$I88,$C88,Discounting2,PillarDate,,Permanent,Trigger,ObjectOverwrite)</f>
        <v>obj_006b5#0001</v>
      </c>
      <c r="M88" s="71" t="str">
        <f t="shared" si="27"/>
        <v>BasSw</v>
      </c>
      <c r="N88" s="141" t="str">
        <f t="shared" si="28"/>
        <v>obj_006e3#0001</v>
      </c>
      <c r="O88" s="141" t="str">
        <f t="shared" si="29"/>
        <v>obj_006db#0001</v>
      </c>
      <c r="P88" s="149" t="str">
        <f>IFERROR(_xll.qlRateHelperQuoteName(N88,Trigger),"--")</f>
        <v>EUR3E6E19Y_LCHQuote</v>
      </c>
      <c r="Q88" s="142" t="str">
        <f>IFERROR(_xll.qlRateHelperQuoteValue($N88,Trigger),"--")</f>
        <v>--</v>
      </c>
      <c r="R88" s="141" t="b">
        <v>0</v>
      </c>
      <c r="S88" s="141">
        <v>10</v>
      </c>
      <c r="T88" s="141">
        <v>1</v>
      </c>
      <c r="U88" s="143">
        <f>IFERROR(_xll.qlRateHelperEarliestDate(N88,Trigger),"--")</f>
        <v>42256</v>
      </c>
      <c r="V88" s="143">
        <f>IFERROR(_xll.qlRateHelperPillarDate(N88,Trigger),"--")</f>
        <v>49198</v>
      </c>
      <c r="X88" s="4" t="str">
        <f t="shared" si="30"/>
        <v/>
      </c>
      <c r="Y88" s="4" t="e">
        <v>#N/A</v>
      </c>
      <c r="Z88" s="4" t="e">
        <v>#N/A</v>
      </c>
      <c r="AA88" s="4" t="str">
        <f>IFERROR(_xll.qlRateHelperQuoteName(Y88,Trigger),"")</f>
        <v/>
      </c>
      <c r="AB88" s="70" t="str">
        <f>IFERROR(_xll.qlRateHelperRate(Y88,Trigger),"")</f>
        <v/>
      </c>
      <c r="AC88" s="104" t="str">
        <f>IF(ISERROR(_xll.qlSwapRateHelperSpread($Y88)),IF(ISERROR(_xll.qlFuturesRateHelperConvexityAdjustment($Y88)),"",_xll.qlFuturesRateHelperConvexityAdjustment($Y88)),_xll.qlSwapRateHelperSpread($Y88))</f>
        <v/>
      </c>
      <c r="AD88" s="5" t="str">
        <f>IFERROR(_xll.qlRateHelperEarliestDate(Y88,Trigger),"")</f>
        <v/>
      </c>
      <c r="AE88" s="5" t="str">
        <f>IFERROR(_xll.qlRateHelperPillarDate(Y88,Trigger),"")</f>
        <v/>
      </c>
      <c r="AF88" s="70" t="e">
        <v>#N/A</v>
      </c>
      <c r="AG88" s="77" t="e">
        <v>#N/A</v>
      </c>
      <c r="AH88" s="169" t="e">
        <v>#N/A</v>
      </c>
      <c r="AI88" s="170" t="e">
        <v>#N/A</v>
      </c>
      <c r="AJ88" s="172" t="e">
        <f t="shared" si="31"/>
        <v>#N/A</v>
      </c>
      <c r="AK88" s="80" t="e">
        <v>#N/A</v>
      </c>
      <c r="AL88" s="161" t="e">
        <f t="shared" si="32"/>
        <v>#N/A</v>
      </c>
    </row>
    <row r="89" spans="1:38" x14ac:dyDescent="0.2">
      <c r="A89" s="59" t="s">
        <v>118</v>
      </c>
      <c r="B89" s="116" t="s">
        <v>100</v>
      </c>
      <c r="C89" s="61" t="s">
        <v>6</v>
      </c>
      <c r="D89" s="61" t="s">
        <v>8</v>
      </c>
      <c r="E89" s="61" t="s">
        <v>7</v>
      </c>
      <c r="F89" s="61" t="s">
        <v>125</v>
      </c>
      <c r="G89" s="61" t="str">
        <f t="shared" si="33"/>
        <v>Euribor3M</v>
      </c>
      <c r="H89" s="59" t="str">
        <f t="shared" si="34"/>
        <v>EUR3E6E14Y_LCHQuote</v>
      </c>
      <c r="I89" s="127">
        <v>0</v>
      </c>
      <c r="J89" s="64" t="str">
        <f>_xll.qlSwapRateHelper2(,$H89,2,$B89,Calendar,$D89,$E89,$F89,$G89,$I89,$C89,Discounting1,PillarDate,,Permanent,Trigger,ObjectOverwrite)</f>
        <v>obj_006d5#0001</v>
      </c>
      <c r="K89" s="64" t="str">
        <f>_xll.qlSwapRateHelper2(,$H89,2,$B89,Calendar,$D89,$E89,$F89,$G89,$I89,$C89,Discounting2,PillarDate,,Permanent,Trigger,ObjectOverwrite)</f>
        <v>obj_006a6#0001</v>
      </c>
      <c r="M89" s="71" t="str">
        <f t="shared" si="27"/>
        <v>BasSw</v>
      </c>
      <c r="N89" s="141" t="str">
        <f t="shared" si="28"/>
        <v>obj_006d7#0001</v>
      </c>
      <c r="O89" s="141" t="str">
        <f t="shared" si="29"/>
        <v>obj_006b2#0001</v>
      </c>
      <c r="P89" s="149" t="str">
        <f>IFERROR(_xll.qlRateHelperQuoteName(N89,Trigger),"--")</f>
        <v>EUR3E6E20Y_LCHQuote</v>
      </c>
      <c r="Q89" s="142">
        <f>IFERROR(_xll.qlRateHelperQuoteValue($N89,Trigger),"--")</f>
        <v>1.44628E-2</v>
      </c>
      <c r="R89" s="141" t="b">
        <v>1</v>
      </c>
      <c r="S89" s="141">
        <v>10</v>
      </c>
      <c r="T89" s="141">
        <v>1</v>
      </c>
      <c r="U89" s="143">
        <f>IFERROR(_xll.qlRateHelperEarliestDate(N89,Trigger),"--")</f>
        <v>42256</v>
      </c>
      <c r="V89" s="143">
        <f>IFERROR(_xll.qlRateHelperPillarDate(N89,Trigger),"--")</f>
        <v>49562</v>
      </c>
      <c r="X89" s="4" t="str">
        <f t="shared" si="30"/>
        <v/>
      </c>
      <c r="Y89" s="4" t="e">
        <v>#N/A</v>
      </c>
      <c r="Z89" s="4" t="e">
        <v>#N/A</v>
      </c>
      <c r="AA89" s="4" t="str">
        <f>IFERROR(_xll.qlRateHelperQuoteName(Y89,Trigger),"")</f>
        <v/>
      </c>
      <c r="AB89" s="70" t="str">
        <f>IFERROR(_xll.qlRateHelperRate(Y89,Trigger),"")</f>
        <v/>
      </c>
      <c r="AC89" s="104" t="str">
        <f>IF(ISERROR(_xll.qlSwapRateHelperSpread($Y89)),IF(ISERROR(_xll.qlFuturesRateHelperConvexityAdjustment($Y89)),"",_xll.qlFuturesRateHelperConvexityAdjustment($Y89)),_xll.qlSwapRateHelperSpread($Y89))</f>
        <v/>
      </c>
      <c r="AD89" s="5" t="str">
        <f>IFERROR(_xll.qlRateHelperEarliestDate(Y89,Trigger),"")</f>
        <v/>
      </c>
      <c r="AE89" s="5" t="str">
        <f>IFERROR(_xll.qlRateHelperPillarDate(Y89,Trigger),"")</f>
        <v/>
      </c>
      <c r="AF89" s="70" t="e">
        <v>#N/A</v>
      </c>
      <c r="AG89" s="77" t="e">
        <v>#N/A</v>
      </c>
      <c r="AH89" s="169" t="e">
        <v>#N/A</v>
      </c>
      <c r="AI89" s="170" t="e">
        <v>#N/A</v>
      </c>
      <c r="AJ89" s="172" t="e">
        <f t="shared" si="31"/>
        <v>#N/A</v>
      </c>
      <c r="AK89" s="80" t="e">
        <v>#N/A</v>
      </c>
      <c r="AL89" s="161" t="e">
        <f t="shared" si="32"/>
        <v>#N/A</v>
      </c>
    </row>
    <row r="90" spans="1:38" x14ac:dyDescent="0.2">
      <c r="A90" s="59" t="s">
        <v>118</v>
      </c>
      <c r="B90" s="116" t="s">
        <v>62</v>
      </c>
      <c r="C90" s="61" t="s">
        <v>6</v>
      </c>
      <c r="D90" s="61" t="s">
        <v>8</v>
      </c>
      <c r="E90" s="61" t="s">
        <v>7</v>
      </c>
      <c r="F90" s="61" t="s">
        <v>125</v>
      </c>
      <c r="G90" s="61" t="str">
        <f t="shared" si="33"/>
        <v>Euribor3M</v>
      </c>
      <c r="H90" s="59" t="str">
        <f t="shared" si="34"/>
        <v>EUR3E6E15Y_LCHQuote</v>
      </c>
      <c r="I90" s="127">
        <v>0</v>
      </c>
      <c r="J90" s="64" t="str">
        <f>_xll.qlSwapRateHelper2(,$H90,2,$B90,Calendar,$D90,$E90,$F90,$G90,$I90,$C90,Discounting1,PillarDate,,Permanent,Trigger,ObjectOverwrite)</f>
        <v>obj_0069b#0001</v>
      </c>
      <c r="K90" s="64" t="str">
        <f>_xll.qlSwapRateHelper2(,$H90,2,$B90,Calendar,$D90,$E90,$F90,$G90,$I90,$C90,Discounting2,PillarDate,,Permanent,Trigger,ObjectOverwrite)</f>
        <v>obj_0069e#0001</v>
      </c>
      <c r="L90" s="46" t="s">
        <v>36</v>
      </c>
      <c r="M90" s="71" t="str">
        <f t="shared" si="27"/>
        <v>BasSw</v>
      </c>
      <c r="N90" s="141" t="str">
        <f t="shared" si="28"/>
        <v>obj_006c7#0001</v>
      </c>
      <c r="O90" s="141" t="str">
        <f t="shared" si="29"/>
        <v>obj_006a9#0001</v>
      </c>
      <c r="P90" s="149" t="str">
        <f>IFERROR(_xll.qlRateHelperQuoteName(N90,Trigger),"--")</f>
        <v>EUR3E6E21Y_LCHQuote</v>
      </c>
      <c r="Q90" s="142" t="str">
        <f>IFERROR(_xll.qlRateHelperQuoteValue($N90,Trigger),"--")</f>
        <v>--</v>
      </c>
      <c r="R90" s="141" t="b">
        <v>0</v>
      </c>
      <c r="S90" s="141">
        <v>10</v>
      </c>
      <c r="T90" s="141">
        <v>1</v>
      </c>
      <c r="U90" s="143">
        <f>IFERROR(_xll.qlRateHelperEarliestDate(N90,Trigger),"--")</f>
        <v>42256</v>
      </c>
      <c r="V90" s="143">
        <f>IFERROR(_xll.qlRateHelperPillarDate(N90,Trigger),"--")</f>
        <v>49927</v>
      </c>
      <c r="X90" s="4" t="str">
        <f t="shared" si="30"/>
        <v/>
      </c>
      <c r="Y90" s="4" t="e">
        <v>#N/A</v>
      </c>
      <c r="Z90" s="4" t="e">
        <v>#N/A</v>
      </c>
      <c r="AA90" s="4" t="str">
        <f>IFERROR(_xll.qlRateHelperQuoteName(Y90,Trigger),"")</f>
        <v/>
      </c>
      <c r="AB90" s="70" t="str">
        <f>IFERROR(_xll.qlRateHelperRate(Y90,Trigger),"")</f>
        <v/>
      </c>
      <c r="AC90" s="104" t="str">
        <f>IF(ISERROR(_xll.qlSwapRateHelperSpread($Y90)),IF(ISERROR(_xll.qlFuturesRateHelperConvexityAdjustment($Y90)),"",_xll.qlFuturesRateHelperConvexityAdjustment($Y90)),_xll.qlSwapRateHelperSpread($Y90))</f>
        <v/>
      </c>
      <c r="AD90" s="5" t="str">
        <f>IFERROR(_xll.qlRateHelperEarliestDate(Y90,Trigger),"")</f>
        <v/>
      </c>
      <c r="AE90" s="5" t="str">
        <f>IFERROR(_xll.qlRateHelperPillarDate(Y90,Trigger),"")</f>
        <v/>
      </c>
      <c r="AF90" s="70" t="e">
        <v>#N/A</v>
      </c>
      <c r="AG90" s="77" t="e">
        <v>#N/A</v>
      </c>
      <c r="AH90" s="169" t="e">
        <v>#N/A</v>
      </c>
      <c r="AI90" s="170" t="e">
        <v>#N/A</v>
      </c>
      <c r="AJ90" s="172" t="e">
        <f t="shared" si="31"/>
        <v>#N/A</v>
      </c>
      <c r="AK90" s="80" t="e">
        <v>#N/A</v>
      </c>
      <c r="AL90" s="161" t="e">
        <f t="shared" si="32"/>
        <v>#N/A</v>
      </c>
    </row>
    <row r="91" spans="1:38" x14ac:dyDescent="0.2">
      <c r="A91" s="59" t="s">
        <v>118</v>
      </c>
      <c r="B91" s="116" t="s">
        <v>101</v>
      </c>
      <c r="C91" s="61" t="s">
        <v>6</v>
      </c>
      <c r="D91" s="61" t="s">
        <v>8</v>
      </c>
      <c r="E91" s="61" t="s">
        <v>7</v>
      </c>
      <c r="F91" s="61" t="s">
        <v>125</v>
      </c>
      <c r="G91" s="61" t="str">
        <f t="shared" si="33"/>
        <v>Euribor3M</v>
      </c>
      <c r="H91" s="59" t="str">
        <f t="shared" si="34"/>
        <v>EUR3E6E16Y_LCHQuote</v>
      </c>
      <c r="I91" s="127">
        <v>0</v>
      </c>
      <c r="J91" s="64" t="str">
        <f>_xll.qlSwapRateHelper2(,$H91,2,$B91,Calendar,$D91,$E91,$F91,$G91,$I91,$C91,Discounting1,PillarDate,,Permanent,Trigger,ObjectOverwrite)</f>
        <v>obj_006cb#0001</v>
      </c>
      <c r="K91" s="64" t="str">
        <f>_xll.qlSwapRateHelper2(,$H91,2,$B91,Calendar,$D91,$E91,$F91,$G91,$I91,$C91,Discounting2,PillarDate,,Permanent,Trigger,ObjectOverwrite)</f>
        <v>obj_006af#0001</v>
      </c>
      <c r="M91" s="71" t="str">
        <f t="shared" si="27"/>
        <v>BasSw</v>
      </c>
      <c r="N91" s="141" t="str">
        <f t="shared" si="28"/>
        <v>obj_006b4#0001</v>
      </c>
      <c r="O91" s="141" t="str">
        <f t="shared" si="29"/>
        <v>obj_006bd#0001</v>
      </c>
      <c r="P91" s="149" t="str">
        <f>IFERROR(_xll.qlRateHelperQuoteName(N91,Trigger),"--")</f>
        <v>EUR3E6E22Y_LCHQuote</v>
      </c>
      <c r="Q91" s="142" t="str">
        <f>IFERROR(_xll.qlRateHelperQuoteValue($N91,Trigger),"--")</f>
        <v>--</v>
      </c>
      <c r="R91" s="141" t="b">
        <v>0</v>
      </c>
      <c r="S91" s="141">
        <v>10</v>
      </c>
      <c r="T91" s="141">
        <v>1</v>
      </c>
      <c r="U91" s="143">
        <f>IFERROR(_xll.qlRateHelperEarliestDate(N91,Trigger),"--")</f>
        <v>42256</v>
      </c>
      <c r="V91" s="143">
        <f>IFERROR(_xll.qlRateHelperPillarDate(N91,Trigger),"--")</f>
        <v>50292</v>
      </c>
      <c r="X91" s="4" t="str">
        <f t="shared" si="30"/>
        <v/>
      </c>
      <c r="Y91" s="4" t="e">
        <v>#N/A</v>
      </c>
      <c r="Z91" s="4" t="e">
        <v>#N/A</v>
      </c>
      <c r="AA91" s="4" t="str">
        <f>IFERROR(_xll.qlRateHelperQuoteName(Y91,Trigger),"")</f>
        <v/>
      </c>
      <c r="AB91" s="70" t="str">
        <f>IFERROR(_xll.qlRateHelperRate(Y91,Trigger),"")</f>
        <v/>
      </c>
      <c r="AC91" s="104" t="str">
        <f>IF(ISERROR(_xll.qlSwapRateHelperSpread($Y91)),IF(ISERROR(_xll.qlFuturesRateHelperConvexityAdjustment($Y91)),"",_xll.qlFuturesRateHelperConvexityAdjustment($Y91)),_xll.qlSwapRateHelperSpread($Y91))</f>
        <v/>
      </c>
      <c r="AD91" s="5" t="str">
        <f>IFERROR(_xll.qlRateHelperEarliestDate(Y91,Trigger),"")</f>
        <v/>
      </c>
      <c r="AE91" s="5" t="str">
        <f>IFERROR(_xll.qlRateHelperPillarDate(Y91,Trigger),"")</f>
        <v/>
      </c>
      <c r="AF91" s="70" t="e">
        <v>#N/A</v>
      </c>
      <c r="AG91" s="77" t="e">
        <v>#N/A</v>
      </c>
      <c r="AH91" s="46" t="e">
        <v>#N/A</v>
      </c>
      <c r="AI91" s="46" t="e">
        <v>#N/A</v>
      </c>
      <c r="AJ91" s="172" t="e">
        <f t="shared" si="31"/>
        <v>#N/A</v>
      </c>
      <c r="AK91" s="46" t="e">
        <v>#N/A</v>
      </c>
      <c r="AL91" s="161" t="e">
        <f t="shared" si="32"/>
        <v>#N/A</v>
      </c>
    </row>
    <row r="92" spans="1:38" x14ac:dyDescent="0.2">
      <c r="A92" s="59" t="s">
        <v>118</v>
      </c>
      <c r="B92" s="116" t="s">
        <v>102</v>
      </c>
      <c r="C92" s="61" t="s">
        <v>6</v>
      </c>
      <c r="D92" s="61" t="s">
        <v>8</v>
      </c>
      <c r="E92" s="61" t="s">
        <v>7</v>
      </c>
      <c r="F92" s="61" t="s">
        <v>125</v>
      </c>
      <c r="G92" s="61" t="str">
        <f t="shared" si="33"/>
        <v>Euribor3M</v>
      </c>
      <c r="H92" s="59" t="str">
        <f t="shared" si="34"/>
        <v>EUR3E6E17Y_LCHQuote</v>
      </c>
      <c r="I92" s="127">
        <v>0</v>
      </c>
      <c r="J92" s="64" t="str">
        <f>_xll.qlSwapRateHelper2(,$H92,2,$B92,Calendar,$D92,$E92,$F92,$G92,$I92,$C92,Discounting1,PillarDate,,Permanent,Trigger,ObjectOverwrite)</f>
        <v>obj_006d9#0001</v>
      </c>
      <c r="K92" s="64" t="str">
        <f>_xll.qlSwapRateHelper2(,$H92,2,$B92,Calendar,$D92,$E92,$F92,$G92,$I92,$C92,Discounting2,PillarDate,,Permanent,Trigger,ObjectOverwrite)</f>
        <v>obj_006b7#0001</v>
      </c>
      <c r="M92" s="71" t="str">
        <f t="shared" si="27"/>
        <v>BasSw</v>
      </c>
      <c r="N92" s="141" t="str">
        <f t="shared" si="28"/>
        <v>obj_006b8#0001</v>
      </c>
      <c r="O92" s="141" t="str">
        <f t="shared" si="29"/>
        <v>obj_006c1#0001</v>
      </c>
      <c r="P92" s="149" t="str">
        <f>IFERROR(_xll.qlRateHelperQuoteName(N92,Trigger),"--")</f>
        <v>EUR3E6E23Y_LCHQuote</v>
      </c>
      <c r="Q92" s="142" t="str">
        <f>IFERROR(_xll.qlRateHelperQuoteValue($N92,Trigger),"--")</f>
        <v>--</v>
      </c>
      <c r="R92" s="141" t="b">
        <v>0</v>
      </c>
      <c r="S92" s="141">
        <v>10</v>
      </c>
      <c r="T92" s="141">
        <v>1</v>
      </c>
      <c r="U92" s="143">
        <f>IFERROR(_xll.qlRateHelperEarliestDate(N92,Trigger),"--")</f>
        <v>42256</v>
      </c>
      <c r="V92" s="143">
        <f>IFERROR(_xll.qlRateHelperPillarDate(N92,Trigger),"--")</f>
        <v>50657</v>
      </c>
      <c r="X92" s="4" t="str">
        <f t="shared" si="30"/>
        <v/>
      </c>
      <c r="Y92" s="4" t="e">
        <v>#N/A</v>
      </c>
      <c r="Z92" s="4" t="e">
        <v>#N/A</v>
      </c>
      <c r="AA92" s="4" t="str">
        <f>IFERROR(_xll.qlRateHelperQuoteName(Y92,Trigger),"")</f>
        <v/>
      </c>
      <c r="AB92" s="70" t="str">
        <f>IFERROR(_xll.qlRateHelperRate(Y92,Trigger),"")</f>
        <v/>
      </c>
      <c r="AC92" s="104" t="str">
        <f>IF(ISERROR(_xll.qlSwapRateHelperSpread($Y92)),IF(ISERROR(_xll.qlFuturesRateHelperConvexityAdjustment($Y92)),"",_xll.qlFuturesRateHelperConvexityAdjustment($Y92)),_xll.qlSwapRateHelperSpread($Y92))</f>
        <v/>
      </c>
      <c r="AD92" s="5" t="str">
        <f>IFERROR(_xll.qlRateHelperEarliestDate(Y92,Trigger),"")</f>
        <v/>
      </c>
      <c r="AE92" s="5" t="str">
        <f>IFERROR(_xll.qlRateHelperPillarDate(Y92,Trigger),"")</f>
        <v/>
      </c>
      <c r="AF92" s="70" t="e">
        <v>#N/A</v>
      </c>
      <c r="AG92" s="77" t="e">
        <v>#N/A</v>
      </c>
      <c r="AH92" s="46" t="e">
        <v>#N/A</v>
      </c>
      <c r="AI92" s="46" t="e">
        <v>#N/A</v>
      </c>
      <c r="AJ92" s="172" t="e">
        <f t="shared" si="31"/>
        <v>#N/A</v>
      </c>
      <c r="AK92" s="46" t="e">
        <v>#N/A</v>
      </c>
      <c r="AL92" s="161" t="e">
        <f t="shared" si="32"/>
        <v>#N/A</v>
      </c>
    </row>
    <row r="93" spans="1:38" x14ac:dyDescent="0.2">
      <c r="A93" s="59" t="s">
        <v>118</v>
      </c>
      <c r="B93" s="116" t="s">
        <v>103</v>
      </c>
      <c r="C93" s="61" t="s">
        <v>6</v>
      </c>
      <c r="D93" s="61" t="s">
        <v>8</v>
      </c>
      <c r="E93" s="61" t="s">
        <v>7</v>
      </c>
      <c r="F93" s="61" t="s">
        <v>125</v>
      </c>
      <c r="G93" s="61" t="str">
        <f t="shared" si="33"/>
        <v>Euribor3M</v>
      </c>
      <c r="H93" s="59" t="str">
        <f t="shared" si="34"/>
        <v>EUR3E6E18Y_LCHQuote</v>
      </c>
      <c r="I93" s="127">
        <v>0</v>
      </c>
      <c r="J93" s="64" t="str">
        <f>_xll.qlSwapRateHelper2(,$H93,2,$B93,Calendar,$D93,$E93,$F93,$G93,$I93,$C93,Discounting1,PillarDate,,Permanent,Trigger,ObjectOverwrite)</f>
        <v>obj_006e2#0001</v>
      </c>
      <c r="K93" s="64" t="str">
        <f>_xll.qlSwapRateHelper2(,$H93,2,$B93,Calendar,$D93,$E93,$F93,$G93,$I93,$C93,Discounting2,PillarDate,,Permanent,Trigger,ObjectOverwrite)</f>
        <v>obj_006d6#0001</v>
      </c>
      <c r="M93" s="71" t="str">
        <f t="shared" si="27"/>
        <v>BasSw</v>
      </c>
      <c r="N93" s="141" t="str">
        <f t="shared" si="28"/>
        <v>obj_006a2#0001</v>
      </c>
      <c r="O93" s="141" t="str">
        <f t="shared" si="29"/>
        <v>obj_006c3#0001</v>
      </c>
      <c r="P93" s="149" t="str">
        <f>IFERROR(_xll.qlRateHelperQuoteName(N93,Trigger),"--")</f>
        <v>EUR3E6E24Y_LCHQuote</v>
      </c>
      <c r="Q93" s="142" t="str">
        <f>IFERROR(_xll.qlRateHelperQuoteValue($N93,Trigger),"--")</f>
        <v>--</v>
      </c>
      <c r="R93" s="141" t="b">
        <v>0</v>
      </c>
      <c r="S93" s="141">
        <v>10</v>
      </c>
      <c r="T93" s="141">
        <v>1</v>
      </c>
      <c r="U93" s="143">
        <f>IFERROR(_xll.qlRateHelperEarliestDate(N93,Trigger),"--")</f>
        <v>42256</v>
      </c>
      <c r="V93" s="143">
        <f>IFERROR(_xll.qlRateHelperPillarDate(N93,Trigger),"--")</f>
        <v>51022</v>
      </c>
      <c r="X93" s="4" t="str">
        <f t="shared" si="30"/>
        <v/>
      </c>
      <c r="Y93" s="4" t="e">
        <v>#N/A</v>
      </c>
      <c r="Z93" s="4" t="e">
        <v>#N/A</v>
      </c>
      <c r="AA93" s="4" t="str">
        <f>IFERROR(_xll.qlRateHelperQuoteName(Y93,Trigger),"")</f>
        <v/>
      </c>
      <c r="AB93" s="70" t="str">
        <f>IFERROR(_xll.qlRateHelperRate(Y93,Trigger),"")</f>
        <v/>
      </c>
      <c r="AC93" s="104" t="str">
        <f>IF(ISERROR(_xll.qlSwapRateHelperSpread($Y93)),IF(ISERROR(_xll.qlFuturesRateHelperConvexityAdjustment($Y93)),"",_xll.qlFuturesRateHelperConvexityAdjustment($Y93)),_xll.qlSwapRateHelperSpread($Y93))</f>
        <v/>
      </c>
      <c r="AD93" s="5" t="str">
        <f>IFERROR(_xll.qlRateHelperEarliestDate(Y93,Trigger),"")</f>
        <v/>
      </c>
      <c r="AE93" s="5" t="str">
        <f>IFERROR(_xll.qlRateHelperPillarDate(Y93,Trigger),"")</f>
        <v/>
      </c>
      <c r="AF93" s="70" t="e">
        <v>#N/A</v>
      </c>
      <c r="AG93" s="77" t="e">
        <v>#N/A</v>
      </c>
      <c r="AH93" s="46" t="e">
        <v>#N/A</v>
      </c>
      <c r="AI93" s="46" t="e">
        <v>#N/A</v>
      </c>
      <c r="AJ93" s="172" t="e">
        <f t="shared" si="31"/>
        <v>#N/A</v>
      </c>
      <c r="AK93" s="46" t="e">
        <v>#N/A</v>
      </c>
      <c r="AL93" s="161" t="e">
        <f t="shared" si="32"/>
        <v>#N/A</v>
      </c>
    </row>
    <row r="94" spans="1:38" x14ac:dyDescent="0.2">
      <c r="A94" s="59" t="s">
        <v>118</v>
      </c>
      <c r="B94" s="116" t="s">
        <v>104</v>
      </c>
      <c r="C94" s="61" t="s">
        <v>6</v>
      </c>
      <c r="D94" s="61" t="s">
        <v>8</v>
      </c>
      <c r="E94" s="61" t="s">
        <v>7</v>
      </c>
      <c r="F94" s="61" t="s">
        <v>125</v>
      </c>
      <c r="G94" s="61" t="str">
        <f t="shared" si="33"/>
        <v>Euribor3M</v>
      </c>
      <c r="H94" s="59" t="str">
        <f t="shared" si="34"/>
        <v>EUR3E6E19Y_LCHQuote</v>
      </c>
      <c r="I94" s="127">
        <v>0</v>
      </c>
      <c r="J94" s="64" t="str">
        <f>_xll.qlSwapRateHelper2(,$H94,2,$B94,Calendar,$D94,$E94,$F94,$G94,$I94,$C94,Discounting1,PillarDate,,Permanent,Trigger,ObjectOverwrite)</f>
        <v>obj_006e3#0001</v>
      </c>
      <c r="K94" s="64" t="str">
        <f>_xll.qlSwapRateHelper2(,$H94,2,$B94,Calendar,$D94,$E94,$F94,$G94,$I94,$C94,Discounting2,PillarDate,,Permanent,Trigger,ObjectOverwrite)</f>
        <v>obj_006db#0001</v>
      </c>
      <c r="M94" s="71" t="str">
        <f t="shared" si="27"/>
        <v>BasSw</v>
      </c>
      <c r="N94" s="141" t="str">
        <f t="shared" si="28"/>
        <v>obj_006b3#0001</v>
      </c>
      <c r="O94" s="141" t="str">
        <f t="shared" si="29"/>
        <v>obj_006ba#0001</v>
      </c>
      <c r="P94" s="149" t="str">
        <f>IFERROR(_xll.qlRateHelperQuoteName(N94,Trigger),"--")</f>
        <v>EUR3E6E25Y_LCHQuote</v>
      </c>
      <c r="Q94" s="142">
        <f>IFERROR(_xll.qlRateHelperQuoteValue($N94,Trigger),"--")</f>
        <v>1.4860399999999999E-2</v>
      </c>
      <c r="R94" s="141" t="b">
        <v>1</v>
      </c>
      <c r="S94" s="141">
        <v>10</v>
      </c>
      <c r="T94" s="141">
        <v>1</v>
      </c>
      <c r="U94" s="143">
        <f>IFERROR(_xll.qlRateHelperEarliestDate(N94,Trigger),"--")</f>
        <v>42256</v>
      </c>
      <c r="V94" s="143">
        <f>IFERROR(_xll.qlRateHelperPillarDate(N94,Trigger),"--")</f>
        <v>51389</v>
      </c>
      <c r="X94" s="4" t="str">
        <f t="shared" si="30"/>
        <v/>
      </c>
      <c r="Y94" s="4" t="e">
        <v>#N/A</v>
      </c>
      <c r="Z94" s="4" t="e">
        <v>#N/A</v>
      </c>
      <c r="AA94" s="4" t="str">
        <f>IFERROR(_xll.qlRateHelperQuoteName(Y94,Trigger),"")</f>
        <v/>
      </c>
      <c r="AB94" s="70" t="str">
        <f>IFERROR(_xll.qlRateHelperRate(Y94,Trigger),"")</f>
        <v/>
      </c>
      <c r="AC94" s="104" t="str">
        <f>IF(ISERROR(_xll.qlSwapRateHelperSpread($Y94)),IF(ISERROR(_xll.qlFuturesRateHelperConvexityAdjustment($Y94)),"",_xll.qlFuturesRateHelperConvexityAdjustment($Y94)),_xll.qlSwapRateHelperSpread($Y94))</f>
        <v/>
      </c>
      <c r="AD94" s="5" t="str">
        <f>IFERROR(_xll.qlRateHelperEarliestDate(Y94,Trigger),"")</f>
        <v/>
      </c>
      <c r="AE94" s="5" t="str">
        <f>IFERROR(_xll.qlRateHelperPillarDate(Y94,Trigger),"")</f>
        <v/>
      </c>
      <c r="AF94" s="70" t="e">
        <v>#N/A</v>
      </c>
      <c r="AG94" s="77" t="e">
        <v>#N/A</v>
      </c>
      <c r="AH94" s="46" t="e">
        <v>#N/A</v>
      </c>
      <c r="AI94" s="46" t="e">
        <v>#N/A</v>
      </c>
      <c r="AJ94" s="172" t="e">
        <f t="shared" si="31"/>
        <v>#N/A</v>
      </c>
      <c r="AK94" s="46" t="e">
        <v>#N/A</v>
      </c>
      <c r="AL94" s="161" t="e">
        <f t="shared" si="32"/>
        <v>#N/A</v>
      </c>
    </row>
    <row r="95" spans="1:38" x14ac:dyDescent="0.2">
      <c r="A95" s="59" t="s">
        <v>118</v>
      </c>
      <c r="B95" s="116" t="s">
        <v>63</v>
      </c>
      <c r="C95" s="61" t="s">
        <v>6</v>
      </c>
      <c r="D95" s="61" t="s">
        <v>8</v>
      </c>
      <c r="E95" s="61" t="s">
        <v>7</v>
      </c>
      <c r="F95" s="61" t="s">
        <v>125</v>
      </c>
      <c r="G95" s="61" t="str">
        <f t="shared" si="33"/>
        <v>Euribor3M</v>
      </c>
      <c r="H95" s="59" t="str">
        <f t="shared" si="34"/>
        <v>EUR3E6E20Y_LCHQuote</v>
      </c>
      <c r="I95" s="127">
        <v>0</v>
      </c>
      <c r="J95" s="64" t="str">
        <f>_xll.qlSwapRateHelper2(,$H95,2,$B95,Calendar,$D95,$E95,$F95,$G95,$I95,$C95,Discounting1,PillarDate,,Permanent,Trigger,ObjectOverwrite)</f>
        <v>obj_006d7#0001</v>
      </c>
      <c r="K95" s="64" t="str">
        <f>_xll.qlSwapRateHelper2(,$H95,2,$B95,Calendar,$D95,$E95,$F95,$G95,$I95,$C95,Discounting2,PillarDate,,Permanent,Trigger,ObjectOverwrite)</f>
        <v>obj_006b2#0001</v>
      </c>
      <c r="M95" s="71" t="str">
        <f t="shared" si="27"/>
        <v>BasSw</v>
      </c>
      <c r="N95" s="141" t="str">
        <f t="shared" si="28"/>
        <v>obj_006e1#0001</v>
      </c>
      <c r="O95" s="141" t="str">
        <f t="shared" si="29"/>
        <v>obj_006a3#0001</v>
      </c>
      <c r="P95" s="149" t="str">
        <f>IFERROR(_xll.qlRateHelperQuoteName(N95,Trigger),"--")</f>
        <v>EUR3E6E26Y_LCHQuote</v>
      </c>
      <c r="Q95" s="142" t="str">
        <f>IFERROR(_xll.qlRateHelperQuoteValue($N95,Trigger),"--")</f>
        <v>--</v>
      </c>
      <c r="R95" s="141" t="b">
        <v>0</v>
      </c>
      <c r="S95" s="141">
        <v>10</v>
      </c>
      <c r="T95" s="141">
        <v>1</v>
      </c>
      <c r="U95" s="143">
        <f>IFERROR(_xll.qlRateHelperEarliestDate(N95,Trigger),"--")</f>
        <v>42256</v>
      </c>
      <c r="V95" s="143">
        <f>IFERROR(_xll.qlRateHelperPillarDate(N95,Trigger),"--")</f>
        <v>51753</v>
      </c>
      <c r="X95" s="4" t="str">
        <f t="shared" si="30"/>
        <v/>
      </c>
      <c r="Y95" s="4" t="e">
        <v>#N/A</v>
      </c>
      <c r="Z95" s="4" t="e">
        <v>#N/A</v>
      </c>
      <c r="AA95" s="4" t="str">
        <f>IFERROR(_xll.qlRateHelperQuoteName(Y95,Trigger),"")</f>
        <v/>
      </c>
      <c r="AB95" s="70" t="str">
        <f>IFERROR(_xll.qlRateHelperRate(Y95,Trigger),"")</f>
        <v/>
      </c>
      <c r="AC95" s="104" t="str">
        <f>IF(ISERROR(_xll.qlSwapRateHelperSpread($Y95)),IF(ISERROR(_xll.qlFuturesRateHelperConvexityAdjustment($Y95)),"",_xll.qlFuturesRateHelperConvexityAdjustment($Y95)),_xll.qlSwapRateHelperSpread($Y95))</f>
        <v/>
      </c>
      <c r="AD95" s="5" t="str">
        <f>IFERROR(_xll.qlRateHelperEarliestDate(Y95,Trigger),"")</f>
        <v/>
      </c>
      <c r="AE95" s="5" t="str">
        <f>IFERROR(_xll.qlRateHelperPillarDate(Y95,Trigger),"")</f>
        <v/>
      </c>
      <c r="AF95" s="70" t="e">
        <v>#N/A</v>
      </c>
      <c r="AG95" s="77" t="e">
        <v>#N/A</v>
      </c>
      <c r="AH95" s="46" t="e">
        <v>#N/A</v>
      </c>
      <c r="AI95" s="46" t="e">
        <v>#N/A</v>
      </c>
      <c r="AJ95" s="172" t="e">
        <f t="shared" si="31"/>
        <v>#N/A</v>
      </c>
      <c r="AK95" s="46" t="e">
        <v>#N/A</v>
      </c>
      <c r="AL95" s="161" t="e">
        <f t="shared" si="32"/>
        <v>#N/A</v>
      </c>
    </row>
    <row r="96" spans="1:38" x14ac:dyDescent="0.2">
      <c r="A96" s="59" t="s">
        <v>118</v>
      </c>
      <c r="B96" s="116" t="s">
        <v>105</v>
      </c>
      <c r="C96" s="61" t="s">
        <v>6</v>
      </c>
      <c r="D96" s="61" t="s">
        <v>8</v>
      </c>
      <c r="E96" s="61" t="s">
        <v>7</v>
      </c>
      <c r="F96" s="61" t="s">
        <v>125</v>
      </c>
      <c r="G96" s="61" t="str">
        <f t="shared" si="33"/>
        <v>Euribor3M</v>
      </c>
      <c r="H96" s="59" t="str">
        <f t="shared" si="34"/>
        <v>EUR3E6E21Y_LCHQuote</v>
      </c>
      <c r="I96" s="127">
        <v>0</v>
      </c>
      <c r="J96" s="64" t="str">
        <f>_xll.qlSwapRateHelper2(,$H96,2,$B96,Calendar,$D96,$E96,$F96,$G96,$I96,$C96,Discounting1,PillarDate,,Permanent,Trigger,ObjectOverwrite)</f>
        <v>obj_006c7#0001</v>
      </c>
      <c r="K96" s="64" t="str">
        <f>_xll.qlSwapRateHelper2(,$H96,2,$B96,Calendar,$D96,$E96,$F96,$G96,$I96,$C96,Discounting2,PillarDate,,Permanent,Trigger,ObjectOverwrite)</f>
        <v>obj_006a9#0001</v>
      </c>
      <c r="M96" s="71" t="str">
        <f t="shared" si="27"/>
        <v>BasSw</v>
      </c>
      <c r="N96" s="141" t="str">
        <f t="shared" si="28"/>
        <v>obj_006df#0001</v>
      </c>
      <c r="O96" s="141" t="str">
        <f t="shared" si="29"/>
        <v>obj_006bb#0001</v>
      </c>
      <c r="P96" s="149" t="str">
        <f>IFERROR(_xll.qlRateHelperQuoteName(N96,Trigger),"--")</f>
        <v>EUR3E6E27Y_LCHQuote</v>
      </c>
      <c r="Q96" s="142" t="str">
        <f>IFERROR(_xll.qlRateHelperQuoteValue($N96,Trigger),"--")</f>
        <v>--</v>
      </c>
      <c r="R96" s="141" t="b">
        <v>0</v>
      </c>
      <c r="S96" s="141">
        <v>10</v>
      </c>
      <c r="T96" s="141">
        <v>1</v>
      </c>
      <c r="U96" s="143">
        <f>IFERROR(_xll.qlRateHelperEarliestDate(N96,Trigger),"--")</f>
        <v>42256</v>
      </c>
      <c r="V96" s="143">
        <f>IFERROR(_xll.qlRateHelperPillarDate(N96,Trigger),"--")</f>
        <v>52118</v>
      </c>
      <c r="X96" s="4" t="str">
        <f t="shared" si="30"/>
        <v/>
      </c>
      <c r="Y96" s="4" t="e">
        <v>#N/A</v>
      </c>
      <c r="Z96" s="4" t="e">
        <v>#N/A</v>
      </c>
      <c r="AA96" s="4" t="str">
        <f>IFERROR(_xll.qlRateHelperQuoteName(Y96,Trigger),"")</f>
        <v/>
      </c>
      <c r="AB96" s="70" t="str">
        <f>IFERROR(_xll.qlRateHelperRate(Y96,Trigger),"")</f>
        <v/>
      </c>
      <c r="AC96" s="104" t="str">
        <f>IF(ISERROR(_xll.qlSwapRateHelperSpread($Y96)),IF(ISERROR(_xll.qlFuturesRateHelperConvexityAdjustment($Y96)),"",_xll.qlFuturesRateHelperConvexityAdjustment($Y96)),_xll.qlSwapRateHelperSpread($Y96))</f>
        <v/>
      </c>
      <c r="AD96" s="5" t="str">
        <f>IFERROR(_xll.qlRateHelperEarliestDate(Y96,Trigger),"")</f>
        <v/>
      </c>
      <c r="AE96" s="5" t="str">
        <f>IFERROR(_xll.qlRateHelperPillarDate(Y96,Trigger),"")</f>
        <v/>
      </c>
      <c r="AF96" s="70" t="e">
        <v>#N/A</v>
      </c>
      <c r="AG96" s="77" t="e">
        <v>#N/A</v>
      </c>
      <c r="AH96" s="46" t="e">
        <v>#N/A</v>
      </c>
      <c r="AI96" s="46" t="e">
        <v>#N/A</v>
      </c>
      <c r="AJ96" s="172" t="e">
        <f t="shared" si="31"/>
        <v>#N/A</v>
      </c>
      <c r="AK96" s="46" t="e">
        <v>#N/A</v>
      </c>
      <c r="AL96" s="161" t="e">
        <f t="shared" si="32"/>
        <v>#N/A</v>
      </c>
    </row>
    <row r="97" spans="1:38" x14ac:dyDescent="0.2">
      <c r="A97" s="59" t="s">
        <v>118</v>
      </c>
      <c r="B97" s="116" t="s">
        <v>106</v>
      </c>
      <c r="C97" s="61" t="s">
        <v>6</v>
      </c>
      <c r="D97" s="61" t="s">
        <v>8</v>
      </c>
      <c r="E97" s="61" t="s">
        <v>7</v>
      </c>
      <c r="F97" s="61" t="s">
        <v>125</v>
      </c>
      <c r="G97" s="61" t="str">
        <f t="shared" si="33"/>
        <v>Euribor3M</v>
      </c>
      <c r="H97" s="59" t="str">
        <f t="shared" si="34"/>
        <v>EUR3E6E22Y_LCHQuote</v>
      </c>
      <c r="I97" s="127">
        <v>0</v>
      </c>
      <c r="J97" s="64" t="str">
        <f>_xll.qlSwapRateHelper2(,$H97,2,$B97,Calendar,$D97,$E97,$F97,$G97,$I97,$C97,Discounting1,PillarDate,,Permanent,Trigger,ObjectOverwrite)</f>
        <v>obj_006b4#0001</v>
      </c>
      <c r="K97" s="64" t="str">
        <f>_xll.qlSwapRateHelper2(,$H97,2,$B97,Calendar,$D97,$E97,$F97,$G97,$I97,$C97,Discounting2,PillarDate,,Permanent,Trigger,ObjectOverwrite)</f>
        <v>obj_006bd#0001</v>
      </c>
      <c r="M97" s="71" t="str">
        <f t="shared" si="27"/>
        <v>BasSw</v>
      </c>
      <c r="N97" s="141" t="str">
        <f t="shared" si="28"/>
        <v>obj_0069c#0001</v>
      </c>
      <c r="O97" s="141" t="str">
        <f t="shared" si="29"/>
        <v>obj_006de#0001</v>
      </c>
      <c r="P97" s="149" t="str">
        <f>IFERROR(_xll.qlRateHelperQuoteName(N97,Trigger),"--")</f>
        <v>EUR3E6E28Y_LCHQuote</v>
      </c>
      <c r="Q97" s="142" t="str">
        <f>IFERROR(_xll.qlRateHelperQuoteValue($N97,Trigger),"--")</f>
        <v>--</v>
      </c>
      <c r="R97" s="141" t="b">
        <v>0</v>
      </c>
      <c r="S97" s="141">
        <v>10</v>
      </c>
      <c r="T97" s="141">
        <v>1</v>
      </c>
      <c r="U97" s="143">
        <f>IFERROR(_xll.qlRateHelperEarliestDate(N97,Trigger),"--")</f>
        <v>42256</v>
      </c>
      <c r="V97" s="143">
        <f>IFERROR(_xll.qlRateHelperPillarDate(N97,Trigger),"--")</f>
        <v>52483</v>
      </c>
      <c r="X97" s="4" t="str">
        <f t="shared" si="30"/>
        <v/>
      </c>
      <c r="Y97" s="4" t="e">
        <v>#N/A</v>
      </c>
      <c r="Z97" s="4" t="e">
        <v>#N/A</v>
      </c>
      <c r="AA97" s="4" t="str">
        <f>IFERROR(_xll.qlRateHelperQuoteName(Y97,Trigger),"")</f>
        <v/>
      </c>
      <c r="AB97" s="70" t="str">
        <f>IFERROR(_xll.qlRateHelperRate(Y97,Trigger),"")</f>
        <v/>
      </c>
      <c r="AC97" s="104" t="str">
        <f>IF(ISERROR(_xll.qlSwapRateHelperSpread($Y97)),IF(ISERROR(_xll.qlFuturesRateHelperConvexityAdjustment($Y97)),"",_xll.qlFuturesRateHelperConvexityAdjustment($Y97)),_xll.qlSwapRateHelperSpread($Y97))</f>
        <v/>
      </c>
      <c r="AD97" s="5" t="str">
        <f>IFERROR(_xll.qlRateHelperEarliestDate(Y97,Trigger),"")</f>
        <v/>
      </c>
      <c r="AE97" s="5" t="str">
        <f>IFERROR(_xll.qlRateHelperPillarDate(Y97,Trigger),"")</f>
        <v/>
      </c>
      <c r="AF97" s="70" t="e">
        <v>#N/A</v>
      </c>
      <c r="AG97" s="77" t="e">
        <v>#N/A</v>
      </c>
      <c r="AH97" s="46" t="e">
        <v>#N/A</v>
      </c>
      <c r="AI97" s="46" t="e">
        <v>#N/A</v>
      </c>
      <c r="AJ97" s="172" t="e">
        <f t="shared" si="31"/>
        <v>#N/A</v>
      </c>
      <c r="AK97" s="46" t="e">
        <v>#N/A</v>
      </c>
      <c r="AL97" s="161" t="e">
        <f t="shared" si="32"/>
        <v>#N/A</v>
      </c>
    </row>
    <row r="98" spans="1:38" x14ac:dyDescent="0.2">
      <c r="A98" s="59" t="s">
        <v>118</v>
      </c>
      <c r="B98" s="116" t="s">
        <v>107</v>
      </c>
      <c r="C98" s="61" t="s">
        <v>6</v>
      </c>
      <c r="D98" s="61" t="s">
        <v>8</v>
      </c>
      <c r="E98" s="61" t="s">
        <v>7</v>
      </c>
      <c r="F98" s="61" t="s">
        <v>125</v>
      </c>
      <c r="G98" s="61" t="str">
        <f t="shared" si="33"/>
        <v>Euribor3M</v>
      </c>
      <c r="H98" s="59" t="str">
        <f t="shared" si="34"/>
        <v>EUR3E6E23Y_LCHQuote</v>
      </c>
      <c r="I98" s="127">
        <v>0</v>
      </c>
      <c r="J98" s="64" t="str">
        <f>_xll.qlSwapRateHelper2(,$H98,2,$B98,Calendar,$D98,$E98,$F98,$G98,$I98,$C98,Discounting1,PillarDate,,Permanent,Trigger,ObjectOverwrite)</f>
        <v>obj_006b8#0001</v>
      </c>
      <c r="K98" s="64" t="str">
        <f>_xll.qlSwapRateHelper2(,$H98,2,$B98,Calendar,$D98,$E98,$F98,$G98,$I98,$C98,Discounting2,PillarDate,,Permanent,Trigger,ObjectOverwrite)</f>
        <v>obj_006c1#0001</v>
      </c>
      <c r="M98" s="71" t="str">
        <f t="shared" si="27"/>
        <v>BasSw</v>
      </c>
      <c r="N98" s="141" t="str">
        <f t="shared" si="28"/>
        <v>obj_006dc#0001</v>
      </c>
      <c r="O98" s="141" t="str">
        <f t="shared" si="29"/>
        <v>obj_006a0#0001</v>
      </c>
      <c r="P98" s="149" t="str">
        <f>IFERROR(_xll.qlRateHelperQuoteName(N98,Trigger),"--")</f>
        <v>EUR3E6E29Y_LCHQuote</v>
      </c>
      <c r="Q98" s="142" t="str">
        <f>IFERROR(_xll.qlRateHelperQuoteValue($N98,Trigger),"--")</f>
        <v>--</v>
      </c>
      <c r="R98" s="141" t="b">
        <v>0</v>
      </c>
      <c r="S98" s="141">
        <v>10</v>
      </c>
      <c r="T98" s="141">
        <v>1</v>
      </c>
      <c r="U98" s="143">
        <f>IFERROR(_xll.qlRateHelperEarliestDate(N98,Trigger),"--")</f>
        <v>42256</v>
      </c>
      <c r="V98" s="143">
        <f>IFERROR(_xll.qlRateHelperPillarDate(N98,Trigger),"--")</f>
        <v>52849</v>
      </c>
      <c r="X98" s="4" t="str">
        <f t="shared" si="30"/>
        <v/>
      </c>
      <c r="Y98" s="4" t="e">
        <v>#N/A</v>
      </c>
      <c r="Z98" s="4" t="e">
        <v>#N/A</v>
      </c>
      <c r="AA98" s="4" t="str">
        <f>IFERROR(_xll.qlRateHelperQuoteName(Y98,Trigger),"")</f>
        <v/>
      </c>
      <c r="AB98" s="70" t="str">
        <f>IFERROR(_xll.qlRateHelperRate(Y98,Trigger),"")</f>
        <v/>
      </c>
      <c r="AC98" s="104" t="str">
        <f>IF(ISERROR(_xll.qlSwapRateHelperSpread($Y98)),IF(ISERROR(_xll.qlFuturesRateHelperConvexityAdjustment($Y98)),"",_xll.qlFuturesRateHelperConvexityAdjustment($Y98)),_xll.qlSwapRateHelperSpread($Y98))</f>
        <v/>
      </c>
      <c r="AD98" s="5" t="str">
        <f>IFERROR(_xll.qlRateHelperEarliestDate(Y98,Trigger),"")</f>
        <v/>
      </c>
      <c r="AE98" s="5" t="str">
        <f>IFERROR(_xll.qlRateHelperPillarDate(Y98,Trigger),"")</f>
        <v/>
      </c>
      <c r="AF98" s="70" t="e">
        <v>#N/A</v>
      </c>
      <c r="AG98" s="77" t="e">
        <v>#N/A</v>
      </c>
      <c r="AH98" s="46" t="e">
        <v>#N/A</v>
      </c>
      <c r="AI98" s="46" t="e">
        <v>#N/A</v>
      </c>
      <c r="AJ98" s="172" t="e">
        <f t="shared" si="31"/>
        <v>#N/A</v>
      </c>
      <c r="AK98" s="46" t="e">
        <v>#N/A</v>
      </c>
      <c r="AL98" s="161" t="e">
        <f t="shared" si="32"/>
        <v>#N/A</v>
      </c>
    </row>
    <row r="99" spans="1:38" x14ac:dyDescent="0.2">
      <c r="A99" s="59" t="s">
        <v>118</v>
      </c>
      <c r="B99" s="116" t="s">
        <v>108</v>
      </c>
      <c r="C99" s="61" t="s">
        <v>6</v>
      </c>
      <c r="D99" s="61" t="s">
        <v>8</v>
      </c>
      <c r="E99" s="61" t="s">
        <v>7</v>
      </c>
      <c r="F99" s="61" t="s">
        <v>125</v>
      </c>
      <c r="G99" s="61" t="str">
        <f t="shared" si="33"/>
        <v>Euribor3M</v>
      </c>
      <c r="H99" s="59" t="str">
        <f t="shared" si="34"/>
        <v>EUR3E6E24Y_LCHQuote</v>
      </c>
      <c r="I99" s="127">
        <v>0</v>
      </c>
      <c r="J99" s="64" t="str">
        <f>_xll.qlSwapRateHelper2(,$H99,2,$B99,Calendar,$D99,$E99,$F99,$G99,$I99,$C99,Discounting1,PillarDate,,Permanent,Trigger,ObjectOverwrite)</f>
        <v>obj_006a2#0001</v>
      </c>
      <c r="K99" s="64" t="str">
        <f>_xll.qlSwapRateHelper2(,$H99,2,$B99,Calendar,$D99,$E99,$F99,$G99,$I99,$C99,Discounting2,PillarDate,,Permanent,Trigger,ObjectOverwrite)</f>
        <v>obj_006c3#0001</v>
      </c>
      <c r="M99" s="71" t="str">
        <f t="shared" si="27"/>
        <v>BasSw</v>
      </c>
      <c r="N99" s="141" t="str">
        <f t="shared" si="28"/>
        <v>obj_006e0#0001</v>
      </c>
      <c r="O99" s="141" t="str">
        <f t="shared" si="29"/>
        <v>obj_006be#0001</v>
      </c>
      <c r="P99" s="149" t="str">
        <f>IFERROR(_xll.qlRateHelperQuoteName(N99,Trigger),"--")</f>
        <v>EUR3E6E30Y_LCHQuote</v>
      </c>
      <c r="Q99" s="142">
        <f>IFERROR(_xll.qlRateHelperQuoteValue($N99,Trigger),"--")</f>
        <v>1.5015300000000001E-2</v>
      </c>
      <c r="R99" s="141" t="b">
        <v>1</v>
      </c>
      <c r="S99" s="141">
        <v>10</v>
      </c>
      <c r="T99" s="141">
        <v>1</v>
      </c>
      <c r="U99" s="143">
        <f>IFERROR(_xll.qlRateHelperEarliestDate(N99,Trigger),"--")</f>
        <v>42256</v>
      </c>
      <c r="V99" s="143">
        <f>IFERROR(_xll.qlRateHelperPillarDate(N99,Trigger),"--")</f>
        <v>53216</v>
      </c>
      <c r="X99" s="4" t="str">
        <f t="shared" si="30"/>
        <v/>
      </c>
      <c r="Y99" s="4" t="e">
        <v>#N/A</v>
      </c>
      <c r="Z99" s="4" t="e">
        <v>#N/A</v>
      </c>
      <c r="AA99" s="4" t="str">
        <f>IFERROR(_xll.qlRateHelperQuoteName(Y99,Trigger),"")</f>
        <v/>
      </c>
      <c r="AB99" s="70" t="str">
        <f>IFERROR(_xll.qlRateHelperRate(Y99,Trigger),"")</f>
        <v/>
      </c>
      <c r="AC99" s="104" t="str">
        <f>IF(ISERROR(_xll.qlSwapRateHelperSpread($Y99)),IF(ISERROR(_xll.qlFuturesRateHelperConvexityAdjustment($Y99)),"",_xll.qlFuturesRateHelperConvexityAdjustment($Y99)),_xll.qlSwapRateHelperSpread($Y99))</f>
        <v/>
      </c>
      <c r="AD99" s="5" t="str">
        <f>IFERROR(_xll.qlRateHelperEarliestDate(Y99,Trigger),"")</f>
        <v/>
      </c>
      <c r="AE99" s="5" t="str">
        <f>IFERROR(_xll.qlRateHelperPillarDate(Y99,Trigger),"")</f>
        <v/>
      </c>
      <c r="AF99" s="70" t="e">
        <v>#N/A</v>
      </c>
      <c r="AG99" s="77" t="e">
        <v>#N/A</v>
      </c>
      <c r="AH99" s="46" t="e">
        <v>#N/A</v>
      </c>
      <c r="AI99" s="46" t="e">
        <v>#N/A</v>
      </c>
      <c r="AJ99" s="172" t="e">
        <f t="shared" si="31"/>
        <v>#N/A</v>
      </c>
      <c r="AK99" s="46" t="e">
        <v>#N/A</v>
      </c>
      <c r="AL99" s="161" t="e">
        <f t="shared" si="32"/>
        <v>#N/A</v>
      </c>
    </row>
    <row r="100" spans="1:38" x14ac:dyDescent="0.2">
      <c r="A100" s="59" t="s">
        <v>118</v>
      </c>
      <c r="B100" s="116" t="s">
        <v>64</v>
      </c>
      <c r="C100" s="61" t="s">
        <v>6</v>
      </c>
      <c r="D100" s="61" t="s">
        <v>8</v>
      </c>
      <c r="E100" s="61" t="s">
        <v>7</v>
      </c>
      <c r="F100" s="61" t="s">
        <v>125</v>
      </c>
      <c r="G100" s="61" t="str">
        <f t="shared" si="33"/>
        <v>Euribor3M</v>
      </c>
      <c r="H100" s="59" t="str">
        <f t="shared" si="34"/>
        <v>EUR3E6E25Y_LCHQuote</v>
      </c>
      <c r="I100" s="127">
        <v>0</v>
      </c>
      <c r="J100" s="64" t="str">
        <f>_xll.qlSwapRateHelper2(,$H100,2,$B100,Calendar,$D100,$E100,$F100,$G100,$I100,$C100,Discounting1,PillarDate,,Permanent,Trigger,ObjectOverwrite)</f>
        <v>obj_006b3#0001</v>
      </c>
      <c r="K100" s="64" t="str">
        <f>_xll.qlSwapRateHelper2(,$H100,2,$B100,Calendar,$D100,$E100,$F100,$G100,$I100,$C100,Discounting2,PillarDate,,Permanent,Trigger,ObjectOverwrite)</f>
        <v>obj_006ba#0001</v>
      </c>
      <c r="M100" s="71" t="str">
        <f t="shared" si="27"/>
        <v>BasSw</v>
      </c>
      <c r="N100" s="141" t="str">
        <f t="shared" si="28"/>
        <v>obj_006c0#0001</v>
      </c>
      <c r="O100" s="141" t="str">
        <f t="shared" si="29"/>
        <v>obj_006c8#0001</v>
      </c>
      <c r="P100" s="149" t="str">
        <f>IFERROR(_xll.qlRateHelperQuoteName(N100,Trigger),"--")</f>
        <v>EUR3E6E35Y_LCHQuote</v>
      </c>
      <c r="Q100" s="142" t="str">
        <f>IFERROR(_xll.qlRateHelperQuoteValue($N100,Trigger),"--")</f>
        <v>--</v>
      </c>
      <c r="R100" s="141" t="b">
        <v>0</v>
      </c>
      <c r="S100" s="141">
        <v>10</v>
      </c>
      <c r="T100" s="141">
        <v>1</v>
      </c>
      <c r="U100" s="143">
        <f>IFERROR(_xll.qlRateHelperEarliestDate(N100,Trigger),"--")</f>
        <v>42256</v>
      </c>
      <c r="V100" s="143">
        <f>IFERROR(_xll.qlRateHelperPillarDate(N100,Trigger),"--")</f>
        <v>55040</v>
      </c>
      <c r="X100" s="4" t="str">
        <f t="shared" si="30"/>
        <v/>
      </c>
      <c r="Y100" s="4" t="e">
        <v>#N/A</v>
      </c>
      <c r="Z100" s="4" t="e">
        <v>#N/A</v>
      </c>
      <c r="AA100" s="4" t="str">
        <f>IFERROR(_xll.qlRateHelperQuoteName(Y100,Trigger),"")</f>
        <v/>
      </c>
      <c r="AB100" s="70" t="str">
        <f>IFERROR(_xll.qlRateHelperRate(Y100,Trigger),"")</f>
        <v/>
      </c>
      <c r="AC100" s="104" t="str">
        <f>IF(ISERROR(_xll.qlSwapRateHelperSpread($Y100)),IF(ISERROR(_xll.qlFuturesRateHelperConvexityAdjustment($Y100)),"",_xll.qlFuturesRateHelperConvexityAdjustment($Y100)),_xll.qlSwapRateHelperSpread($Y100))</f>
        <v/>
      </c>
      <c r="AD100" s="5" t="str">
        <f>IFERROR(_xll.qlRateHelperEarliestDate(Y100,Trigger),"")</f>
        <v/>
      </c>
      <c r="AE100" s="5" t="str">
        <f>IFERROR(_xll.qlRateHelperPillarDate(Y100,Trigger),"")</f>
        <v/>
      </c>
      <c r="AF100" s="70" t="e">
        <v>#N/A</v>
      </c>
      <c r="AG100" s="77" t="e">
        <v>#N/A</v>
      </c>
      <c r="AH100" s="46" t="e">
        <v>#N/A</v>
      </c>
      <c r="AI100" s="46" t="e">
        <v>#N/A</v>
      </c>
      <c r="AJ100" s="172" t="e">
        <f t="shared" si="31"/>
        <v>#N/A</v>
      </c>
      <c r="AK100" s="46" t="e">
        <v>#N/A</v>
      </c>
      <c r="AL100" s="161" t="e">
        <f t="shared" si="32"/>
        <v>#N/A</v>
      </c>
    </row>
    <row r="101" spans="1:38" x14ac:dyDescent="0.2">
      <c r="A101" s="59" t="s">
        <v>118</v>
      </c>
      <c r="B101" s="116" t="s">
        <v>109</v>
      </c>
      <c r="C101" s="61" t="s">
        <v>6</v>
      </c>
      <c r="D101" s="61" t="s">
        <v>8</v>
      </c>
      <c r="E101" s="61" t="s">
        <v>7</v>
      </c>
      <c r="F101" s="61" t="s">
        <v>125</v>
      </c>
      <c r="G101" s="61" t="str">
        <f t="shared" si="33"/>
        <v>Euribor3M</v>
      </c>
      <c r="H101" s="59" t="str">
        <f t="shared" si="34"/>
        <v>EUR3E6E26Y_LCHQuote</v>
      </c>
      <c r="I101" s="127">
        <v>0</v>
      </c>
      <c r="J101" s="64" t="str">
        <f>_xll.qlSwapRateHelper2(,$H101,2,$B101,Calendar,$D101,$E101,$F101,$G101,$I101,$C101,Discounting1,PillarDate,,Permanent,Trigger,ObjectOverwrite)</f>
        <v>obj_006e1#0001</v>
      </c>
      <c r="K101" s="64" t="str">
        <f>_xll.qlSwapRateHelper2(,$H101,2,$B101,Calendar,$D101,$E101,$F101,$G101,$I101,$C101,Discounting2,PillarDate,,Permanent,Trigger,ObjectOverwrite)</f>
        <v>obj_006a3#0001</v>
      </c>
      <c r="M101" s="71" t="str">
        <f t="shared" si="27"/>
        <v>BasSw</v>
      </c>
      <c r="N101" s="141" t="str">
        <f t="shared" si="28"/>
        <v>obj_006d1#0001</v>
      </c>
      <c r="O101" s="141" t="str">
        <f t="shared" si="29"/>
        <v>obj_006cc#0001</v>
      </c>
      <c r="P101" s="149" t="str">
        <f>IFERROR(_xll.qlRateHelperQuoteName(N101,Trigger),"--")</f>
        <v>EUR3E6E40Y_LCHQuote</v>
      </c>
      <c r="Q101" s="142">
        <f>IFERROR(_xll.qlRateHelperQuoteValue($N101,Trigger),"--")</f>
        <v>1.52675E-2</v>
      </c>
      <c r="R101" s="141" t="b">
        <v>1</v>
      </c>
      <c r="S101" s="141">
        <v>10</v>
      </c>
      <c r="T101" s="141">
        <v>1</v>
      </c>
      <c r="U101" s="143">
        <f>IFERROR(_xll.qlRateHelperEarliestDate(N101,Trigger),"--")</f>
        <v>42256</v>
      </c>
      <c r="V101" s="143">
        <f>IFERROR(_xll.qlRateHelperPillarDate(N101,Trigger),"--")</f>
        <v>56866</v>
      </c>
      <c r="X101" s="4" t="str">
        <f t="shared" si="30"/>
        <v/>
      </c>
      <c r="Y101" s="4" t="e">
        <v>#N/A</v>
      </c>
      <c r="Z101" s="4" t="e">
        <v>#N/A</v>
      </c>
      <c r="AA101" s="4" t="str">
        <f>IFERROR(_xll.qlRateHelperQuoteName(Y101,Trigger),"")</f>
        <v/>
      </c>
      <c r="AB101" s="70" t="str">
        <f>IFERROR(_xll.qlRateHelperRate(Y101,Trigger),"")</f>
        <v/>
      </c>
      <c r="AC101" s="104" t="str">
        <f>IF(ISERROR(_xll.qlSwapRateHelperSpread($Y101)),IF(ISERROR(_xll.qlFuturesRateHelperConvexityAdjustment($Y101)),"",_xll.qlFuturesRateHelperConvexityAdjustment($Y101)),_xll.qlSwapRateHelperSpread($Y101))</f>
        <v/>
      </c>
      <c r="AD101" s="5" t="str">
        <f>IFERROR(_xll.qlRateHelperEarliestDate(Y101,Trigger),"")</f>
        <v/>
      </c>
      <c r="AE101" s="5" t="str">
        <f>IFERROR(_xll.qlRateHelperPillarDate(Y101,Trigger),"")</f>
        <v/>
      </c>
      <c r="AF101" s="70" t="e">
        <v>#N/A</v>
      </c>
      <c r="AG101" s="77" t="e">
        <v>#N/A</v>
      </c>
      <c r="AH101" s="46" t="e">
        <v>#N/A</v>
      </c>
      <c r="AI101" s="46" t="e">
        <v>#N/A</v>
      </c>
      <c r="AJ101" s="172" t="e">
        <f t="shared" si="31"/>
        <v>#N/A</v>
      </c>
      <c r="AK101" s="46" t="e">
        <v>#N/A</v>
      </c>
      <c r="AL101" s="161" t="e">
        <f t="shared" si="32"/>
        <v>#N/A</v>
      </c>
    </row>
    <row r="102" spans="1:38" x14ac:dyDescent="0.2">
      <c r="A102" s="59" t="s">
        <v>118</v>
      </c>
      <c r="B102" s="116" t="s">
        <v>65</v>
      </c>
      <c r="C102" s="61" t="s">
        <v>6</v>
      </c>
      <c r="D102" s="61" t="s">
        <v>8</v>
      </c>
      <c r="E102" s="61" t="s">
        <v>7</v>
      </c>
      <c r="F102" s="61" t="s">
        <v>125</v>
      </c>
      <c r="G102" s="61" t="str">
        <f t="shared" si="33"/>
        <v>Euribor3M</v>
      </c>
      <c r="H102" s="59" t="str">
        <f t="shared" si="34"/>
        <v>EUR3E6E27Y_LCHQuote</v>
      </c>
      <c r="I102" s="127">
        <v>0</v>
      </c>
      <c r="J102" s="64" t="str">
        <f>_xll.qlSwapRateHelper2(,$H102,2,$B102,Calendar,$D102,$E102,$F102,$G102,$I102,$C102,Discounting1,PillarDate,,Permanent,Trigger,ObjectOverwrite)</f>
        <v>obj_006df#0001</v>
      </c>
      <c r="K102" s="64" t="str">
        <f>_xll.qlSwapRateHelper2(,$H102,2,$B102,Calendar,$D102,$E102,$F102,$G102,$I102,$C102,Discounting2,PillarDate,,Permanent,Trigger,ObjectOverwrite)</f>
        <v>obj_006bb#0001</v>
      </c>
      <c r="M102" s="71" t="str">
        <f t="shared" si="27"/>
        <v>BasSw</v>
      </c>
      <c r="N102" s="141" t="str">
        <f t="shared" si="28"/>
        <v>obj_006c5#0001</v>
      </c>
      <c r="O102" s="141" t="str">
        <f t="shared" si="29"/>
        <v>obj_006a8#0001</v>
      </c>
      <c r="P102" s="149" t="str">
        <f>IFERROR(_xll.qlRateHelperQuoteName(N102,Trigger),"--")</f>
        <v>EUR3E6E50Y_LCHQuote</v>
      </c>
      <c r="Q102" s="142">
        <f>IFERROR(_xll.qlRateHelperQuoteValue($N102,Trigger),"--")</f>
        <v>1.49575E-2</v>
      </c>
      <c r="R102" s="141" t="b">
        <v>1</v>
      </c>
      <c r="S102" s="141">
        <v>10</v>
      </c>
      <c r="T102" s="141">
        <v>1</v>
      </c>
      <c r="U102" s="143">
        <f>IFERROR(_xll.qlRateHelperEarliestDate(N102,Trigger),"--")</f>
        <v>42256</v>
      </c>
      <c r="V102" s="143">
        <f>IFERROR(_xll.qlRateHelperPillarDate(N102,Trigger),"--")</f>
        <v>60519</v>
      </c>
      <c r="X102" s="4" t="str">
        <f t="shared" si="30"/>
        <v/>
      </c>
      <c r="Y102" s="4" t="e">
        <v>#N/A</v>
      </c>
      <c r="Z102" s="4" t="e">
        <v>#N/A</v>
      </c>
      <c r="AA102" s="4" t="str">
        <f>IFERROR(_xll.qlRateHelperQuoteName(Y102,Trigger),"")</f>
        <v/>
      </c>
      <c r="AB102" s="70" t="str">
        <f>IFERROR(_xll.qlRateHelperRate(Y102,Trigger),"")</f>
        <v/>
      </c>
      <c r="AC102" s="104" t="str">
        <f>IF(ISERROR(_xll.qlSwapRateHelperSpread($Y102)),IF(ISERROR(_xll.qlFuturesRateHelperConvexityAdjustment($Y102)),"",_xll.qlFuturesRateHelperConvexityAdjustment($Y102)),_xll.qlSwapRateHelperSpread($Y102))</f>
        <v/>
      </c>
      <c r="AD102" s="5" t="str">
        <f>IFERROR(_xll.qlRateHelperEarliestDate(Y102,Trigger),"")</f>
        <v/>
      </c>
      <c r="AE102" s="5" t="str">
        <f>IFERROR(_xll.qlRateHelperPillarDate(Y102,Trigger),"")</f>
        <v/>
      </c>
      <c r="AF102" s="70" t="e">
        <v>#N/A</v>
      </c>
      <c r="AG102" s="77" t="e">
        <v>#N/A</v>
      </c>
      <c r="AH102" s="46" t="e">
        <v>#N/A</v>
      </c>
      <c r="AI102" s="46" t="e">
        <v>#N/A</v>
      </c>
      <c r="AJ102" s="172" t="e">
        <f t="shared" si="31"/>
        <v>#N/A</v>
      </c>
      <c r="AK102" s="46" t="e">
        <v>#N/A</v>
      </c>
      <c r="AL102" s="161" t="e">
        <f t="shared" si="32"/>
        <v>#N/A</v>
      </c>
    </row>
    <row r="103" spans="1:38" x14ac:dyDescent="0.2">
      <c r="A103" s="59" t="s">
        <v>118</v>
      </c>
      <c r="B103" s="116" t="s">
        <v>110</v>
      </c>
      <c r="C103" s="61" t="s">
        <v>6</v>
      </c>
      <c r="D103" s="61" t="s">
        <v>8</v>
      </c>
      <c r="E103" s="61" t="s">
        <v>7</v>
      </c>
      <c r="F103" s="61" t="s">
        <v>125</v>
      </c>
      <c r="G103" s="61" t="str">
        <f t="shared" si="33"/>
        <v>Euribor3M</v>
      </c>
      <c r="H103" s="59" t="str">
        <f t="shared" si="34"/>
        <v>EUR3E6E28Y_LCHQuote</v>
      </c>
      <c r="I103" s="127">
        <v>0</v>
      </c>
      <c r="J103" s="64" t="str">
        <f>_xll.qlSwapRateHelper2(,$H103,2,$B103,Calendar,$D103,$E103,$F103,$G103,$I103,$C103,Discounting1,PillarDate,,Permanent,Trigger,ObjectOverwrite)</f>
        <v>obj_0069c#0001</v>
      </c>
      <c r="K103" s="64" t="str">
        <f>_xll.qlSwapRateHelper2(,$H103,2,$B103,Calendar,$D103,$E103,$F103,$G103,$I103,$C103,Discounting2,PillarDate,,Permanent,Trigger,ObjectOverwrite)</f>
        <v>obj_006de#0001</v>
      </c>
      <c r="M103" s="72" t="str">
        <f t="shared" si="27"/>
        <v>BasSw</v>
      </c>
      <c r="N103" s="144" t="str">
        <f t="shared" si="28"/>
        <v>obj_006dd#0001</v>
      </c>
      <c r="O103" s="144" t="str">
        <f t="shared" si="29"/>
        <v>obj_0069d#0001</v>
      </c>
      <c r="P103" s="152" t="str">
        <f>IFERROR(_xll.qlRateHelperQuoteName(N103,Trigger),"--")</f>
        <v>EUR3E6E60Y_LCHQuote</v>
      </c>
      <c r="Q103" s="153">
        <f>IFERROR(_xll.qlRateHelperQuoteValue($N103,Trigger),"--")</f>
        <v>1.4692500000000001E-2</v>
      </c>
      <c r="R103" s="144" t="b">
        <v>1</v>
      </c>
      <c r="S103" s="144">
        <v>10</v>
      </c>
      <c r="T103" s="144">
        <v>1</v>
      </c>
      <c r="U103" s="151">
        <f>IFERROR(_xll.qlRateHelperEarliestDate(N103,Trigger),"--")</f>
        <v>42256</v>
      </c>
      <c r="V103" s="151">
        <f>IFERROR(_xll.qlRateHelperPillarDate(N103,Trigger),"--")</f>
        <v>64171</v>
      </c>
      <c r="X103" s="6" t="str">
        <f t="shared" si="30"/>
        <v/>
      </c>
      <c r="Y103" s="6" t="e">
        <v>#N/A</v>
      </c>
      <c r="Z103" s="6" t="e">
        <v>#N/A</v>
      </c>
      <c r="AA103" s="6" t="str">
        <f>IFERROR(_xll.qlRateHelperQuoteName(Y103,Trigger),"")</f>
        <v/>
      </c>
      <c r="AB103" s="79" t="str">
        <f>IFERROR(_xll.qlRateHelperRate(Y103,Trigger),"")</f>
        <v/>
      </c>
      <c r="AC103" s="105" t="str">
        <f>IF(ISERROR(_xll.qlSwapRateHelperSpread($Y103)),IF(ISERROR(_xll.qlFuturesRateHelperConvexityAdjustment($Y103)),"",_xll.qlFuturesRateHelperConvexityAdjustment($Y103)),_xll.qlSwapRateHelperSpread($Y103))</f>
        <v/>
      </c>
      <c r="AD103" s="12" t="str">
        <f>IFERROR(_xll.qlRateHelperEarliestDate(Y103,Trigger),"")</f>
        <v/>
      </c>
      <c r="AE103" s="12" t="str">
        <f>IFERROR(_xll.qlRateHelperPillarDate(Y103,Trigger),"")</f>
        <v/>
      </c>
      <c r="AF103" s="79" t="e">
        <v>#N/A</v>
      </c>
      <c r="AG103" s="78" t="e">
        <v>#N/A</v>
      </c>
      <c r="AH103" s="46" t="e">
        <v>#N/A</v>
      </c>
      <c r="AI103" s="46" t="e">
        <v>#N/A</v>
      </c>
      <c r="AJ103" s="172" t="e">
        <f t="shared" si="31"/>
        <v>#N/A</v>
      </c>
      <c r="AK103" s="46" t="e">
        <v>#N/A</v>
      </c>
      <c r="AL103" s="161" t="e">
        <f t="shared" si="32"/>
        <v>#N/A</v>
      </c>
    </row>
    <row r="104" spans="1:38" x14ac:dyDescent="0.2">
      <c r="A104" s="59" t="s">
        <v>118</v>
      </c>
      <c r="B104" s="116" t="s">
        <v>111</v>
      </c>
      <c r="C104" s="61" t="s">
        <v>6</v>
      </c>
      <c r="D104" s="61" t="s">
        <v>8</v>
      </c>
      <c r="E104" s="61" t="s">
        <v>7</v>
      </c>
      <c r="F104" s="61" t="s">
        <v>125</v>
      </c>
      <c r="G104" s="61" t="str">
        <f t="shared" si="33"/>
        <v>Euribor3M</v>
      </c>
      <c r="H104" s="59" t="str">
        <f t="shared" si="34"/>
        <v>EUR3E6E29Y_LCHQuote</v>
      </c>
      <c r="I104" s="127">
        <v>0</v>
      </c>
      <c r="J104" s="64" t="str">
        <f>_xll.qlSwapRateHelper2(,$H104,2,$B104,Calendar,$D104,$E104,$F104,$G104,$I104,$C104,Discounting1,PillarDate,,Permanent,Trigger,ObjectOverwrite)</f>
        <v>obj_006dc#0001</v>
      </c>
      <c r="K104" s="64" t="str">
        <f>_xll.qlSwapRateHelper2(,$H104,2,$B104,Calendar,$D104,$E104,$F104,$G104,$I104,$C104,Discounting2,PillarDate,,Permanent,Trigger,ObjectOverwrite)</f>
        <v>obj_006a0#0001</v>
      </c>
      <c r="M104" s="160"/>
    </row>
    <row r="105" spans="1:38" x14ac:dyDescent="0.2">
      <c r="A105" s="59" t="s">
        <v>118</v>
      </c>
      <c r="B105" s="116" t="s">
        <v>66</v>
      </c>
      <c r="C105" s="61" t="s">
        <v>6</v>
      </c>
      <c r="D105" s="61" t="s">
        <v>8</v>
      </c>
      <c r="E105" s="61" t="s">
        <v>7</v>
      </c>
      <c r="F105" s="61" t="s">
        <v>125</v>
      </c>
      <c r="G105" s="61" t="str">
        <f t="shared" si="33"/>
        <v>Euribor3M</v>
      </c>
      <c r="H105" s="59" t="str">
        <f t="shared" si="34"/>
        <v>EUR3E6E30Y_LCHQuote</v>
      </c>
      <c r="I105" s="127">
        <v>0</v>
      </c>
      <c r="J105" s="64" t="str">
        <f>_xll.qlSwapRateHelper2(,$H105,2,$B105,Calendar,$D105,$E105,$F105,$G105,$I105,$C105,Discounting1,PillarDate,,Permanent,Trigger,ObjectOverwrite)</f>
        <v>obj_006e0#0001</v>
      </c>
      <c r="K105" s="64" t="str">
        <f>_xll.qlSwapRateHelper2(,$H105,2,$B105,Calendar,$D105,$E105,$F105,$G105,$I105,$C105,Discounting2,PillarDate,,Permanent,Trigger,ObjectOverwrite)</f>
        <v>obj_006be#0001</v>
      </c>
      <c r="M105" s="160"/>
    </row>
    <row r="106" spans="1:38" x14ac:dyDescent="0.2">
      <c r="A106" s="59" t="s">
        <v>118</v>
      </c>
      <c r="B106" s="116" t="s">
        <v>67</v>
      </c>
      <c r="C106" s="61" t="s">
        <v>6</v>
      </c>
      <c r="D106" s="61" t="s">
        <v>8</v>
      </c>
      <c r="E106" s="61" t="s">
        <v>7</v>
      </c>
      <c r="F106" s="61" t="s">
        <v>125</v>
      </c>
      <c r="G106" s="61" t="str">
        <f t="shared" si="33"/>
        <v>Euribor3M</v>
      </c>
      <c r="H106" s="59" t="str">
        <f t="shared" si="34"/>
        <v>EUR3E6E35Y_LCHQuote</v>
      </c>
      <c r="I106" s="127">
        <v>0</v>
      </c>
      <c r="J106" s="64" t="str">
        <f>_xll.qlSwapRateHelper2(,$H106,2,$B106,Calendar,$D106,$E106,$F106,$G106,$I106,$C106,Discounting1,PillarDate,,Permanent,Trigger,ObjectOverwrite)</f>
        <v>obj_006c0#0001</v>
      </c>
      <c r="K106" s="64" t="str">
        <f>_xll.qlSwapRateHelper2(,$H106,2,$B106,Calendar,$D106,$E106,$F106,$G106,$I106,$C106,Discounting2,PillarDate,,Permanent,Trigger,ObjectOverwrite)</f>
        <v>obj_006c8#0001</v>
      </c>
      <c r="M106" s="160"/>
    </row>
    <row r="107" spans="1:38" x14ac:dyDescent="0.2">
      <c r="A107" s="59" t="s">
        <v>118</v>
      </c>
      <c r="B107" s="116" t="s">
        <v>68</v>
      </c>
      <c r="C107" s="61" t="s">
        <v>6</v>
      </c>
      <c r="D107" s="61" t="s">
        <v>8</v>
      </c>
      <c r="E107" s="61" t="s">
        <v>7</v>
      </c>
      <c r="F107" s="61" t="s">
        <v>125</v>
      </c>
      <c r="G107" s="61" t="str">
        <f t="shared" si="33"/>
        <v>Euribor3M</v>
      </c>
      <c r="H107" s="59" t="str">
        <f t="shared" si="34"/>
        <v>EUR3E6E40Y_LCHQuote</v>
      </c>
      <c r="I107" s="127">
        <v>0</v>
      </c>
      <c r="J107" s="64" t="str">
        <f>_xll.qlSwapRateHelper2(,$H107,2,$B107,Calendar,$D107,$E107,$F107,$G107,$I107,$C107,Discounting1,PillarDate,,Permanent,Trigger,ObjectOverwrite)</f>
        <v>obj_006d1#0001</v>
      </c>
      <c r="K107" s="64" t="str">
        <f>_xll.qlSwapRateHelper2(,$H107,2,$B107,Calendar,$D107,$E107,$F107,$G107,$I107,$C107,Discounting2,PillarDate,,Permanent,Trigger,ObjectOverwrite)</f>
        <v>obj_006cc#0001</v>
      </c>
      <c r="M107" s="160"/>
    </row>
    <row r="108" spans="1:38" x14ac:dyDescent="0.2">
      <c r="A108" s="59" t="s">
        <v>118</v>
      </c>
      <c r="B108" s="116" t="s">
        <v>69</v>
      </c>
      <c r="C108" s="61" t="s">
        <v>6</v>
      </c>
      <c r="D108" s="61" t="s">
        <v>8</v>
      </c>
      <c r="E108" s="61" t="s">
        <v>7</v>
      </c>
      <c r="F108" s="61" t="s">
        <v>125</v>
      </c>
      <c r="G108" s="61" t="str">
        <f t="shared" si="33"/>
        <v>Euribor3M</v>
      </c>
      <c r="H108" s="59" t="str">
        <f t="shared" si="34"/>
        <v>EUR3E6E50Y_LCHQuote</v>
      </c>
      <c r="I108" s="127">
        <v>0</v>
      </c>
      <c r="J108" s="64" t="str">
        <f>_xll.qlSwapRateHelper2(,$H108,2,$B108,Calendar,$D108,$E108,$F108,$G108,$I108,$C108,Discounting1,PillarDate,,Permanent,Trigger,ObjectOverwrite)</f>
        <v>obj_006c5#0001</v>
      </c>
      <c r="K108" s="64" t="str">
        <f>_xll.qlSwapRateHelper2(,$H108,2,$B108,Calendar,$D108,$E108,$F108,$G108,$I108,$C108,Discounting2,PillarDate,,Permanent,Trigger,ObjectOverwrite)</f>
        <v>obj_006a8#0001</v>
      </c>
    </row>
    <row r="109" spans="1:38" x14ac:dyDescent="0.2">
      <c r="A109" s="1" t="s">
        <v>118</v>
      </c>
      <c r="B109" s="117" t="s">
        <v>112</v>
      </c>
      <c r="C109" s="7" t="s">
        <v>6</v>
      </c>
      <c r="D109" s="7" t="s">
        <v>8</v>
      </c>
      <c r="E109" s="7" t="s">
        <v>7</v>
      </c>
      <c r="F109" s="7" t="s">
        <v>125</v>
      </c>
      <c r="G109" s="7" t="str">
        <f t="shared" si="33"/>
        <v>Euribor3M</v>
      </c>
      <c r="H109" s="1" t="str">
        <f t="shared" si="34"/>
        <v>EUR3E6E60Y_LCHQuote</v>
      </c>
      <c r="I109" s="130">
        <v>0</v>
      </c>
      <c r="J109" s="3" t="str">
        <f>_xll.qlSwapRateHelper2(,$H109,2,$B109,Calendar,$D109,$E109,$F109,$G109,$I109,$C109,Discounting1,PillarDate,,Permanent,Trigger,ObjectOverwrite)</f>
        <v>obj_006dd#0001</v>
      </c>
      <c r="K109" s="3" t="str">
        <f>_xll.qlSwapRateHelper2(,$H109,2,$B109,Calendar,$D109,$E109,$F109,$G109,$I109,$C109,Discounting2,PillarDate,,Permanent,Trigger,ObjectOverwrite)</f>
        <v>obj_0069d#0001</v>
      </c>
    </row>
  </sheetData>
  <mergeCells count="1">
    <mergeCell ref="AN2:AO2"/>
  </mergeCells>
  <dataValidations count="4">
    <dataValidation type="list" allowBlank="1" showInputMessage="1" showErrorMessage="1" sqref="D32:D69 D72:D109">
      <formula1>"Annual,Semiannual,EveryFourthMonth,Quarterly,Bimonthly,Monthly,Biweekly,Weekly,Daily,Once,NoFrequency"</formula1>
    </dataValidation>
    <dataValidation type="list" allowBlank="1" showInputMessage="1" showErrorMessage="1" sqref="E32:E69 E72:E109">
      <formula1>"Following,Modified Following,Preceding,Modified Preceding,Unadjusted,Half-Month Modified Following"</formula1>
    </dataValidation>
    <dataValidation type="list" allowBlank="1" showInputMessage="1" showErrorMessage="1" sqref="F32:F69 F72:F10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O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5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8" width="11.710937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3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EUR6M</v>
      </c>
      <c r="Y1" s="66"/>
      <c r="Z1" s="66"/>
      <c r="AA1" s="66"/>
      <c r="AB1" s="69"/>
      <c r="AC1" s="69"/>
      <c r="AD1" s="66"/>
      <c r="AE1" s="66"/>
      <c r="AF1" s="178" t="s">
        <v>143</v>
      </c>
      <c r="AG1" s="178" t="s">
        <v>154</v>
      </c>
      <c r="AN1" s="46" t="s">
        <v>128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150</v>
      </c>
      <c r="K2" s="65" t="s">
        <v>152</v>
      </c>
      <c r="M2" s="73" t="s">
        <v>9</v>
      </c>
      <c r="N2" s="73" t="s">
        <v>150</v>
      </c>
      <c r="O2" s="73" t="s">
        <v>151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150</v>
      </c>
      <c r="Z2" s="73" t="s">
        <v>151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59">_xll.qlPiecewiseYieldCurveData(YieldCurve1_6M,Trigger)</f>
        <v>3.8524077457771747E-4</v>
      </c>
      <c r="AG2" s="77">
        <f t="array" ref="AG2:AG59">_xll.qlPiecewiseYieldCurveData(YieldCurve2_6M,Trigger)</f>
        <v>1</v>
      </c>
      <c r="AJ2" s="46" t="s">
        <v>155</v>
      </c>
      <c r="AL2" s="46" t="s">
        <v>156</v>
      </c>
      <c r="AN2" s="213" t="s">
        <v>85</v>
      </c>
      <c r="AO2" s="214"/>
    </row>
    <row r="3" spans="1:41" ht="11.25" customHeight="1" x14ac:dyDescent="0.2">
      <c r="A3" s="1" t="s">
        <v>26</v>
      </c>
      <c r="B3" s="8" t="s">
        <v>3</v>
      </c>
      <c r="C3" s="124"/>
      <c r="D3" s="124"/>
      <c r="E3" s="124"/>
      <c r="F3" s="124"/>
      <c r="G3" s="7" t="str">
        <f>PROPER(Currency)&amp;FamilyName&amp;B3</f>
        <v>Euribor6M</v>
      </c>
      <c r="H3" s="121" t="str">
        <f>IF(LCHQuoteOverwrite,Currency&amp;$B3&amp;"D"&amp;LCHQuoteSuffix,Currency&amp;$B3&amp;"D"&amp;QuoteSuffix)</f>
        <v>EUR6MD_LCHQuote</v>
      </c>
      <c r="I3" s="124"/>
      <c r="J3" s="3" t="str">
        <f>_xll.qlDepositRateHelper(,H3,G3,Permanent,Trigger,ObjectOverwrite)</f>
        <v>obj_007ab#0001</v>
      </c>
      <c r="K3" s="3" t="str">
        <f>J3</f>
        <v>obj_007ab#0001</v>
      </c>
      <c r="L3" s="49"/>
      <c r="M3" s="11" t="str">
        <f>A3</f>
        <v>Dp</v>
      </c>
      <c r="N3" s="95" t="str">
        <f>IF(ISBLANK(J3),"--",J3)</f>
        <v>obj_007ab#0001</v>
      </c>
      <c r="O3" s="95" t="str">
        <f>IF(ISBLANK(K3),"--",K3)</f>
        <v>obj_007ab#0001</v>
      </c>
      <c r="P3" s="147" t="str">
        <f>IFERROR(_xll.qlRateHelperQuoteName(N3,Trigger),"--")</f>
        <v>EUR6MD_LCHQuote</v>
      </c>
      <c r="Q3" s="101">
        <f>IFERROR(_xll.qlRateHelperQuoteValue($N3,Trigger),"--")</f>
        <v>3.8000000000000002E-4</v>
      </c>
      <c r="R3" s="144" t="b">
        <v>1</v>
      </c>
      <c r="S3" s="95">
        <v>30</v>
      </c>
      <c r="T3" s="95">
        <v>1</v>
      </c>
      <c r="U3" s="102">
        <f>IFERROR(_xll.qlRateHelperEarliestDate(N3,Trigger),"--")</f>
        <v>42256</v>
      </c>
      <c r="V3" s="102">
        <f>IFERROR(_xll.qlRateHelperPillarDate(N3,Trigger),"--")</f>
        <v>42438</v>
      </c>
      <c r="X3" s="4" t="str">
        <f>IFERROR(INDEX($M$3:$M$59,MATCH(AA3,$P$3:$P$59,0),1),"")</f>
        <v>Dp</v>
      </c>
      <c r="Y3" s="4" t="str">
        <f t="array" ref="Y3:Y59">_xll.qlRateHelperSelection(_xll.ohFilter(RateHelpers1,IncludeFlag),_xll.ohFilter(Priority,IncludeFlag),$AO$3,$AO$4,$AO$5,$AO$6,_xll.ohFilter(MinDistance,IncludeFlag),Trigger)</f>
        <v>obj_007ab</v>
      </c>
      <c r="Z3" s="4" t="str">
        <f t="array" ref="Z3:Z59">_xll.qlRateHelperSelection(_xll.ohFilter(RateHelpers1,IncludeFlag),_xll.ohFilter(Priority,IncludeFlag),$AO$3,$AO$4,$AO$5,$AO$6,_xll.ohFilter(MinDistance,IncludeFlag),Trigger)</f>
        <v>obj_007ab</v>
      </c>
      <c r="AA3" s="4" t="str">
        <f>IFERROR(_xll.qlRateHelperQuoteName(Y3,Trigger),"")</f>
        <v>EUR6MD_LCHQuote</v>
      </c>
      <c r="AB3" s="70">
        <f>IFERROR(_xll.qlRateHelperRate(Y3,Trigger),"")</f>
        <v>3.8000000000000002E-4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42256</v>
      </c>
      <c r="AE3" s="5">
        <f>IFERROR(_xll.qlRateHelperPillarDate(Y3,Trigger),"")</f>
        <v>42438</v>
      </c>
      <c r="AF3" s="70">
        <v>3.8524077457771747E-4</v>
      </c>
      <c r="AG3" s="77">
        <v>0.99980542193963406</v>
      </c>
      <c r="AH3" s="169">
        <f t="array" ref="AH3:AH59">_xll.ohFilter([1]REP00100!$C$2:$C$1000,([1]REP00100!$A$2:$A$1000="EUR_EURIBOR_6M_EOD"))</f>
        <v>42438</v>
      </c>
      <c r="AI3" s="170">
        <f t="array" ref="AI3:AI59">_xll.ohFilter([1]REP00100!$E$2:$E$1000,([1]REP00100!$A$2:$A$1000="EUR_EURIBOR_6M_EOD"))</f>
        <v>3.8524077444641001E-4</v>
      </c>
      <c r="AJ3" s="172">
        <f>AF3-AI3</f>
        <v>1.3130745405917632E-13</v>
      </c>
      <c r="AK3" s="80">
        <f t="array" ref="AK3:AK59">_xll.ohFilter([1]REP00101!$F$2:$F$1000,([1]REP00101!$A$2:$A$1000="EUR_EURIBOR_6M_EOD"))</f>
        <v>0.99980581528780399</v>
      </c>
      <c r="AL3" s="161">
        <f>AG3-AK3</f>
        <v>-3.9334816992475652E-7</v>
      </c>
      <c r="AN3" s="107" t="s">
        <v>86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46"/>
      <c r="H4" s="46"/>
      <c r="L4" s="48"/>
      <c r="M4" s="68" t="str">
        <f t="shared" ref="M4" si="0">A6</f>
        <v>FRA</v>
      </c>
      <c r="N4" s="131" t="str">
        <f t="shared" ref="N4:O4" si="1">IF(ISBLANK(J6),"--",J6)</f>
        <v>obj_0079b#0001</v>
      </c>
      <c r="O4" s="131" t="str">
        <f t="shared" si="1"/>
        <v>obj_0079b#0001</v>
      </c>
      <c r="P4" s="145" t="str">
        <f>IFERROR(_xll.qlRateHelperQuoteName(N4,Trigger),"--")</f>
        <v>EUR1x7F_LCHQuote</v>
      </c>
      <c r="Q4" s="133">
        <f>IFERROR(_xll.qlRateHelperQuoteValue($N4,Trigger),"--")</f>
        <v>3.5E-4</v>
      </c>
      <c r="R4" s="137" t="b">
        <v>1</v>
      </c>
      <c r="S4" s="131">
        <v>20</v>
      </c>
      <c r="T4" s="131">
        <v>1</v>
      </c>
      <c r="U4" s="134">
        <f>IFERROR(_xll.qlRateHelperEarliestDate(N4,Trigger),"--")</f>
        <v>42286</v>
      </c>
      <c r="V4" s="134">
        <f>IFERROR(_xll.qlRateHelperPillarDate(N4,Trigger),"--")</f>
        <v>42471</v>
      </c>
      <c r="X4" s="4" t="str">
        <f t="shared" ref="X4:X59" si="2">IFERROR(INDEX($M$3:$M$59,MATCH(AA4,$P$3:$P$59,0),1),"")</f>
        <v>FRA</v>
      </c>
      <c r="Y4" s="4" t="str">
        <v>obj_0079b</v>
      </c>
      <c r="Z4" s="4" t="str">
        <v>obj_0079b</v>
      </c>
      <c r="AA4" s="4" t="str">
        <f>IFERROR(_xll.qlRateHelperQuoteName(Y4,Trigger),"")</f>
        <v>EUR1x7F_LCHQuote</v>
      </c>
      <c r="AB4" s="70">
        <f>IFERROR(_xll.qlRateHelperRate(Y4,Trigger),"")</f>
        <v>3.5E-4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42286</v>
      </c>
      <c r="AE4" s="5">
        <f>IFERROR(_xll.qlRateHelperPillarDate(Y4,Trigger),"")</f>
        <v>42471</v>
      </c>
      <c r="AF4" s="70">
        <v>3.5931385793251002E-4</v>
      </c>
      <c r="AG4" s="77">
        <v>0.99978029747328379</v>
      </c>
      <c r="AH4" s="169">
        <v>42471</v>
      </c>
      <c r="AI4" s="170">
        <v>3.5931385791292001E-4</v>
      </c>
      <c r="AJ4" s="172">
        <f t="shared" ref="AJ4:AJ59" si="3">AF4-AI4</f>
        <v>1.9590015373771585E-14</v>
      </c>
      <c r="AK4" s="80">
        <v>0.99978640334332403</v>
      </c>
      <c r="AL4" s="161">
        <f t="shared" ref="AL4:AL59" si="4">AG4-AK4</f>
        <v>-6.1058700402405464E-6</v>
      </c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91</v>
      </c>
      <c r="C5" s="65" t="s">
        <v>92</v>
      </c>
      <c r="D5" s="65"/>
      <c r="E5" s="65"/>
      <c r="F5" s="65"/>
      <c r="G5" s="65" t="s">
        <v>4</v>
      </c>
      <c r="H5" s="65" t="s">
        <v>1</v>
      </c>
      <c r="I5" s="65"/>
      <c r="J5" s="65" t="s">
        <v>150</v>
      </c>
      <c r="K5" s="65" t="s">
        <v>152</v>
      </c>
      <c r="L5" s="48"/>
      <c r="M5" s="10" t="str">
        <f t="shared" ref="M5:M21" si="5">A7</f>
        <v>FRA</v>
      </c>
      <c r="N5" s="94" t="str">
        <f t="shared" ref="N5:N21" si="6">IF(ISBLANK(J7),"--",J7)</f>
        <v>obj_00648#0001</v>
      </c>
      <c r="O5" s="94" t="str">
        <f t="shared" ref="O5:O21" si="7">IF(ISBLANK(K7),"--",K7)</f>
        <v>obj_00648#0001</v>
      </c>
      <c r="P5" s="146" t="str">
        <f>IFERROR(_xll.qlRateHelperQuoteName(N5,Trigger),"--")</f>
        <v>EUR2x8F_LCHQuote</v>
      </c>
      <c r="Q5" s="98">
        <f>IFERROR(_xll.qlRateHelperQuoteValue($N5,Trigger),"--")</f>
        <v>3.5E-4</v>
      </c>
      <c r="R5" s="141" t="b">
        <v>1</v>
      </c>
      <c r="S5" s="94">
        <v>20</v>
      </c>
      <c r="T5" s="94">
        <v>1</v>
      </c>
      <c r="U5" s="99">
        <f>IFERROR(_xll.qlRateHelperEarliestDate(N5,Trigger),"--")</f>
        <v>42317</v>
      </c>
      <c r="V5" s="99">
        <f>IFERROR(_xll.qlRateHelperPillarDate(N5,Trigger),"--")</f>
        <v>42499</v>
      </c>
      <c r="X5" s="4" t="str">
        <f t="shared" si="2"/>
        <v>FRA</v>
      </c>
      <c r="Y5" s="4" t="str">
        <v>obj_00648</v>
      </c>
      <c r="Z5" s="4" t="str">
        <v>obj_00648</v>
      </c>
      <c r="AA5" s="4" t="str">
        <f>IFERROR(_xll.qlRateHelperQuoteName(Y5,Trigger),"")</f>
        <v>EUR2x8F_LCHQuote</v>
      </c>
      <c r="AB5" s="70">
        <f>IFERROR(_xll.qlRateHelperRate(Y5,Trigger),"")</f>
        <v>3.5E-4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42317</v>
      </c>
      <c r="AE5" s="5">
        <f>IFERROR(_xll.qlRateHelperPillarDate(Y5,Trigger),"")</f>
        <v>42499</v>
      </c>
      <c r="AF5" s="70">
        <v>3.6264970506408035E-4</v>
      </c>
      <c r="AG5" s="77">
        <v>0.99974565282730599</v>
      </c>
      <c r="AH5" s="169">
        <v>42499</v>
      </c>
      <c r="AI5" s="170">
        <v>3.6264970503026002E-4</v>
      </c>
      <c r="AJ5" s="172">
        <f t="shared" si="3"/>
        <v>3.3820331517969704E-14</v>
      </c>
      <c r="AK5" s="80">
        <v>0.99975660722008297</v>
      </c>
      <c r="AL5" s="161">
        <f t="shared" si="4"/>
        <v>-1.0954392776985067E-5</v>
      </c>
      <c r="AM5" s="80"/>
      <c r="AN5" s="107" t="s">
        <v>88</v>
      </c>
      <c r="AO5" s="108">
        <v>0</v>
      </c>
    </row>
    <row r="6" spans="1:41" ht="11.25" customHeight="1" x14ac:dyDescent="0.2">
      <c r="A6" s="53" t="s">
        <v>93</v>
      </c>
      <c r="B6" s="115">
        <v>1</v>
      </c>
      <c r="C6" s="56" t="str">
        <f t="shared" ref="C6" si="8">"x"&amp;B6+SUBSTITUTE($G$1,"M","")&amp;"F"</f>
        <v>x7F</v>
      </c>
      <c r="D6" s="129"/>
      <c r="E6" s="129"/>
      <c r="F6" s="129"/>
      <c r="G6" s="55" t="str">
        <f t="shared" ref="G6:G23" si="9">PROPER(Currency)&amp;FamilyName&amp;$G$1</f>
        <v>Euribor6M</v>
      </c>
      <c r="H6" s="118" t="str">
        <f t="shared" ref="H6" si="10">IF(LCHQuoteOverwrite,Currency&amp;B6&amp;C6&amp;LCHQuoteSuffix,Currency&amp;B6&amp;C6&amp;QuoteSuffix)</f>
        <v>EUR1x7F_LCHQuote</v>
      </c>
      <c r="I6" s="129"/>
      <c r="J6" s="58" t="str">
        <f>_xll.qlFraRateHelper(,H6,B6&amp;"M",G6,PillarDate,,Permanent,Trigger,ObjectOverwrite)</f>
        <v>obj_0079b#0001</v>
      </c>
      <c r="K6" s="58" t="str">
        <f>J6</f>
        <v>obj_0079b#0001</v>
      </c>
      <c r="L6" s="48"/>
      <c r="M6" s="10" t="str">
        <f t="shared" si="5"/>
        <v>FRA</v>
      </c>
      <c r="N6" s="94" t="str">
        <f t="shared" si="6"/>
        <v>obj_00646#0001</v>
      </c>
      <c r="O6" s="94" t="str">
        <f t="shared" si="7"/>
        <v>obj_00646#0001</v>
      </c>
      <c r="P6" s="146" t="str">
        <f>IFERROR(_xll.qlRateHelperQuoteName(N6,Trigger),"--")</f>
        <v>EUR3x9F_LCHQuote</v>
      </c>
      <c r="Q6" s="98">
        <f>IFERROR(_xll.qlRateHelperQuoteValue($N6,Trigger),"--")</f>
        <v>3.5E-4</v>
      </c>
      <c r="R6" s="141" t="b">
        <v>1</v>
      </c>
      <c r="S6" s="94">
        <v>20</v>
      </c>
      <c r="T6" s="94">
        <v>1</v>
      </c>
      <c r="U6" s="99">
        <f>IFERROR(_xll.qlRateHelperEarliestDate(N6,Trigger),"--")</f>
        <v>42347</v>
      </c>
      <c r="V6" s="99">
        <f>IFERROR(_xll.qlRateHelperPillarDate(N6,Trigger),"--")</f>
        <v>42530</v>
      </c>
      <c r="X6" s="4" t="str">
        <f t="shared" si="2"/>
        <v>FRA</v>
      </c>
      <c r="Y6" s="4" t="str">
        <v>obj_00646</v>
      </c>
      <c r="Z6" s="4" t="str">
        <v>obj_00646</v>
      </c>
      <c r="AA6" s="4" t="str">
        <f>IFERROR(_xll.qlRateHelperQuoteName(Y6,Trigger),"")</f>
        <v>EUR3x9F_LCHQuote</v>
      </c>
      <c r="AB6" s="70">
        <f>IFERROR(_xll.qlRateHelperRate(Y6,Trigger),"")</f>
        <v>3.5E-4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42347</v>
      </c>
      <c r="AE6" s="5">
        <f>IFERROR(_xll.qlRateHelperPillarDate(Y6,Trigger),"")</f>
        <v>42530</v>
      </c>
      <c r="AF6" s="70">
        <v>3.6507680870972314E-4</v>
      </c>
      <c r="AG6" s="77">
        <v>0.99971031076271166</v>
      </c>
      <c r="AH6" s="169">
        <v>42530</v>
      </c>
      <c r="AI6" s="170">
        <v>3.6507680842331E-4</v>
      </c>
      <c r="AJ6" s="172">
        <f t="shared" si="3"/>
        <v>2.8641314580440946E-13</v>
      </c>
      <c r="AK6" s="80">
        <v>0.99972398002073204</v>
      </c>
      <c r="AL6" s="161">
        <f t="shared" si="4"/>
        <v>-1.3669258020376773E-5</v>
      </c>
      <c r="AN6" s="107" t="s">
        <v>89</v>
      </c>
      <c r="AO6" s="109" t="s">
        <v>90</v>
      </c>
    </row>
    <row r="7" spans="1:41" ht="11.25" customHeight="1" x14ac:dyDescent="0.2">
      <c r="A7" s="59" t="s">
        <v>93</v>
      </c>
      <c r="B7" s="116">
        <v>2</v>
      </c>
      <c r="C7" s="62" t="str">
        <f t="shared" ref="C7:C23" si="11">"x"&amp;B7+SUBSTITUTE($G$1,"M","")&amp;"F"</f>
        <v>x8F</v>
      </c>
      <c r="D7" s="123"/>
      <c r="E7" s="123"/>
      <c r="F7" s="123"/>
      <c r="G7" s="61" t="str">
        <f t="shared" si="9"/>
        <v>Euribor6M</v>
      </c>
      <c r="H7" s="119" t="str">
        <f t="shared" ref="H7:H23" si="12">IF(LCHQuoteOverwrite,Currency&amp;B7&amp;C7&amp;LCHQuoteSuffix,Currency&amp;B7&amp;C7&amp;QuoteSuffix)</f>
        <v>EUR2x8F_LCHQuote</v>
      </c>
      <c r="I7" s="123"/>
      <c r="J7" s="64" t="str">
        <f>_xll.qlFraRateHelper(,H7,B7&amp;"M",G7,PillarDate,,Permanent,Trigger,ObjectOverwrite)</f>
        <v>obj_00648#0001</v>
      </c>
      <c r="K7" s="64" t="str">
        <f t="shared" ref="K7:K23" si="13">J7</f>
        <v>obj_00648#0001</v>
      </c>
      <c r="L7" s="48"/>
      <c r="M7" s="10" t="str">
        <f t="shared" si="5"/>
        <v>FRA</v>
      </c>
      <c r="N7" s="94" t="str">
        <f t="shared" si="6"/>
        <v>obj_00645#0001</v>
      </c>
      <c r="O7" s="94" t="str">
        <f t="shared" si="7"/>
        <v>obj_00645#0001</v>
      </c>
      <c r="P7" s="146" t="str">
        <f>IFERROR(_xll.qlRateHelperQuoteName(N7,Trigger),"--")</f>
        <v>EUR4x10F_LCHQuote</v>
      </c>
      <c r="Q7" s="98">
        <f>IFERROR(_xll.qlRateHelperQuoteValue($N7,Trigger),"--")</f>
        <v>3.7166670000000001E-4</v>
      </c>
      <c r="R7" s="141" t="b">
        <v>1</v>
      </c>
      <c r="S7" s="94">
        <v>20</v>
      </c>
      <c r="T7" s="94">
        <v>1</v>
      </c>
      <c r="U7" s="99">
        <f>IFERROR(_xll.qlRateHelperEarliestDate(N7,Trigger),"--")</f>
        <v>42380</v>
      </c>
      <c r="V7" s="99">
        <f>IFERROR(_xll.qlRateHelperPillarDate(N7,Trigger),"--")</f>
        <v>42562</v>
      </c>
      <c r="X7" s="4" t="str">
        <f t="shared" si="2"/>
        <v>FRA</v>
      </c>
      <c r="Y7" s="4" t="str">
        <v>obj_00645</v>
      </c>
      <c r="Z7" s="4" t="str">
        <v>obj_00645</v>
      </c>
      <c r="AA7" s="4" t="str">
        <f>IFERROR(_xll.qlRateHelperQuoteName(Y7,Trigger),"")</f>
        <v>EUR4x10F_LCHQuote</v>
      </c>
      <c r="AB7" s="70">
        <f>IFERROR(_xll.qlRateHelperRate(Y7,Trigger),"")</f>
        <v>3.7166670000000001E-4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42380</v>
      </c>
      <c r="AE7" s="5">
        <f>IFERROR(_xll.qlRateHelperPillarDate(Y7,Trigger),"")</f>
        <v>42562</v>
      </c>
      <c r="AF7" s="70">
        <v>3.802491082299829E-4</v>
      </c>
      <c r="AG7" s="77">
        <v>0.9996658971582052</v>
      </c>
      <c r="AH7" s="169">
        <v>42562</v>
      </c>
      <c r="AI7" s="170">
        <v>3.8024908721077998E-4</v>
      </c>
      <c r="AJ7" s="172">
        <f t="shared" si="3"/>
        <v>2.1019202925496444E-11</v>
      </c>
      <c r="AK7" s="80">
        <v>0.99967918374963605</v>
      </c>
      <c r="AL7" s="161">
        <f t="shared" si="4"/>
        <v>-1.3286591430849981E-5</v>
      </c>
    </row>
    <row r="8" spans="1:41" ht="11.25" customHeight="1" x14ac:dyDescent="0.2">
      <c r="A8" s="59" t="s">
        <v>93</v>
      </c>
      <c r="B8" s="116">
        <v>3</v>
      </c>
      <c r="C8" s="62" t="str">
        <f t="shared" si="11"/>
        <v>x9F</v>
      </c>
      <c r="D8" s="123"/>
      <c r="E8" s="123"/>
      <c r="F8" s="123"/>
      <c r="G8" s="61" t="str">
        <f t="shared" si="9"/>
        <v>Euribor6M</v>
      </c>
      <c r="H8" s="119" t="str">
        <f t="shared" si="12"/>
        <v>EUR3x9F_LCHQuote</v>
      </c>
      <c r="I8" s="123"/>
      <c r="J8" s="64" t="str">
        <f>_xll.qlFraRateHelper(,H8,B8&amp;"M",G8,PillarDate,,Permanent,Trigger,ObjectOverwrite)</f>
        <v>obj_00646#0001</v>
      </c>
      <c r="K8" s="64" t="str">
        <f t="shared" si="13"/>
        <v>obj_00646#0001</v>
      </c>
      <c r="L8" s="48"/>
      <c r="M8" s="10" t="str">
        <f t="shared" si="5"/>
        <v>FRA</v>
      </c>
      <c r="N8" s="94" t="str">
        <f t="shared" si="6"/>
        <v>obj_00643#0001</v>
      </c>
      <c r="O8" s="94" t="str">
        <f t="shared" si="7"/>
        <v>obj_00643#0001</v>
      </c>
      <c r="P8" s="146" t="str">
        <f>IFERROR(_xll.qlRateHelperQuoteName(N8,Trigger),"--")</f>
        <v>EUR5x11F_LCHQuote</v>
      </c>
      <c r="Q8" s="98">
        <f>IFERROR(_xll.qlRateHelperQuoteValue($N8,Trigger),"--")</f>
        <v>3.6166669999999998E-4</v>
      </c>
      <c r="R8" s="141" t="b">
        <v>1</v>
      </c>
      <c r="S8" s="94">
        <v>20</v>
      </c>
      <c r="T8" s="94">
        <v>1</v>
      </c>
      <c r="U8" s="99">
        <f>IFERROR(_xll.qlRateHelperEarliestDate(N8,Trigger),"--")</f>
        <v>42409</v>
      </c>
      <c r="V8" s="99">
        <f>IFERROR(_xll.qlRateHelperPillarDate(N8,Trigger),"--")</f>
        <v>42591</v>
      </c>
      <c r="X8" s="4" t="str">
        <f t="shared" si="2"/>
        <v>FRA</v>
      </c>
      <c r="Y8" s="4" t="str">
        <v>obj_00643</v>
      </c>
      <c r="Z8" s="4" t="str">
        <v>obj_00643</v>
      </c>
      <c r="AA8" s="4" t="str">
        <f>IFERROR(_xll.qlRateHelperQuoteName(Y8,Trigger),"")</f>
        <v>EUR5x11F_LCHQuote</v>
      </c>
      <c r="AB8" s="70">
        <f>IFERROR(_xll.qlRateHelperRate(Y8,Trigger),"")</f>
        <v>3.6166669999999998E-4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42409</v>
      </c>
      <c r="AE8" s="5">
        <f>IFERROR(_xll.qlRateHelperPillarDate(Y8,Trigger),"")</f>
        <v>42591</v>
      </c>
      <c r="AF8" s="70">
        <v>3.7520407126471881E-4</v>
      </c>
      <c r="AG8" s="77">
        <v>0.99964455195687063</v>
      </c>
      <c r="AH8" s="169">
        <v>42591</v>
      </c>
      <c r="AI8" s="170">
        <v>3.7520405204333001E-4</v>
      </c>
      <c r="AJ8" s="172">
        <f t="shared" si="3"/>
        <v>1.9221388803530859E-11</v>
      </c>
      <c r="AK8" s="80">
        <v>0.99965363872147395</v>
      </c>
      <c r="AL8" s="161">
        <f t="shared" si="4"/>
        <v>-9.0867646033165883E-6</v>
      </c>
    </row>
    <row r="9" spans="1:41" ht="11.25" customHeight="1" x14ac:dyDescent="0.2">
      <c r="A9" s="59" t="s">
        <v>93</v>
      </c>
      <c r="B9" s="116">
        <v>4</v>
      </c>
      <c r="C9" s="62" t="str">
        <f t="shared" si="11"/>
        <v>x10F</v>
      </c>
      <c r="D9" s="123"/>
      <c r="E9" s="123"/>
      <c r="F9" s="123"/>
      <c r="G9" s="61" t="str">
        <f t="shared" si="9"/>
        <v>Euribor6M</v>
      </c>
      <c r="H9" s="119" t="str">
        <f t="shared" si="12"/>
        <v>EUR4x10F_LCHQuote</v>
      </c>
      <c r="I9" s="123"/>
      <c r="J9" s="64" t="str">
        <f>_xll.qlFraRateHelper(,H9,B9&amp;"M",G9,PillarDate,,Permanent,Trigger,ObjectOverwrite)</f>
        <v>obj_00645#0001</v>
      </c>
      <c r="K9" s="64" t="str">
        <f t="shared" si="13"/>
        <v>obj_00645#0001</v>
      </c>
      <c r="L9" s="48"/>
      <c r="M9" s="10" t="str">
        <f t="shared" si="5"/>
        <v>FRA</v>
      </c>
      <c r="N9" s="94" t="str">
        <f t="shared" si="6"/>
        <v>obj_0063c#0001</v>
      </c>
      <c r="O9" s="94" t="str">
        <f t="shared" si="7"/>
        <v>obj_0063c#0001</v>
      </c>
      <c r="P9" s="146" t="str">
        <f>IFERROR(_xll.qlRateHelperQuoteName(N9,Trigger),"--")</f>
        <v>EUR6x12F_LCHQuote</v>
      </c>
      <c r="Q9" s="98">
        <f>IFERROR(_xll.qlRateHelperQuoteValue($N9,Trigger),"--")</f>
        <v>3.9125E-4</v>
      </c>
      <c r="R9" s="141" t="b">
        <v>1</v>
      </c>
      <c r="S9" s="94">
        <v>20</v>
      </c>
      <c r="T9" s="94">
        <v>1</v>
      </c>
      <c r="U9" s="99">
        <f>IFERROR(_xll.qlRateHelperEarliestDate(N9,Trigger),"--")</f>
        <v>42438</v>
      </c>
      <c r="V9" s="99">
        <f>IFERROR(_xll.qlRateHelperPillarDate(N9,Trigger),"--")</f>
        <v>42622</v>
      </c>
      <c r="X9" s="4" t="str">
        <f t="shared" si="2"/>
        <v>FRA</v>
      </c>
      <c r="Y9" s="4" t="str">
        <v>obj_0063c</v>
      </c>
      <c r="Z9" s="4" t="str">
        <v>obj_0063c</v>
      </c>
      <c r="AA9" s="4" t="str">
        <f>IFERROR(_xll.qlRateHelperQuoteName(Y9,Trigger),"")</f>
        <v>EUR6x12F_LCHQuote</v>
      </c>
      <c r="AB9" s="70">
        <f>IFERROR(_xll.qlRateHelperRate(Y9,Trigger),"")</f>
        <v>3.9125E-4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42438</v>
      </c>
      <c r="AE9" s="5">
        <f>IFERROR(_xll.qlRateHelperPillarDate(Y9,Trigger),"")</f>
        <v>42622</v>
      </c>
      <c r="AF9" s="70">
        <v>3.9094257237436885E-4</v>
      </c>
      <c r="AG9" s="77">
        <v>0.99960552860084073</v>
      </c>
      <c r="AH9" s="169">
        <v>42622</v>
      </c>
      <c r="AI9" s="170">
        <v>3.9094257230873E-4</v>
      </c>
      <c r="AJ9" s="172">
        <f t="shared" si="3"/>
        <v>6.5638846354770797E-14</v>
      </c>
      <c r="AK9" s="80">
        <v>0.99960592187026198</v>
      </c>
      <c r="AL9" s="161">
        <f t="shared" si="4"/>
        <v>-3.9326942125050834E-7</v>
      </c>
    </row>
    <row r="10" spans="1:41" ht="11.25" customHeight="1" x14ac:dyDescent="0.2">
      <c r="A10" s="59" t="s">
        <v>93</v>
      </c>
      <c r="B10" s="116">
        <v>5</v>
      </c>
      <c r="C10" s="62" t="str">
        <f t="shared" si="11"/>
        <v>x11F</v>
      </c>
      <c r="D10" s="123"/>
      <c r="E10" s="123"/>
      <c r="F10" s="123"/>
      <c r="G10" s="61" t="str">
        <f t="shared" si="9"/>
        <v>Euribor6M</v>
      </c>
      <c r="H10" s="119" t="str">
        <f t="shared" si="12"/>
        <v>EUR5x11F_LCHQuote</v>
      </c>
      <c r="I10" s="123"/>
      <c r="J10" s="64" t="str">
        <f>_xll.qlFraRateHelper(,H10,B10&amp;"M",G10,PillarDate,,Permanent,Trigger,ObjectOverwrite)</f>
        <v>obj_00643#0001</v>
      </c>
      <c r="K10" s="64" t="str">
        <f t="shared" si="13"/>
        <v>obj_00643#0001</v>
      </c>
      <c r="L10" s="48"/>
      <c r="M10" s="10" t="str">
        <f t="shared" si="5"/>
        <v>FRA</v>
      </c>
      <c r="N10" s="94" t="str">
        <f t="shared" si="6"/>
        <v>obj_0063b#0001</v>
      </c>
      <c r="O10" s="94" t="str">
        <f t="shared" si="7"/>
        <v>obj_0063b#0001</v>
      </c>
      <c r="P10" s="146" t="str">
        <f>IFERROR(_xll.qlRateHelperQuoteName(N10,Trigger),"--")</f>
        <v>EUR7x13F_LCHQuote</v>
      </c>
      <c r="Q10" s="98" t="str">
        <f>IFERROR(_xll.qlRateHelperQuoteValue($N10,Trigger),"--")</f>
        <v>--</v>
      </c>
      <c r="R10" s="141" t="b">
        <v>0</v>
      </c>
      <c r="S10" s="94">
        <v>20</v>
      </c>
      <c r="T10" s="94">
        <v>1</v>
      </c>
      <c r="U10" s="99">
        <f>IFERROR(_xll.qlRateHelperEarliestDate(N10,Trigger),"--")</f>
        <v>42471</v>
      </c>
      <c r="V10" s="99">
        <f>IFERROR(_xll.qlRateHelperPillarDate(N10,Trigger),"--")</f>
        <v>42653</v>
      </c>
      <c r="X10" s="4" t="str">
        <f t="shared" si="2"/>
        <v>FRA</v>
      </c>
      <c r="Y10" s="4" t="str">
        <v>obj_0063a</v>
      </c>
      <c r="Z10" s="4" t="str">
        <v>obj_0063a</v>
      </c>
      <c r="AA10" s="4" t="str">
        <f>IFERROR(_xll.qlRateHelperQuoteName(Y10,Trigger),"")</f>
        <v>EUR12x18F_LCHQuote</v>
      </c>
      <c r="AB10" s="70">
        <f>IFERROR(_xll.qlRateHelperRate(Y10,Trigger),"")</f>
        <v>8.1125000000000001E-4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42622</v>
      </c>
      <c r="AE10" s="5">
        <f>IFERROR(_xll.qlRateHelperPillarDate(Y10,Trigger),"")</f>
        <v>42803</v>
      </c>
      <c r="AF10" s="70">
        <v>5.3317332541857573E-4</v>
      </c>
      <c r="AG10" s="77">
        <v>0.99919797725589021</v>
      </c>
      <c r="AH10" s="169">
        <v>42803</v>
      </c>
      <c r="AI10" s="170">
        <v>5.3317332538784998E-4</v>
      </c>
      <c r="AJ10" s="172">
        <f t="shared" si="3"/>
        <v>3.0725747467152953E-14</v>
      </c>
      <c r="AK10" s="80">
        <v>0.99919837036551395</v>
      </c>
      <c r="AL10" s="161">
        <f t="shared" si="4"/>
        <v>-3.9310962374194958E-7</v>
      </c>
    </row>
    <row r="11" spans="1:41" ht="11.25" customHeight="1" x14ac:dyDescent="0.2">
      <c r="A11" s="59" t="s">
        <v>93</v>
      </c>
      <c r="B11" s="116">
        <v>6</v>
      </c>
      <c r="C11" s="62" t="str">
        <f t="shared" si="11"/>
        <v>x12F</v>
      </c>
      <c r="D11" s="123"/>
      <c r="E11" s="123"/>
      <c r="F11" s="123"/>
      <c r="G11" s="61" t="str">
        <f t="shared" si="9"/>
        <v>Euribor6M</v>
      </c>
      <c r="H11" s="119" t="str">
        <f t="shared" si="12"/>
        <v>EUR6x12F_LCHQuote</v>
      </c>
      <c r="I11" s="123"/>
      <c r="J11" s="64" t="str">
        <f>_xll.qlFraRateHelper(,H11,B11&amp;"M",G11,PillarDate,,Permanent,Trigger,ObjectOverwrite)</f>
        <v>obj_0063c#0001</v>
      </c>
      <c r="K11" s="64" t="str">
        <f t="shared" si="13"/>
        <v>obj_0063c#0001</v>
      </c>
      <c r="L11" s="48"/>
      <c r="M11" s="10" t="str">
        <f t="shared" si="5"/>
        <v>FRA</v>
      </c>
      <c r="N11" s="94" t="str">
        <f t="shared" si="6"/>
        <v>obj_00642#0001</v>
      </c>
      <c r="O11" s="94" t="str">
        <f t="shared" si="7"/>
        <v>obj_00642#0001</v>
      </c>
      <c r="P11" s="146" t="str">
        <f>IFERROR(_xll.qlRateHelperQuoteName(N11,Trigger),"--")</f>
        <v>EUR8x14F_LCHQuote</v>
      </c>
      <c r="Q11" s="98" t="str">
        <f>IFERROR(_xll.qlRateHelperQuoteValue($N11,Trigger),"--")</f>
        <v>--</v>
      </c>
      <c r="R11" s="141" t="b">
        <v>0</v>
      </c>
      <c r="S11" s="94">
        <v>20</v>
      </c>
      <c r="T11" s="94">
        <v>1</v>
      </c>
      <c r="U11" s="99">
        <f>IFERROR(_xll.qlRateHelperEarliestDate(N11,Trigger),"--")</f>
        <v>42499</v>
      </c>
      <c r="V11" s="99">
        <f>IFERROR(_xll.qlRateHelperPillarDate(N11,Trigger),"--")</f>
        <v>42683</v>
      </c>
      <c r="X11" s="4" t="str">
        <f t="shared" si="2"/>
        <v>Sw</v>
      </c>
      <c r="Y11" s="4" t="str">
        <v>obj_00767</v>
      </c>
      <c r="Z11" s="4" t="str">
        <v>obj_00767</v>
      </c>
      <c r="AA11" s="4" t="str">
        <f>IFERROR(_xll.qlRateHelperQuoteName(Y11,Trigger),"")</f>
        <v>EURAB6E2Y_LCHQuote</v>
      </c>
      <c r="AB11" s="70">
        <f>IFERROR(_xll.qlRateHelperRate(Y11,Trigger),"")</f>
        <v>7.9675000000000004E-4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42256</v>
      </c>
      <c r="AE11" s="5">
        <f>IFERROR(_xll.qlRateHelperPillarDate(Y11,Trigger),"")</f>
        <v>42989</v>
      </c>
      <c r="AF11" s="70">
        <v>7.9430076182474983E-4</v>
      </c>
      <c r="AG11" s="77">
        <v>0.99840140333746974</v>
      </c>
      <c r="AH11" s="169">
        <v>42989</v>
      </c>
      <c r="AI11" s="170">
        <v>7.9430076183396999E-4</v>
      </c>
      <c r="AJ11" s="172">
        <f t="shared" si="3"/>
        <v>-9.2201636950339783E-15</v>
      </c>
      <c r="AK11" s="80">
        <v>0.99840179613415003</v>
      </c>
      <c r="AL11" s="161">
        <f t="shared" si="4"/>
        <v>-3.9279668029301718E-7</v>
      </c>
    </row>
    <row r="12" spans="1:41" ht="11.25" customHeight="1" x14ac:dyDescent="0.2">
      <c r="A12" s="59" t="s">
        <v>93</v>
      </c>
      <c r="B12" s="116">
        <v>7</v>
      </c>
      <c r="C12" s="62" t="str">
        <f t="shared" si="11"/>
        <v>x13F</v>
      </c>
      <c r="D12" s="123"/>
      <c r="E12" s="123"/>
      <c r="F12" s="123"/>
      <c r="G12" s="61" t="str">
        <f t="shared" si="9"/>
        <v>Euribor6M</v>
      </c>
      <c r="H12" s="119" t="str">
        <f t="shared" si="12"/>
        <v>EUR7x13F_LCHQuote</v>
      </c>
      <c r="I12" s="123"/>
      <c r="J12" s="64" t="str">
        <f>_xll.qlFraRateHelper(,H12,B12&amp;"M",G12,PillarDate,,Permanent,Trigger,ObjectOverwrite)</f>
        <v>obj_0063b#0001</v>
      </c>
      <c r="K12" s="64" t="str">
        <f t="shared" si="13"/>
        <v>obj_0063b#0001</v>
      </c>
      <c r="L12" s="48" t="s">
        <v>36</v>
      </c>
      <c r="M12" s="10" t="str">
        <f t="shared" si="5"/>
        <v>FRA</v>
      </c>
      <c r="N12" s="94" t="str">
        <f t="shared" si="6"/>
        <v>obj_0063f#0001</v>
      </c>
      <c r="O12" s="94" t="str">
        <f t="shared" si="7"/>
        <v>obj_0063f#0001</v>
      </c>
      <c r="P12" s="146" t="str">
        <f>IFERROR(_xll.qlRateHelperQuoteName(N12,Trigger),"--")</f>
        <v>EUR9x15F_LCHQuote</v>
      </c>
      <c r="Q12" s="98" t="str">
        <f>IFERROR(_xll.qlRateHelperQuoteValue($N12,Trigger),"--")</f>
        <v>--</v>
      </c>
      <c r="R12" s="141" t="b">
        <v>0</v>
      </c>
      <c r="S12" s="94">
        <v>20</v>
      </c>
      <c r="T12" s="94">
        <v>1</v>
      </c>
      <c r="U12" s="99">
        <f>IFERROR(_xll.qlRateHelperEarliestDate(N12,Trigger),"--")</f>
        <v>42530</v>
      </c>
      <c r="V12" s="99">
        <f>IFERROR(_xll.qlRateHelperPillarDate(N12,Trigger),"--")</f>
        <v>42713</v>
      </c>
      <c r="X12" s="4" t="str">
        <f t="shared" si="2"/>
        <v>Sw</v>
      </c>
      <c r="Y12" s="4" t="str">
        <v>obj_00788</v>
      </c>
      <c r="Z12" s="4" t="str">
        <v>obj_00788</v>
      </c>
      <c r="AA12" s="4" t="str">
        <f>IFERROR(_xll.qlRateHelperQuoteName(Y12,Trigger),"")</f>
        <v>EURAB6E3Y_LCHQuote</v>
      </c>
      <c r="AB12" s="70">
        <f>IFERROR(_xll.qlRateHelperRate(Y12,Trigger),"")</f>
        <v>1.5089999999999999E-3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42256</v>
      </c>
      <c r="AE12" s="5">
        <f>IFERROR(_xll.qlRateHelperPillarDate(Y12,Trigger),"")</f>
        <v>43353</v>
      </c>
      <c r="AF12" s="70">
        <v>1.5034589722157752E-3</v>
      </c>
      <c r="AG12" s="77">
        <v>0.99548412323851665</v>
      </c>
      <c r="AH12" s="169">
        <v>43353</v>
      </c>
      <c r="AI12" s="170">
        <v>1.5034589722146901E-3</v>
      </c>
      <c r="AJ12" s="172">
        <f t="shared" si="3"/>
        <v>1.0850695342234928E-15</v>
      </c>
      <c r="AK12" s="80">
        <v>0.99548457022393899</v>
      </c>
      <c r="AL12" s="161">
        <f t="shared" si="4"/>
        <v>-4.4698542234211658E-7</v>
      </c>
    </row>
    <row r="13" spans="1:41" ht="11.25" customHeight="1" x14ac:dyDescent="0.2">
      <c r="A13" s="59" t="s">
        <v>93</v>
      </c>
      <c r="B13" s="116">
        <v>8</v>
      </c>
      <c r="C13" s="62" t="str">
        <f t="shared" si="11"/>
        <v>x14F</v>
      </c>
      <c r="D13" s="123"/>
      <c r="E13" s="123"/>
      <c r="F13" s="123"/>
      <c r="G13" s="61" t="str">
        <f t="shared" si="9"/>
        <v>Euribor6M</v>
      </c>
      <c r="H13" s="119" t="str">
        <f t="shared" si="12"/>
        <v>EUR8x14F_LCHQuote</v>
      </c>
      <c r="I13" s="123"/>
      <c r="J13" s="64" t="str">
        <f>_xll.qlFraRateHelper(,H13,B13&amp;"M",G13,PillarDate,,Permanent,Trigger,ObjectOverwrite)</f>
        <v>obj_00642#0001</v>
      </c>
      <c r="K13" s="64" t="str">
        <f t="shared" si="13"/>
        <v>obj_00642#0001</v>
      </c>
      <c r="L13" s="48"/>
      <c r="M13" s="10" t="str">
        <f t="shared" si="5"/>
        <v>FRA</v>
      </c>
      <c r="N13" s="94" t="str">
        <f t="shared" si="6"/>
        <v>obj_00641#0001</v>
      </c>
      <c r="O13" s="94" t="str">
        <f t="shared" si="7"/>
        <v>obj_00641#0001</v>
      </c>
      <c r="P13" s="146" t="str">
        <f>IFERROR(_xll.qlRateHelperQuoteName(N13,Trigger),"--")</f>
        <v>EUR10x16F_LCHQuote</v>
      </c>
      <c r="Q13" s="98" t="str">
        <f>IFERROR(_xll.qlRateHelperQuoteValue($N13,Trigger),"--")</f>
        <v>--</v>
      </c>
      <c r="R13" s="141" t="b">
        <v>0</v>
      </c>
      <c r="S13" s="94">
        <v>20</v>
      </c>
      <c r="T13" s="94">
        <v>1</v>
      </c>
      <c r="U13" s="99">
        <f>IFERROR(_xll.qlRateHelperEarliestDate(N13,Trigger),"--")</f>
        <v>42562</v>
      </c>
      <c r="V13" s="99">
        <f>IFERROR(_xll.qlRateHelperPillarDate(N13,Trigger),"--")</f>
        <v>42744</v>
      </c>
      <c r="X13" s="4" t="str">
        <f t="shared" si="2"/>
        <v>Sw</v>
      </c>
      <c r="Y13" s="4" t="str">
        <v>obj_00783</v>
      </c>
      <c r="Z13" s="4" t="str">
        <v>obj_00783</v>
      </c>
      <c r="AA13" s="4" t="str">
        <f>IFERROR(_xll.qlRateHelperQuoteName(Y13,Trigger),"")</f>
        <v>EURAB6E4Y_LCHQuote</v>
      </c>
      <c r="AB13" s="70">
        <f>IFERROR(_xll.qlRateHelperRate(Y13,Trigger),"")</f>
        <v>2.5507500000000001E-3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42256</v>
      </c>
      <c r="AE13" s="5">
        <f>IFERROR(_xll.qlRateHelperPillarDate(Y13,Trigger),"")</f>
        <v>43717</v>
      </c>
      <c r="AF13" s="70">
        <v>2.5418394909316336E-3</v>
      </c>
      <c r="AG13" s="77">
        <v>0.98986172571336939</v>
      </c>
      <c r="AH13" s="169">
        <v>43717</v>
      </c>
      <c r="AI13" s="170">
        <v>2.5418394909177701E-3</v>
      </c>
      <c r="AJ13" s="172">
        <f t="shared" si="3"/>
        <v>1.3863476339137648E-14</v>
      </c>
      <c r="AK13" s="80">
        <v>0.98986251985071105</v>
      </c>
      <c r="AL13" s="161">
        <f t="shared" si="4"/>
        <v>-7.94137341664225E-7</v>
      </c>
    </row>
    <row r="14" spans="1:41" ht="11.25" customHeight="1" x14ac:dyDescent="0.2">
      <c r="A14" s="59" t="s">
        <v>93</v>
      </c>
      <c r="B14" s="116">
        <v>9</v>
      </c>
      <c r="C14" s="62" t="str">
        <f t="shared" si="11"/>
        <v>x15F</v>
      </c>
      <c r="D14" s="123"/>
      <c r="E14" s="123"/>
      <c r="F14" s="123"/>
      <c r="G14" s="61" t="str">
        <f t="shared" si="9"/>
        <v>Euribor6M</v>
      </c>
      <c r="H14" s="119" t="str">
        <f t="shared" si="12"/>
        <v>EUR9x15F_LCHQuote</v>
      </c>
      <c r="I14" s="123"/>
      <c r="J14" s="64" t="str">
        <f>_xll.qlFraRateHelper(,H14,B14&amp;"M",G14,PillarDate,,Permanent,Trigger,ObjectOverwrite)</f>
        <v>obj_0063f#0001</v>
      </c>
      <c r="K14" s="64" t="str">
        <f t="shared" si="13"/>
        <v>obj_0063f#0001</v>
      </c>
      <c r="L14" s="48"/>
      <c r="M14" s="10" t="str">
        <f t="shared" si="5"/>
        <v>FRA</v>
      </c>
      <c r="N14" s="94" t="str">
        <f t="shared" si="6"/>
        <v>obj_00640#0001</v>
      </c>
      <c r="O14" s="94" t="str">
        <f t="shared" si="7"/>
        <v>obj_00640#0001</v>
      </c>
      <c r="P14" s="146" t="str">
        <f>IFERROR(_xll.qlRateHelperQuoteName(N14,Trigger),"--")</f>
        <v>EUR11x17F_LCHQuote</v>
      </c>
      <c r="Q14" s="98" t="str">
        <f>IFERROR(_xll.qlRateHelperQuoteValue($N14,Trigger),"--")</f>
        <v>--</v>
      </c>
      <c r="R14" s="141" t="b">
        <v>0</v>
      </c>
      <c r="S14" s="94">
        <v>20</v>
      </c>
      <c r="T14" s="94">
        <v>1</v>
      </c>
      <c r="U14" s="99">
        <f>IFERROR(_xll.qlRateHelperEarliestDate(N14,Trigger),"--")</f>
        <v>42591</v>
      </c>
      <c r="V14" s="99">
        <f>IFERROR(_xll.qlRateHelperPillarDate(N14,Trigger),"--")</f>
        <v>42775</v>
      </c>
      <c r="X14" s="4" t="str">
        <f t="shared" si="2"/>
        <v>Sw</v>
      </c>
      <c r="Y14" s="4" t="str">
        <v>obj_00761</v>
      </c>
      <c r="Z14" s="4" t="str">
        <v>obj_00761</v>
      </c>
      <c r="AA14" s="4" t="str">
        <f>IFERROR(_xll.qlRateHelperQuoteName(Y14,Trigger),"")</f>
        <v>EURAB6E5Y_LCHQuote</v>
      </c>
      <c r="AB14" s="70">
        <f>IFERROR(_xll.qlRateHelperRate(Y14,Trigger),"")</f>
        <v>3.7490000000000002E-3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42256</v>
      </c>
      <c r="AE14" s="5">
        <f>IFERROR(_xll.qlRateHelperPillarDate(Y14,Trigger),"")</f>
        <v>44083</v>
      </c>
      <c r="AF14" s="70">
        <v>3.7391213311739999E-3</v>
      </c>
      <c r="AG14" s="77">
        <v>0.98143594267122491</v>
      </c>
      <c r="AH14" s="169">
        <v>44083</v>
      </c>
      <c r="AI14" s="170">
        <v>3.7391213313464101E-3</v>
      </c>
      <c r="AJ14" s="172">
        <f t="shared" si="3"/>
        <v>-1.7241026314951391E-13</v>
      </c>
      <c r="AK14" s="80">
        <v>0.98143714673815496</v>
      </c>
      <c r="AL14" s="161">
        <f t="shared" si="4"/>
        <v>-1.2040669300494855E-6</v>
      </c>
    </row>
    <row r="15" spans="1:41" ht="11.25" customHeight="1" x14ac:dyDescent="0.2">
      <c r="A15" s="59" t="s">
        <v>93</v>
      </c>
      <c r="B15" s="116">
        <v>10</v>
      </c>
      <c r="C15" s="62" t="str">
        <f t="shared" si="11"/>
        <v>x16F</v>
      </c>
      <c r="D15" s="123"/>
      <c r="E15" s="123"/>
      <c r="F15" s="123"/>
      <c r="G15" s="61" t="str">
        <f t="shared" si="9"/>
        <v>Euribor6M</v>
      </c>
      <c r="H15" s="119" t="str">
        <f t="shared" si="12"/>
        <v>EUR10x16F_LCHQuote</v>
      </c>
      <c r="I15" s="123"/>
      <c r="J15" s="64" t="str">
        <f>_xll.qlFraRateHelper(,H15,B15&amp;"M",G15,PillarDate,,Permanent,Trigger,ObjectOverwrite)</f>
        <v>obj_00641#0001</v>
      </c>
      <c r="K15" s="64" t="str">
        <f t="shared" si="13"/>
        <v>obj_00641#0001</v>
      </c>
      <c r="L15" s="48"/>
      <c r="M15" s="10" t="str">
        <f t="shared" si="5"/>
        <v>FRA</v>
      </c>
      <c r="N15" s="94" t="str">
        <f t="shared" si="6"/>
        <v>obj_0063a#0001</v>
      </c>
      <c r="O15" s="94" t="str">
        <f t="shared" si="7"/>
        <v>obj_0063a#0001</v>
      </c>
      <c r="P15" s="146" t="str">
        <f>IFERROR(_xll.qlRateHelperQuoteName(N15,Trigger),"--")</f>
        <v>EUR12x18F_LCHQuote</v>
      </c>
      <c r="Q15" s="98">
        <f>IFERROR(_xll.qlRateHelperQuoteValue($N15,Trigger),"--")</f>
        <v>8.1125000000000001E-4</v>
      </c>
      <c r="R15" s="141" t="b">
        <v>1</v>
      </c>
      <c r="S15" s="94">
        <v>20</v>
      </c>
      <c r="T15" s="94">
        <v>1</v>
      </c>
      <c r="U15" s="99">
        <f>IFERROR(_xll.qlRateHelperEarliestDate(N15,Trigger),"--")</f>
        <v>42622</v>
      </c>
      <c r="V15" s="99">
        <f>IFERROR(_xll.qlRateHelperPillarDate(N15,Trigger),"--")</f>
        <v>42803</v>
      </c>
      <c r="X15" s="4" t="str">
        <f t="shared" si="2"/>
        <v>Sw</v>
      </c>
      <c r="Y15" s="4" t="str">
        <v>obj_0077f</v>
      </c>
      <c r="Z15" s="4" t="str">
        <v>obj_0077f</v>
      </c>
      <c r="AA15" s="4" t="str">
        <f>IFERROR(_xll.qlRateHelperQuoteName(Y15,Trigger),"")</f>
        <v>EURAB6E6Y_LCHQuote</v>
      </c>
      <c r="AB15" s="70">
        <f>IFERROR(_xll.qlRateHelperRate(Y15,Trigger),"")</f>
        <v>5.0607500000000001E-3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42256</v>
      </c>
      <c r="AE15" s="5">
        <f>IFERROR(_xll.qlRateHelperPillarDate(Y15,Trigger),"")</f>
        <v>44448</v>
      </c>
      <c r="AF15" s="70">
        <v>5.0568981801171311E-3</v>
      </c>
      <c r="AG15" s="77">
        <v>0.97005837451437849</v>
      </c>
      <c r="AH15" s="169">
        <v>44448</v>
      </c>
      <c r="AI15" s="170">
        <v>5.0568981802271802E-3</v>
      </c>
      <c r="AJ15" s="172">
        <f t="shared" si="3"/>
        <v>-1.1004912259249267E-13</v>
      </c>
      <c r="AK15" s="80">
        <v>0.970060096961747</v>
      </c>
      <c r="AL15" s="161">
        <f t="shared" si="4"/>
        <v>-1.7224473685129027E-6</v>
      </c>
    </row>
    <row r="16" spans="1:41" ht="11.25" customHeight="1" x14ac:dyDescent="0.2">
      <c r="A16" s="59" t="s">
        <v>93</v>
      </c>
      <c r="B16" s="116">
        <v>11</v>
      </c>
      <c r="C16" s="62" t="str">
        <f t="shared" si="11"/>
        <v>x17F</v>
      </c>
      <c r="D16" s="123"/>
      <c r="E16" s="123"/>
      <c r="F16" s="123"/>
      <c r="G16" s="61" t="str">
        <f t="shared" si="9"/>
        <v>Euribor6M</v>
      </c>
      <c r="H16" s="119" t="str">
        <f t="shared" si="12"/>
        <v>EUR11x17F_LCHQuote</v>
      </c>
      <c r="I16" s="123"/>
      <c r="J16" s="64" t="str">
        <f>_xll.qlFraRateHelper(,H16,B16&amp;"M",G16,PillarDate,,Permanent,Trigger,ObjectOverwrite)</f>
        <v>obj_00640#0001</v>
      </c>
      <c r="K16" s="64" t="str">
        <f t="shared" si="13"/>
        <v>obj_00640#0001</v>
      </c>
      <c r="L16" s="48"/>
      <c r="M16" s="10" t="str">
        <f t="shared" si="5"/>
        <v>FRA</v>
      </c>
      <c r="N16" s="94" t="str">
        <f t="shared" si="6"/>
        <v>obj_0063d#0001</v>
      </c>
      <c r="O16" s="94" t="str">
        <f t="shared" si="7"/>
        <v>obj_0063d#0001</v>
      </c>
      <c r="P16" s="146" t="str">
        <f>IFERROR(_xll.qlRateHelperQuoteName(N16,Trigger),"--")</f>
        <v>EUR13x19F_LCHQuote</v>
      </c>
      <c r="Q16" s="98" t="str">
        <f>IFERROR(_xll.qlRateHelperQuoteValue($N16,Trigger),"--")</f>
        <v>--</v>
      </c>
      <c r="R16" s="141" t="b">
        <v>0</v>
      </c>
      <c r="S16" s="94">
        <v>20</v>
      </c>
      <c r="T16" s="94">
        <v>1</v>
      </c>
      <c r="U16" s="99">
        <f>IFERROR(_xll.qlRateHelperEarliestDate(N16,Trigger),"--")</f>
        <v>42653</v>
      </c>
      <c r="V16" s="99">
        <f>IFERROR(_xll.qlRateHelperPillarDate(N16,Trigger),"--")</f>
        <v>42835</v>
      </c>
      <c r="X16" s="4" t="str">
        <f t="shared" si="2"/>
        <v>Sw</v>
      </c>
      <c r="Y16" s="4" t="str">
        <v>obj_00781</v>
      </c>
      <c r="Z16" s="4" t="str">
        <v>obj_00781</v>
      </c>
      <c r="AA16" s="4" t="str">
        <f>IFERROR(_xll.qlRateHelperQuoteName(Y16,Trigger),"")</f>
        <v>EURAB6E7Y_LCHQuote</v>
      </c>
      <c r="AB16" s="70">
        <f>IFERROR(_xll.qlRateHelperRate(Y16,Trigger),"")</f>
        <v>6.4152499999999999E-3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42256</v>
      </c>
      <c r="AE16" s="5">
        <f>IFERROR(_xll.qlRateHelperPillarDate(Y16,Trigger),"")</f>
        <v>44813</v>
      </c>
      <c r="AF16" s="70">
        <v>6.4253289514280771E-3</v>
      </c>
      <c r="AG16" s="77">
        <v>0.95594972742455919</v>
      </c>
      <c r="AH16" s="169">
        <v>44813</v>
      </c>
      <c r="AI16" s="170">
        <v>6.4253289514921898E-3</v>
      </c>
      <c r="AJ16" s="172">
        <f t="shared" si="3"/>
        <v>-6.4112777586888825E-14</v>
      </c>
      <c r="AK16" s="80">
        <v>0.95595150730200396</v>
      </c>
      <c r="AL16" s="161">
        <f t="shared" si="4"/>
        <v>-1.779877444763045E-6</v>
      </c>
    </row>
    <row r="17" spans="1:38" ht="11.25" customHeight="1" x14ac:dyDescent="0.2">
      <c r="A17" s="59" t="s">
        <v>93</v>
      </c>
      <c r="B17" s="116">
        <v>12</v>
      </c>
      <c r="C17" s="62" t="str">
        <f t="shared" si="11"/>
        <v>x18F</v>
      </c>
      <c r="D17" s="123"/>
      <c r="E17" s="123"/>
      <c r="F17" s="123"/>
      <c r="G17" s="61" t="str">
        <f t="shared" si="9"/>
        <v>Euribor6M</v>
      </c>
      <c r="H17" s="119" t="str">
        <f t="shared" si="12"/>
        <v>EUR12x18F_LCHQuote</v>
      </c>
      <c r="I17" s="123"/>
      <c r="J17" s="64" t="str">
        <f>_xll.qlFraRateHelper(,H17,B17&amp;"M",G17,PillarDate,,Permanent,Trigger,ObjectOverwrite)</f>
        <v>obj_0063a#0001</v>
      </c>
      <c r="K17" s="64" t="str">
        <f t="shared" si="13"/>
        <v>obj_0063a#0001</v>
      </c>
      <c r="L17" s="48"/>
      <c r="M17" s="10" t="str">
        <f t="shared" si="5"/>
        <v>FRA</v>
      </c>
      <c r="N17" s="94" t="str">
        <f t="shared" si="6"/>
        <v>obj_00647#0001</v>
      </c>
      <c r="O17" s="94" t="str">
        <f t="shared" si="7"/>
        <v>obj_00647#0001</v>
      </c>
      <c r="P17" s="146" t="str">
        <f>IFERROR(_xll.qlRateHelperQuoteName(N17,Trigger),"--")</f>
        <v>EUR14x20F_LCHQuote</v>
      </c>
      <c r="Q17" s="98" t="str">
        <f>IFERROR(_xll.qlRateHelperQuoteValue($N17,Trigger),"--")</f>
        <v>--</v>
      </c>
      <c r="R17" s="141" t="b">
        <v>0</v>
      </c>
      <c r="S17" s="94">
        <v>20</v>
      </c>
      <c r="T17" s="94">
        <v>1</v>
      </c>
      <c r="U17" s="99">
        <f>IFERROR(_xll.qlRateHelperEarliestDate(N17,Trigger),"--")</f>
        <v>42683</v>
      </c>
      <c r="V17" s="99">
        <f>IFERROR(_xll.qlRateHelperPillarDate(N17,Trigger),"--")</f>
        <v>42864</v>
      </c>
      <c r="X17" s="4" t="str">
        <f t="shared" si="2"/>
        <v>Sw</v>
      </c>
      <c r="Y17" s="4" t="str">
        <v>obj_00797</v>
      </c>
      <c r="Z17" s="4" t="str">
        <v>obj_00797</v>
      </c>
      <c r="AA17" s="4" t="str">
        <f>IFERROR(_xll.qlRateHelperQuoteName(Y17,Trigger),"")</f>
        <v>EURAB6E8Y_LCHQuote</v>
      </c>
      <c r="AB17" s="70">
        <f>IFERROR(_xll.qlRateHelperRate(Y17,Trigger),"")</f>
        <v>7.7302500000000001E-3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42256</v>
      </c>
      <c r="AE17" s="5">
        <f>IFERROR(_xll.qlRateHelperPillarDate(Y17,Trigger),"")</f>
        <v>45180</v>
      </c>
      <c r="AF17" s="70">
        <v>7.7630726211231054E-3</v>
      </c>
      <c r="AG17" s="77">
        <v>0.93966306306699332</v>
      </c>
      <c r="AH17" s="169">
        <v>45180</v>
      </c>
      <c r="AI17" s="170">
        <v>7.7630726211527596E-3</v>
      </c>
      <c r="AJ17" s="172">
        <f t="shared" si="3"/>
        <v>-2.9654230460085529E-14</v>
      </c>
      <c r="AK17" s="80">
        <v>0.93966435744912002</v>
      </c>
      <c r="AL17" s="161">
        <f t="shared" si="4"/>
        <v>-1.2943821267041855E-6</v>
      </c>
    </row>
    <row r="18" spans="1:38" ht="11.25" customHeight="1" x14ac:dyDescent="0.2">
      <c r="A18" s="59" t="s">
        <v>93</v>
      </c>
      <c r="B18" s="116">
        <v>13</v>
      </c>
      <c r="C18" s="62" t="str">
        <f t="shared" si="11"/>
        <v>x19F</v>
      </c>
      <c r="D18" s="123"/>
      <c r="E18" s="123"/>
      <c r="F18" s="123"/>
      <c r="G18" s="61" t="str">
        <f t="shared" si="9"/>
        <v>Euribor6M</v>
      </c>
      <c r="H18" s="119" t="str">
        <f t="shared" si="12"/>
        <v>EUR13x19F_LCHQuote</v>
      </c>
      <c r="I18" s="123"/>
      <c r="J18" s="64" t="str">
        <f>_xll.qlFraRateHelper(,H18,B18&amp;"M",G18,PillarDate,,Permanent,Trigger,ObjectOverwrite)</f>
        <v>obj_0063d#0001</v>
      </c>
      <c r="K18" s="64" t="str">
        <f t="shared" si="13"/>
        <v>obj_0063d#0001</v>
      </c>
      <c r="L18" s="48"/>
      <c r="M18" s="10" t="str">
        <f t="shared" si="5"/>
        <v>FRA</v>
      </c>
      <c r="N18" s="94" t="str">
        <f t="shared" si="6"/>
        <v>obj_00639#0001</v>
      </c>
      <c r="O18" s="94" t="str">
        <f t="shared" si="7"/>
        <v>obj_00639#0001</v>
      </c>
      <c r="P18" s="146" t="str">
        <f>IFERROR(_xll.qlRateHelperQuoteName(N18,Trigger),"--")</f>
        <v>EUR15x21F_LCHQuote</v>
      </c>
      <c r="Q18" s="98" t="str">
        <f>IFERROR(_xll.qlRateHelperQuoteValue($N18,Trigger),"--")</f>
        <v>--</v>
      </c>
      <c r="R18" s="141" t="b">
        <v>0</v>
      </c>
      <c r="S18" s="94">
        <v>20</v>
      </c>
      <c r="T18" s="94">
        <v>1</v>
      </c>
      <c r="U18" s="99">
        <f>IFERROR(_xll.qlRateHelperEarliestDate(N18,Trigger),"--")</f>
        <v>42713</v>
      </c>
      <c r="V18" s="99">
        <f>IFERROR(_xll.qlRateHelperPillarDate(N18,Trigger),"--")</f>
        <v>42895</v>
      </c>
      <c r="X18" s="4" t="str">
        <f t="shared" si="2"/>
        <v>Sw</v>
      </c>
      <c r="Y18" s="4" t="str">
        <v>obj_00776</v>
      </c>
      <c r="Z18" s="4" t="str">
        <v>obj_00776</v>
      </c>
      <c r="AA18" s="4" t="str">
        <f>IFERROR(_xll.qlRateHelperQuoteName(Y18,Trigger),"")</f>
        <v>EURAB6E9Y_LCHQuote</v>
      </c>
      <c r="AB18" s="70">
        <f>IFERROR(_xll.qlRateHelperRate(Y18,Trigger),"")</f>
        <v>8.9230000000000004E-3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42256</v>
      </c>
      <c r="AE18" s="5">
        <f>IFERROR(_xll.qlRateHelperPillarDate(Y18,Trigger),"")</f>
        <v>45544</v>
      </c>
      <c r="AF18" s="70">
        <v>8.983175011009455E-3</v>
      </c>
      <c r="AG18" s="77">
        <v>0.92222377697094093</v>
      </c>
      <c r="AH18" s="169">
        <v>45544</v>
      </c>
      <c r="AI18" s="170">
        <v>8.9831750107104199E-3</v>
      </c>
      <c r="AJ18" s="172">
        <f t="shared" si="3"/>
        <v>2.9903510223583396E-13</v>
      </c>
      <c r="AK18" s="80">
        <v>0.92222398101009995</v>
      </c>
      <c r="AL18" s="161">
        <f t="shared" si="4"/>
        <v>-2.0403915901301417E-7</v>
      </c>
    </row>
    <row r="19" spans="1:38" ht="11.25" customHeight="1" x14ac:dyDescent="0.2">
      <c r="A19" s="59" t="s">
        <v>93</v>
      </c>
      <c r="B19" s="116">
        <v>14</v>
      </c>
      <c r="C19" s="62" t="str">
        <f t="shared" si="11"/>
        <v>x20F</v>
      </c>
      <c r="D19" s="123"/>
      <c r="E19" s="123"/>
      <c r="F19" s="123"/>
      <c r="G19" s="61" t="str">
        <f t="shared" si="9"/>
        <v>Euribor6M</v>
      </c>
      <c r="H19" s="119" t="str">
        <f t="shared" si="12"/>
        <v>EUR14x20F_LCHQuote</v>
      </c>
      <c r="I19" s="123"/>
      <c r="J19" s="64" t="str">
        <f>_xll.qlFraRateHelper(,H19,B19&amp;"M",G19,PillarDate,,Permanent,Trigger,ObjectOverwrite)</f>
        <v>obj_00647#0001</v>
      </c>
      <c r="K19" s="64" t="str">
        <f t="shared" si="13"/>
        <v>obj_00647#0001</v>
      </c>
      <c r="L19" s="48"/>
      <c r="M19" s="10" t="str">
        <f t="shared" si="5"/>
        <v>FRA</v>
      </c>
      <c r="N19" s="94" t="str">
        <f t="shared" si="6"/>
        <v>obj_00644#0001</v>
      </c>
      <c r="O19" s="94" t="str">
        <f t="shared" si="7"/>
        <v>obj_00644#0001</v>
      </c>
      <c r="P19" s="146" t="str">
        <f>IFERROR(_xll.qlRateHelperQuoteName(N19,Trigger),"--")</f>
        <v>EUR16x22F_LCHQuote</v>
      </c>
      <c r="Q19" s="98" t="str">
        <f>IFERROR(_xll.qlRateHelperQuoteValue($N19,Trigger),"--")</f>
        <v>--</v>
      </c>
      <c r="R19" s="141" t="b">
        <v>0</v>
      </c>
      <c r="S19" s="94">
        <v>20</v>
      </c>
      <c r="T19" s="94">
        <v>1</v>
      </c>
      <c r="U19" s="99">
        <f>IFERROR(_xll.qlRateHelperEarliestDate(N19,Trigger),"--")</f>
        <v>42744</v>
      </c>
      <c r="V19" s="99">
        <f>IFERROR(_xll.qlRateHelperPillarDate(N19,Trigger),"--")</f>
        <v>42926</v>
      </c>
      <c r="X19" s="4" t="str">
        <f t="shared" si="2"/>
        <v>Sw</v>
      </c>
      <c r="Y19" s="4" t="str">
        <v>obj_0078b</v>
      </c>
      <c r="Z19" s="4" t="str">
        <v>obj_0078b</v>
      </c>
      <c r="AA19" s="4" t="str">
        <f>IFERROR(_xll.qlRateHelperQuoteName(Y19,Trigger),"")</f>
        <v>EURAB6E10Y_LCHQuote</v>
      </c>
      <c r="AB19" s="70">
        <f>IFERROR(_xll.qlRateHelperRate(Y19,Trigger),"")</f>
        <v>9.9725000000000005E-3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42256</v>
      </c>
      <c r="AE19" s="5">
        <f>IFERROR(_xll.qlRateHelperPillarDate(Y19,Trigger),"")</f>
        <v>45909</v>
      </c>
      <c r="AF19" s="70">
        <v>1.0067104262670443E-2</v>
      </c>
      <c r="AG19" s="77">
        <v>0.9041137324702051</v>
      </c>
      <c r="AH19" s="169">
        <v>45909</v>
      </c>
      <c r="AI19" s="170">
        <v>1.00671042625741E-2</v>
      </c>
      <c r="AJ19" s="172">
        <f t="shared" si="3"/>
        <v>9.6343072408799912E-14</v>
      </c>
      <c r="AK19" s="80">
        <v>0.90411277989355798</v>
      </c>
      <c r="AL19" s="161">
        <f t="shared" si="4"/>
        <v>9.5257664711745349E-7</v>
      </c>
    </row>
    <row r="20" spans="1:38" ht="11.25" customHeight="1" x14ac:dyDescent="0.2">
      <c r="A20" s="59" t="s">
        <v>93</v>
      </c>
      <c r="B20" s="116">
        <v>15</v>
      </c>
      <c r="C20" s="62" t="str">
        <f t="shared" si="11"/>
        <v>x21F</v>
      </c>
      <c r="D20" s="123"/>
      <c r="E20" s="123"/>
      <c r="F20" s="123"/>
      <c r="G20" s="61" t="str">
        <f t="shared" si="9"/>
        <v>Euribor6M</v>
      </c>
      <c r="H20" s="119" t="str">
        <f t="shared" si="12"/>
        <v>EUR15x21F_LCHQuote</v>
      </c>
      <c r="I20" s="123"/>
      <c r="J20" s="64" t="str">
        <f>_xll.qlFraRateHelper(,H20,B20&amp;"M",G20,PillarDate,,Permanent,Trigger,ObjectOverwrite)</f>
        <v>obj_00639#0001</v>
      </c>
      <c r="K20" s="64" t="str">
        <f t="shared" si="13"/>
        <v>obj_00639#0001</v>
      </c>
      <c r="L20" s="48"/>
      <c r="M20" s="10" t="str">
        <f t="shared" si="5"/>
        <v>FRA</v>
      </c>
      <c r="N20" s="94" t="str">
        <f t="shared" si="6"/>
        <v>obj_00638#0001</v>
      </c>
      <c r="O20" s="94" t="str">
        <f t="shared" si="7"/>
        <v>obj_00638#0001</v>
      </c>
      <c r="P20" s="146" t="str">
        <f>IFERROR(_xll.qlRateHelperQuoteName(N20,Trigger),"--")</f>
        <v>EUR17x23F_LCHQuote</v>
      </c>
      <c r="Q20" s="98" t="str">
        <f>IFERROR(_xll.qlRateHelperQuoteValue($N20,Trigger),"--")</f>
        <v>--</v>
      </c>
      <c r="R20" s="141" t="b">
        <v>0</v>
      </c>
      <c r="S20" s="94">
        <v>20</v>
      </c>
      <c r="T20" s="94">
        <v>1</v>
      </c>
      <c r="U20" s="99">
        <f>IFERROR(_xll.qlRateHelperEarliestDate(N20,Trigger),"--")</f>
        <v>42775</v>
      </c>
      <c r="V20" s="99">
        <f>IFERROR(_xll.qlRateHelperPillarDate(N20,Trigger),"--")</f>
        <v>42956</v>
      </c>
      <c r="X20" s="4" t="str">
        <f t="shared" si="2"/>
        <v>Sw</v>
      </c>
      <c r="Y20" s="4" t="str">
        <v>obj_00769</v>
      </c>
      <c r="Z20" s="4" t="str">
        <v>obj_00769</v>
      </c>
      <c r="AA20" s="4" t="str">
        <f>IFERROR(_xll.qlRateHelperQuoteName(Y20,Trigger),"")</f>
        <v>EURAB6E12Y_LCHQuote</v>
      </c>
      <c r="AB20" s="70">
        <f>IFERROR(_xll.qlRateHelperRate(Y20,Trigger),"")</f>
        <v>1.17675E-2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42256</v>
      </c>
      <c r="AE20" s="5">
        <f>IFERROR(_xll.qlRateHelperPillarDate(Y20,Trigger),"")</f>
        <v>46639</v>
      </c>
      <c r="AF20" s="70">
        <v>1.194278591171786E-2</v>
      </c>
      <c r="AG20" s="77">
        <v>0.86636143484537809</v>
      </c>
      <c r="AH20" s="169">
        <v>46639</v>
      </c>
      <c r="AI20" s="170">
        <v>1.19427859113591E-2</v>
      </c>
      <c r="AJ20" s="172">
        <f t="shared" si="3"/>
        <v>3.5875989679023945E-13</v>
      </c>
      <c r="AK20" s="80">
        <v>0.86635257361035201</v>
      </c>
      <c r="AL20" s="161">
        <f t="shared" si="4"/>
        <v>8.861235026080827E-6</v>
      </c>
    </row>
    <row r="21" spans="1:38" ht="11.25" customHeight="1" x14ac:dyDescent="0.2">
      <c r="A21" s="59" t="s">
        <v>93</v>
      </c>
      <c r="B21" s="116">
        <v>16</v>
      </c>
      <c r="C21" s="62" t="str">
        <f t="shared" si="11"/>
        <v>x22F</v>
      </c>
      <c r="D21" s="123"/>
      <c r="E21" s="123"/>
      <c r="F21" s="123"/>
      <c r="G21" s="61" t="str">
        <f t="shared" si="9"/>
        <v>Euribor6M</v>
      </c>
      <c r="H21" s="119" t="str">
        <f t="shared" si="12"/>
        <v>EUR16x22F_LCHQuote</v>
      </c>
      <c r="I21" s="123"/>
      <c r="J21" s="64" t="str">
        <f>_xll.qlFraRateHelper(,H21,B21&amp;"M",G21,PillarDate,,Permanent,Trigger,ObjectOverwrite)</f>
        <v>obj_00644#0001</v>
      </c>
      <c r="K21" s="64" t="str">
        <f t="shared" si="13"/>
        <v>obj_00644#0001</v>
      </c>
      <c r="L21" s="48"/>
      <c r="M21" s="10" t="str">
        <f t="shared" si="5"/>
        <v>FRA</v>
      </c>
      <c r="N21" s="94" t="str">
        <f t="shared" si="6"/>
        <v>obj_0063e#0001</v>
      </c>
      <c r="O21" s="94" t="str">
        <f t="shared" si="7"/>
        <v>obj_0063e#0001</v>
      </c>
      <c r="P21" s="146" t="str">
        <f>IFERROR(_xll.qlRateHelperQuoteName(N21,Trigger),"--")</f>
        <v>EUR18x24F_LCHQuote</v>
      </c>
      <c r="Q21" s="98" t="str">
        <f>IFERROR(_xll.qlRateHelperQuoteValue($N21,Trigger),"--")</f>
        <v>--</v>
      </c>
      <c r="R21" s="141" t="b">
        <v>0</v>
      </c>
      <c r="S21" s="94">
        <v>20</v>
      </c>
      <c r="T21" s="94">
        <v>1</v>
      </c>
      <c r="U21" s="99">
        <f>IFERROR(_xll.qlRateHelperEarliestDate(N21,Trigger),"--")</f>
        <v>42803</v>
      </c>
      <c r="V21" s="99">
        <f>IFERROR(_xll.qlRateHelperPillarDate(N21,Trigger),"--")</f>
        <v>42989</v>
      </c>
      <c r="X21" s="4" t="str">
        <f t="shared" si="2"/>
        <v>Sw</v>
      </c>
      <c r="Y21" s="4" t="str">
        <v>obj_0078a</v>
      </c>
      <c r="Z21" s="4" t="str">
        <v>obj_0078a</v>
      </c>
      <c r="AA21" s="4" t="str">
        <f>IFERROR(_xll.qlRateHelperQuoteName(Y21,Trigger),"")</f>
        <v>EURAB6E15Y_LCHQuote</v>
      </c>
      <c r="AB21" s="70">
        <f>IFERROR(_xll.qlRateHelperRate(Y21,Trigger),"")</f>
        <v>1.359E-2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42256</v>
      </c>
      <c r="AE21" s="5">
        <f>IFERROR(_xll.qlRateHelperPillarDate(Y21,Trigger),"")</f>
        <v>47735</v>
      </c>
      <c r="AF21" s="70">
        <v>1.387540566096156E-2</v>
      </c>
      <c r="AG21" s="77">
        <v>0.81200494992919348</v>
      </c>
      <c r="AH21" s="169">
        <v>47735</v>
      </c>
      <c r="AI21" s="170">
        <v>1.3875405660878999E-2</v>
      </c>
      <c r="AJ21" s="172">
        <f t="shared" si="3"/>
        <v>8.256069439216418E-14</v>
      </c>
      <c r="AK21" s="80">
        <v>0.811973875058425</v>
      </c>
      <c r="AL21" s="161">
        <f t="shared" si="4"/>
        <v>3.1074870768477147E-5</v>
      </c>
    </row>
    <row r="22" spans="1:38" ht="11.25" customHeight="1" x14ac:dyDescent="0.2">
      <c r="A22" s="59" t="s">
        <v>93</v>
      </c>
      <c r="B22" s="116">
        <v>17</v>
      </c>
      <c r="C22" s="62" t="str">
        <f t="shared" si="11"/>
        <v>x23F</v>
      </c>
      <c r="D22" s="123"/>
      <c r="E22" s="123"/>
      <c r="F22" s="123"/>
      <c r="G22" s="61" t="str">
        <f t="shared" si="9"/>
        <v>Euribor6M</v>
      </c>
      <c r="H22" s="119" t="str">
        <f t="shared" si="12"/>
        <v>EUR17x23F_LCHQuote</v>
      </c>
      <c r="I22" s="123"/>
      <c r="J22" s="64" t="str">
        <f>_xll.qlFraRateHelper(,H22,B22&amp;"M",G22,PillarDate,,Permanent,Trigger,ObjectOverwrite)</f>
        <v>obj_00638#0001</v>
      </c>
      <c r="K22" s="64" t="str">
        <f t="shared" si="13"/>
        <v>obj_00638#0001</v>
      </c>
      <c r="L22" s="48"/>
      <c r="M22" s="68" t="str">
        <f>A26</f>
        <v>Sw</v>
      </c>
      <c r="N22" s="131" t="str">
        <f>IF(ISBLANK(J26),"--",J26)</f>
        <v>--</v>
      </c>
      <c r="O22" s="131" t="str">
        <f>IF(ISBLANK(K26),"--",K26)</f>
        <v>--</v>
      </c>
      <c r="P22" s="145" t="str">
        <f>IFERROR(_xll.qlRateHelperQuoteName(N22,Trigger),"--")</f>
        <v>--</v>
      </c>
      <c r="Q22" s="133" t="str">
        <f>IFERROR(_xll.qlRateHelperQuoteValue($N22,Trigger),"--")</f>
        <v>--</v>
      </c>
      <c r="R22" s="137" t="b">
        <v>0</v>
      </c>
      <c r="S22" s="131">
        <v>10</v>
      </c>
      <c r="T22" s="131">
        <v>1</v>
      </c>
      <c r="U22" s="134" t="str">
        <f>IFERROR(_xll.qlRateHelperEarliestDate(N22,Trigger),"--")</f>
        <v>--</v>
      </c>
      <c r="V22" s="134" t="str">
        <f>IFERROR(_xll.qlRateHelperPillarDate(N22,Trigger),"--")</f>
        <v>--</v>
      </c>
      <c r="X22" s="4" t="str">
        <f t="shared" si="2"/>
        <v>Sw</v>
      </c>
      <c r="Y22" s="4" t="str">
        <v>obj_0078c</v>
      </c>
      <c r="Z22" s="4" t="str">
        <v>obj_0078c</v>
      </c>
      <c r="AA22" s="4" t="str">
        <f>IFERROR(_xll.qlRateHelperQuoteName(Y22,Trigger),"")</f>
        <v>EURAB6E20Y_LCHQuote</v>
      </c>
      <c r="AB22" s="70">
        <f>IFERROR(_xll.qlRateHelperRate(Y22,Trigger),"")</f>
        <v>1.507E-2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42256</v>
      </c>
      <c r="AE22" s="5">
        <f>IFERROR(_xll.qlRateHelperPillarDate(Y22,Trigger),"")</f>
        <v>49562</v>
      </c>
      <c r="AF22" s="70">
        <v>1.5452696556752975E-2</v>
      </c>
      <c r="AG22" s="77">
        <v>0.73415255568227233</v>
      </c>
      <c r="AH22" s="169">
        <v>49562</v>
      </c>
      <c r="AI22" s="170">
        <v>1.5452696556659399E-2</v>
      </c>
      <c r="AJ22" s="172">
        <f t="shared" si="3"/>
        <v>9.3576188464616905E-14</v>
      </c>
      <c r="AK22" s="80">
        <v>0.73407535413101399</v>
      </c>
      <c r="AL22" s="161">
        <f t="shared" si="4"/>
        <v>7.7201551258343493E-5</v>
      </c>
    </row>
    <row r="23" spans="1:38" ht="11.25" customHeight="1" x14ac:dyDescent="0.2">
      <c r="A23" s="1" t="s">
        <v>93</v>
      </c>
      <c r="B23" s="117">
        <v>18</v>
      </c>
      <c r="C23" s="9" t="str">
        <f t="shared" si="11"/>
        <v>x24F</v>
      </c>
      <c r="D23" s="124"/>
      <c r="E23" s="124"/>
      <c r="F23" s="124"/>
      <c r="G23" s="7" t="str">
        <f t="shared" si="9"/>
        <v>Euribor6M</v>
      </c>
      <c r="H23" s="120" t="str">
        <f t="shared" si="12"/>
        <v>EUR18x24F_LCHQuote</v>
      </c>
      <c r="I23" s="124"/>
      <c r="J23" s="3" t="str">
        <f>_xll.qlFraRateHelper(,H23,B23&amp;"M",G23,PillarDate,,Permanent,Trigger,ObjectOverwrite)</f>
        <v>obj_0063e#0001</v>
      </c>
      <c r="K23" s="3" t="str">
        <f t="shared" si="13"/>
        <v>obj_0063e#0001</v>
      </c>
      <c r="L23" s="48"/>
      <c r="M23" s="10" t="str">
        <f t="shared" ref="M23:M59" si="14">A27</f>
        <v>Sw</v>
      </c>
      <c r="N23" s="94" t="str">
        <f t="shared" ref="N23:O23" si="15">IF(ISBLANK(J27),"--",J27)</f>
        <v>--</v>
      </c>
      <c r="O23" s="94" t="str">
        <f t="shared" si="15"/>
        <v>--</v>
      </c>
      <c r="P23" s="146" t="str">
        <f>IFERROR(_xll.qlRateHelperQuoteName(N23,Trigger),"--")</f>
        <v>--</v>
      </c>
      <c r="Q23" s="98" t="str">
        <f>IFERROR(_xll.qlRateHelperQuoteValue($N23,Trigger),"--")</f>
        <v>--</v>
      </c>
      <c r="R23" s="141" t="b">
        <v>0</v>
      </c>
      <c r="S23" s="94">
        <v>10</v>
      </c>
      <c r="T23" s="94">
        <v>1</v>
      </c>
      <c r="U23" s="99" t="str">
        <f>IFERROR(_xll.qlRateHelperEarliestDate(N23,Trigger),"--")</f>
        <v>--</v>
      </c>
      <c r="V23" s="99" t="str">
        <f>IFERROR(_xll.qlRateHelperPillarDate(N23,Trigger),"--")</f>
        <v>--</v>
      </c>
      <c r="X23" s="4" t="str">
        <f t="shared" si="2"/>
        <v>Sw</v>
      </c>
      <c r="Y23" s="4" t="str">
        <v>obj_00779</v>
      </c>
      <c r="Z23" s="4" t="str">
        <v>obj_00779</v>
      </c>
      <c r="AA23" s="4" t="str">
        <f>IFERROR(_xll.qlRateHelperQuoteName(Y23,Trigger),"")</f>
        <v>EURAB6E25Y_LCHQuote</v>
      </c>
      <c r="AB23" s="70">
        <f>IFERROR(_xll.qlRateHelperRate(Y23,Trigger),"")</f>
        <v>1.5389999999999999E-2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42256</v>
      </c>
      <c r="AE23" s="5">
        <f>IFERROR(_xll.qlRateHelperPillarDate(Y23,Trigger),"")</f>
        <v>51389</v>
      </c>
      <c r="AF23" s="70">
        <v>1.5730064531784001E-2</v>
      </c>
      <c r="AG23" s="77">
        <v>0.67487797926928761</v>
      </c>
      <c r="AH23" s="169">
        <v>51389</v>
      </c>
      <c r="AI23" s="170">
        <v>1.5730064532561198E-2</v>
      </c>
      <c r="AJ23" s="172">
        <f t="shared" si="3"/>
        <v>-7.7719775060103302E-13</v>
      </c>
      <c r="AK23" s="80">
        <v>0.67480221727571299</v>
      </c>
      <c r="AL23" s="161">
        <f t="shared" si="4"/>
        <v>7.5761993574618991E-5</v>
      </c>
    </row>
    <row r="24" spans="1:38" ht="11.25" customHeight="1" x14ac:dyDescent="0.2">
      <c r="B24" s="46"/>
      <c r="C24" s="46"/>
      <c r="D24" s="46"/>
      <c r="E24" s="46"/>
      <c r="F24" s="46"/>
      <c r="G24" s="46" t="s">
        <v>126</v>
      </c>
      <c r="H24" s="46" t="s">
        <v>129</v>
      </c>
      <c r="L24" s="48"/>
      <c r="M24" s="10" t="str">
        <f t="shared" si="14"/>
        <v>Sw</v>
      </c>
      <c r="N24" s="94" t="str">
        <f t="shared" ref="N24:O24" si="16">IF(ISBLANK(J28),"--",J28)</f>
        <v>--</v>
      </c>
      <c r="O24" s="94" t="str">
        <f t="shared" si="16"/>
        <v>--</v>
      </c>
      <c r="P24" s="146" t="str">
        <f>IFERROR(_xll.qlRateHelperQuoteName(N24,Trigger),"--")</f>
        <v>--</v>
      </c>
      <c r="Q24" s="98" t="str">
        <f>IFERROR(_xll.qlRateHelperQuoteValue($N24,Trigger),"--")</f>
        <v>--</v>
      </c>
      <c r="R24" s="141" t="b">
        <v>0</v>
      </c>
      <c r="S24" s="94">
        <v>10</v>
      </c>
      <c r="T24" s="94">
        <v>1</v>
      </c>
      <c r="U24" s="99" t="str">
        <f>IFERROR(_xll.qlRateHelperEarliestDate(N24,Trigger),"--")</f>
        <v>--</v>
      </c>
      <c r="V24" s="99" t="str">
        <f>IFERROR(_xll.qlRateHelperPillarDate(N24,Trigger),"--")</f>
        <v>--</v>
      </c>
      <c r="X24" s="4" t="str">
        <f t="shared" si="2"/>
        <v>Sw</v>
      </c>
      <c r="Y24" s="4" t="str">
        <v>obj_00791</v>
      </c>
      <c r="Z24" s="4" t="str">
        <v>obj_00791</v>
      </c>
      <c r="AA24" s="4" t="str">
        <f>IFERROR(_xll.qlRateHelperQuoteName(Y24,Trigger),"")</f>
        <v>EURAB6E30Y_LCHQuote</v>
      </c>
      <c r="AB24" s="70">
        <f>IFERROR(_xll.qlRateHelperRate(Y24,Trigger),"")</f>
        <v>1.54875E-2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42256</v>
      </c>
      <c r="AE24" s="5">
        <f>IFERROR(_xll.qlRateHelperPillarDate(Y24,Trigger),"")</f>
        <v>53216</v>
      </c>
      <c r="AF24" s="70">
        <v>1.577296074068513E-2</v>
      </c>
      <c r="AG24" s="77">
        <v>0.62296817751979106</v>
      </c>
      <c r="AH24" s="169">
        <v>53216</v>
      </c>
      <c r="AI24" s="170">
        <v>1.5772960741330801E-2</v>
      </c>
      <c r="AJ24" s="172">
        <f t="shared" si="3"/>
        <v>-6.4567101665247151E-13</v>
      </c>
      <c r="AK24" s="80">
        <v>0.62290032349872804</v>
      </c>
      <c r="AL24" s="161">
        <f t="shared" si="4"/>
        <v>6.7854021063018521E-5</v>
      </c>
    </row>
    <row r="25" spans="1:38" ht="11.25" customHeight="1" x14ac:dyDescent="0.2">
      <c r="A25" s="65" t="s">
        <v>9</v>
      </c>
      <c r="B25" s="65" t="s">
        <v>29</v>
      </c>
      <c r="C25" s="65" t="s">
        <v>114</v>
      </c>
      <c r="D25" s="65" t="s">
        <v>5</v>
      </c>
      <c r="E25" s="65" t="s">
        <v>34</v>
      </c>
      <c r="F25" s="65" t="s">
        <v>115</v>
      </c>
      <c r="G25" s="65" t="s">
        <v>4</v>
      </c>
      <c r="H25" s="65" t="s">
        <v>1</v>
      </c>
      <c r="I25" s="65" t="s">
        <v>113</v>
      </c>
      <c r="J25" s="65" t="s">
        <v>150</v>
      </c>
      <c r="K25" s="65" t="s">
        <v>152</v>
      </c>
      <c r="L25" s="48"/>
      <c r="M25" s="10" t="str">
        <f t="shared" si="14"/>
        <v>Sw</v>
      </c>
      <c r="N25" s="94" t="str">
        <f t="shared" ref="N25:O25" si="17">IF(ISBLANK(J29),"--",J29)</f>
        <v>--</v>
      </c>
      <c r="O25" s="94" t="str">
        <f t="shared" si="17"/>
        <v>--</v>
      </c>
      <c r="P25" s="146" t="str">
        <f>IFERROR(_xll.qlRateHelperQuoteName(N25,Trigger),"--")</f>
        <v>--</v>
      </c>
      <c r="Q25" s="98" t="str">
        <f>IFERROR(_xll.qlRateHelperQuoteValue($N25,Trigger),"--")</f>
        <v>--</v>
      </c>
      <c r="R25" s="141" t="b">
        <v>0</v>
      </c>
      <c r="S25" s="94">
        <v>10</v>
      </c>
      <c r="T25" s="94">
        <v>1</v>
      </c>
      <c r="U25" s="99" t="str">
        <f>IFERROR(_xll.qlRateHelperEarliestDate(N25,Trigger),"--")</f>
        <v>--</v>
      </c>
      <c r="V25" s="99" t="str">
        <f>IFERROR(_xll.qlRateHelperPillarDate(N25,Trigger),"--")</f>
        <v>--</v>
      </c>
      <c r="X25" s="4" t="str">
        <f t="shared" si="2"/>
        <v>Sw</v>
      </c>
      <c r="Y25" s="4" t="str">
        <v>obj_0076b</v>
      </c>
      <c r="Z25" s="4" t="str">
        <v>obj_0076b</v>
      </c>
      <c r="AA25" s="4" t="str">
        <f>IFERROR(_xll.qlRateHelperQuoteName(Y25,Trigger),"")</f>
        <v>EURAB6E40Y_LCHQuote</v>
      </c>
      <c r="AB25" s="70">
        <f>IFERROR(_xll.qlRateHelperRate(Y25,Trigger),"")</f>
        <v>1.5667500000000001E-2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42256</v>
      </c>
      <c r="AE25" s="5">
        <f>IFERROR(_xll.qlRateHelperPillarDate(Y25,Trigger),"")</f>
        <v>56866</v>
      </c>
      <c r="AF25" s="70">
        <v>1.590273708621761E-2</v>
      </c>
      <c r="AG25" s="77">
        <v>0.52943908238019521</v>
      </c>
      <c r="AH25" s="169">
        <v>56866</v>
      </c>
      <c r="AI25" s="170">
        <v>1.5902737086699599E-2</v>
      </c>
      <c r="AJ25" s="172">
        <f t="shared" si="3"/>
        <v>-4.819894483532039E-13</v>
      </c>
      <c r="AK25" s="80">
        <v>0.52937717792135797</v>
      </c>
      <c r="AL25" s="161">
        <f t="shared" si="4"/>
        <v>6.1904458837247489E-5</v>
      </c>
    </row>
    <row r="26" spans="1:38" ht="11.25" customHeight="1" x14ac:dyDescent="0.2">
      <c r="A26" s="53" t="s">
        <v>25</v>
      </c>
      <c r="B26" s="54" t="s">
        <v>3</v>
      </c>
      <c r="C26" s="55" t="s">
        <v>6</v>
      </c>
      <c r="D26" s="55" t="s">
        <v>8</v>
      </c>
      <c r="E26" s="55" t="s">
        <v>7</v>
      </c>
      <c r="F26" s="55" t="s">
        <v>125</v>
      </c>
      <c r="G26" s="55" t="str">
        <f t="shared" ref="G26:G63" si="18">PROPER(Currency)&amp;FamilyName&amp;$G$1</f>
        <v>Euribor6M</v>
      </c>
      <c r="H26" s="53" t="str">
        <f t="shared" ref="H26:H63" si="19">IF(LCHQuoteOverwrite,Currency&amp;$G$24&amp;$H$24&amp;$B26&amp;LCHQuoteSuffix,Currency&amp;$G$24&amp;$H$24&amp;$B26&amp;QuoteSuffix)</f>
        <v>EURAB6E6M_LCHQuote</v>
      </c>
      <c r="I26" s="126">
        <v>0</v>
      </c>
      <c r="J26" s="64"/>
      <c r="K26" s="64"/>
      <c r="L26" s="48"/>
      <c r="M26" s="10" t="str">
        <f t="shared" si="14"/>
        <v>Sw</v>
      </c>
      <c r="N26" s="94" t="str">
        <f t="shared" ref="N26:O26" si="20">IF(ISBLANK(J30),"--",J30)</f>
        <v>--</v>
      </c>
      <c r="O26" s="94" t="str">
        <f t="shared" si="20"/>
        <v>--</v>
      </c>
      <c r="P26" s="146" t="str">
        <f>IFERROR(_xll.qlRateHelperQuoteName(N26,Trigger),"--")</f>
        <v>--</v>
      </c>
      <c r="Q26" s="98" t="str">
        <f>IFERROR(_xll.qlRateHelperQuoteValue($N26,Trigger),"--")</f>
        <v>--</v>
      </c>
      <c r="R26" s="141" t="b">
        <v>0</v>
      </c>
      <c r="S26" s="94">
        <v>10</v>
      </c>
      <c r="T26" s="94">
        <v>1</v>
      </c>
      <c r="U26" s="99" t="str">
        <f>IFERROR(_xll.qlRateHelperEarliestDate(N26,Trigger),"--")</f>
        <v>--</v>
      </c>
      <c r="V26" s="99" t="str">
        <f>IFERROR(_xll.qlRateHelperPillarDate(N26,Trigger),"--")</f>
        <v>--</v>
      </c>
      <c r="X26" s="4" t="str">
        <f t="shared" si="2"/>
        <v>Sw</v>
      </c>
      <c r="Y26" s="4" t="str">
        <v>obj_00763</v>
      </c>
      <c r="Z26" s="4" t="str">
        <v>obj_00763</v>
      </c>
      <c r="AA26" s="4" t="str">
        <f>IFERROR(_xll.qlRateHelperQuoteName(Y26,Trigger),"")</f>
        <v>EURAB6E50Y_LCHQuote</v>
      </c>
      <c r="AB26" s="70">
        <f>IFERROR(_xll.qlRateHelperRate(Y26,Trigger),"")</f>
        <v>1.53075E-2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42256</v>
      </c>
      <c r="AE26" s="5">
        <f>IFERROR(_xll.qlRateHelperPillarDate(Y26,Trigger),"")</f>
        <v>60519</v>
      </c>
      <c r="AF26" s="70">
        <v>1.5324577157582099E-2</v>
      </c>
      <c r="AG26" s="77">
        <v>0.46485802860476833</v>
      </c>
      <c r="AH26" s="169">
        <v>60519</v>
      </c>
      <c r="AI26" s="170">
        <v>1.5324577157971E-2</v>
      </c>
      <c r="AJ26" s="172">
        <f t="shared" si="3"/>
        <v>-3.8890071718533648E-13</v>
      </c>
      <c r="AK26" s="80">
        <v>0.464805095606309</v>
      </c>
      <c r="AL26" s="161">
        <f t="shared" si="4"/>
        <v>5.2932998459320757E-5</v>
      </c>
    </row>
    <row r="27" spans="1:38" ht="11.25" customHeight="1" x14ac:dyDescent="0.2">
      <c r="A27" s="59" t="s">
        <v>25</v>
      </c>
      <c r="B27" s="60" t="s">
        <v>28</v>
      </c>
      <c r="C27" s="61" t="s">
        <v>6</v>
      </c>
      <c r="D27" s="61" t="s">
        <v>8</v>
      </c>
      <c r="E27" s="61" t="s">
        <v>7</v>
      </c>
      <c r="F27" s="61" t="s">
        <v>125</v>
      </c>
      <c r="G27" s="61" t="str">
        <f t="shared" si="18"/>
        <v>Euribor6M</v>
      </c>
      <c r="H27" s="59" t="str">
        <f t="shared" si="19"/>
        <v>EURAB6E1Y_LCHQuote</v>
      </c>
      <c r="I27" s="127">
        <v>0</v>
      </c>
      <c r="J27" s="64"/>
      <c r="K27" s="64"/>
      <c r="L27" s="48"/>
      <c r="M27" s="10" t="str">
        <f t="shared" si="14"/>
        <v>Sw</v>
      </c>
      <c r="N27" s="94" t="str">
        <f t="shared" ref="N27:O27" si="21">IF(ISBLANK(J31),"--",J31)</f>
        <v>obj_00767#0001</v>
      </c>
      <c r="O27" s="94" t="str">
        <f t="shared" si="21"/>
        <v>obj_0076c#0001</v>
      </c>
      <c r="P27" s="146" t="str">
        <f>IFERROR(_xll.qlRateHelperQuoteName(N27,Trigger),"--")</f>
        <v>EURAB6E2Y_LCHQuote</v>
      </c>
      <c r="Q27" s="98">
        <f>IFERROR(_xll.qlRateHelperQuoteValue($N27,Trigger),"--")</f>
        <v>7.9675000000000004E-4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42256</v>
      </c>
      <c r="V27" s="99">
        <f>IFERROR(_xll.qlRateHelperPillarDate(N27,Trigger),"--")</f>
        <v>42989</v>
      </c>
      <c r="X27" s="4" t="str">
        <f t="shared" si="2"/>
        <v>Sw</v>
      </c>
      <c r="Y27" s="4" t="str">
        <v>obj_00772</v>
      </c>
      <c r="Z27" s="4" t="str">
        <v>obj_00772</v>
      </c>
      <c r="AA27" s="4" t="str">
        <f>IFERROR(_xll.qlRateHelperQuoteName(Y27,Trigger),"")</f>
        <v>EURAB6E60Y_LCHQuote</v>
      </c>
      <c r="AB27" s="70">
        <f>IFERROR(_xll.qlRateHelperRate(Y27,Trigger),"")</f>
        <v>1.5025E-2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42256</v>
      </c>
      <c r="AE27" s="5">
        <f>IFERROR(_xll.qlRateHelperPillarDate(Y27,Trigger),"")</f>
        <v>64171</v>
      </c>
      <c r="AF27" s="70">
        <v>1.4881569224857104E-2</v>
      </c>
      <c r="AG27" s="77">
        <v>0.40947150504452806</v>
      </c>
      <c r="AH27" s="169">
        <v>64171</v>
      </c>
      <c r="AI27" s="170">
        <v>1.48813416362176E-2</v>
      </c>
      <c r="AJ27" s="172">
        <f t="shared" si="3"/>
        <v>2.2758863950367303E-7</v>
      </c>
      <c r="AK27" s="80">
        <v>0.40941013519248698</v>
      </c>
      <c r="AL27" s="161">
        <f t="shared" si="4"/>
        <v>6.136985204108214E-5</v>
      </c>
    </row>
    <row r="28" spans="1:38" ht="11.25" customHeight="1" x14ac:dyDescent="0.2">
      <c r="A28" s="59" t="s">
        <v>25</v>
      </c>
      <c r="B28" s="60" t="s">
        <v>49</v>
      </c>
      <c r="C28" s="61" t="s">
        <v>6</v>
      </c>
      <c r="D28" s="61" t="s">
        <v>8</v>
      </c>
      <c r="E28" s="61" t="s">
        <v>7</v>
      </c>
      <c r="F28" s="61" t="s">
        <v>125</v>
      </c>
      <c r="G28" s="61" t="str">
        <f t="shared" si="18"/>
        <v>Euribor6M</v>
      </c>
      <c r="H28" s="59" t="str">
        <f t="shared" si="19"/>
        <v>EURAB6E15M_LCHQuote</v>
      </c>
      <c r="I28" s="127">
        <v>0</v>
      </c>
      <c r="J28" s="64"/>
      <c r="K28" s="64"/>
      <c r="L28" s="48"/>
      <c r="M28" s="10" t="str">
        <f t="shared" si="14"/>
        <v>Sw</v>
      </c>
      <c r="N28" s="94" t="str">
        <f t="shared" ref="N28:O28" si="22">IF(ISBLANK(J32),"--",J32)</f>
        <v>obj_00788#0001</v>
      </c>
      <c r="O28" s="94" t="str">
        <f t="shared" si="22"/>
        <v>obj_0078d#0001</v>
      </c>
      <c r="P28" s="146" t="str">
        <f>IFERROR(_xll.qlRateHelperQuoteName(N28,Trigger),"--")</f>
        <v>EURAB6E3Y_LCHQuote</v>
      </c>
      <c r="Q28" s="98">
        <f>IFERROR(_xll.qlRateHelperQuoteValue($N28,Trigger),"--")</f>
        <v>1.5089999999999999E-3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42256</v>
      </c>
      <c r="V28" s="99">
        <f>IFERROR(_xll.qlRateHelperPillarDate(N28,Trigger),"--")</f>
        <v>43353</v>
      </c>
      <c r="X28" s="4" t="str">
        <f t="shared" si="2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3"/>
        <v>#N/A</v>
      </c>
      <c r="AK28" s="80" t="e">
        <v>#N/A</v>
      </c>
      <c r="AL28" s="161" t="e">
        <f t="shared" si="4"/>
        <v>#N/A</v>
      </c>
    </row>
    <row r="29" spans="1:38" ht="11.25" customHeight="1" x14ac:dyDescent="0.2">
      <c r="A29" s="59" t="s">
        <v>25</v>
      </c>
      <c r="B29" s="60" t="s">
        <v>50</v>
      </c>
      <c r="C29" s="61" t="s">
        <v>6</v>
      </c>
      <c r="D29" s="61" t="s">
        <v>8</v>
      </c>
      <c r="E29" s="61" t="s">
        <v>7</v>
      </c>
      <c r="F29" s="61" t="s">
        <v>125</v>
      </c>
      <c r="G29" s="61" t="str">
        <f t="shared" si="18"/>
        <v>Euribor6M</v>
      </c>
      <c r="H29" s="59" t="str">
        <f t="shared" si="19"/>
        <v>EURAB6E18M_LCHQuote</v>
      </c>
      <c r="I29" s="127">
        <v>0</v>
      </c>
      <c r="J29" s="64"/>
      <c r="K29" s="64"/>
      <c r="L29" s="48"/>
      <c r="M29" s="10" t="str">
        <f t="shared" si="14"/>
        <v>Sw</v>
      </c>
      <c r="N29" s="94" t="str">
        <f t="shared" ref="N29:O29" si="23">IF(ISBLANK(J33),"--",J33)</f>
        <v>obj_00783#0001</v>
      </c>
      <c r="O29" s="94" t="str">
        <f t="shared" si="23"/>
        <v>obj_00774#0001</v>
      </c>
      <c r="P29" s="146" t="str">
        <f>IFERROR(_xll.qlRateHelperQuoteName(N29,Trigger),"--")</f>
        <v>EURAB6E4Y_LCHQuote</v>
      </c>
      <c r="Q29" s="98">
        <f>IFERROR(_xll.qlRateHelperQuoteValue($N29,Trigger),"--")</f>
        <v>2.5507500000000001E-3</v>
      </c>
      <c r="R29" s="141" t="b">
        <v>1</v>
      </c>
      <c r="S29" s="94">
        <v>10</v>
      </c>
      <c r="T29" s="94">
        <v>1</v>
      </c>
      <c r="U29" s="99">
        <f>IFERROR(_xll.qlRateHelperEarliestDate(N29,Trigger),"--")</f>
        <v>42256</v>
      </c>
      <c r="V29" s="99">
        <f>IFERROR(_xll.qlRateHelperPillarDate(N29,Trigger),"--")</f>
        <v>43717</v>
      </c>
      <c r="X29" s="4" t="str">
        <f t="shared" si="2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3"/>
        <v>#N/A</v>
      </c>
      <c r="AK29" s="80" t="e">
        <v>#N/A</v>
      </c>
      <c r="AL29" s="161" t="e">
        <f t="shared" si="4"/>
        <v>#N/A</v>
      </c>
    </row>
    <row r="30" spans="1:38" ht="11.25" customHeight="1" x14ac:dyDescent="0.2">
      <c r="A30" s="59" t="s">
        <v>25</v>
      </c>
      <c r="B30" s="60" t="s">
        <v>51</v>
      </c>
      <c r="C30" s="61" t="s">
        <v>6</v>
      </c>
      <c r="D30" s="61" t="s">
        <v>8</v>
      </c>
      <c r="E30" s="61" t="s">
        <v>7</v>
      </c>
      <c r="F30" s="61" t="s">
        <v>125</v>
      </c>
      <c r="G30" s="61" t="str">
        <f t="shared" si="18"/>
        <v>Euribor6M</v>
      </c>
      <c r="H30" s="59" t="str">
        <f t="shared" si="19"/>
        <v>EURAB6E21M_LCHQuote</v>
      </c>
      <c r="I30" s="127">
        <v>0</v>
      </c>
      <c r="J30" s="64"/>
      <c r="K30" s="64"/>
      <c r="L30" s="48"/>
      <c r="M30" s="10" t="str">
        <f t="shared" si="14"/>
        <v>Sw</v>
      </c>
      <c r="N30" s="94" t="str">
        <f t="shared" ref="N30:O30" si="24">IF(ISBLANK(J34),"--",J34)</f>
        <v>obj_00761#0001</v>
      </c>
      <c r="O30" s="94" t="str">
        <f t="shared" si="24"/>
        <v>obj_00793#0001</v>
      </c>
      <c r="P30" s="146" t="str">
        <f>IFERROR(_xll.qlRateHelperQuoteName(N30,Trigger),"--")</f>
        <v>EURAB6E5Y_LCHQuote</v>
      </c>
      <c r="Q30" s="98">
        <f>IFERROR(_xll.qlRateHelperQuoteValue($N30,Trigger),"--")</f>
        <v>3.7490000000000002E-3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42256</v>
      </c>
      <c r="V30" s="99">
        <f>IFERROR(_xll.qlRateHelperPillarDate(N30,Trigger),"--")</f>
        <v>44083</v>
      </c>
      <c r="X30" s="4" t="str">
        <f t="shared" si="2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3"/>
        <v>#N/A</v>
      </c>
      <c r="AK30" s="80" t="e">
        <v>#N/A</v>
      </c>
      <c r="AL30" s="161" t="e">
        <f t="shared" si="4"/>
        <v>#N/A</v>
      </c>
    </row>
    <row r="31" spans="1:38" ht="11.25" customHeight="1" x14ac:dyDescent="0.2">
      <c r="A31" s="59" t="s">
        <v>25</v>
      </c>
      <c r="B31" s="60" t="s">
        <v>52</v>
      </c>
      <c r="C31" s="61" t="s">
        <v>6</v>
      </c>
      <c r="D31" s="61" t="s">
        <v>8</v>
      </c>
      <c r="E31" s="61" t="s">
        <v>7</v>
      </c>
      <c r="F31" s="61" t="s">
        <v>125</v>
      </c>
      <c r="G31" s="61" t="str">
        <f t="shared" si="18"/>
        <v>Euribor6M</v>
      </c>
      <c r="H31" s="59" t="str">
        <f t="shared" si="19"/>
        <v>EURAB6E2Y_LCHQuote</v>
      </c>
      <c r="I31" s="127">
        <v>0</v>
      </c>
      <c r="J31" s="64" t="str">
        <f>_xll.qlSwapRateHelper2(,$H31,2,$B31,Calendar,$D31,$E31,$F31,$G31,$I31,$C31,Discounting1,PillarDate,,Permanent,Trigger,ObjectOverwrite)</f>
        <v>obj_00767#0001</v>
      </c>
      <c r="K31" s="64" t="str">
        <f>_xll.qlSwapRateHelper2(,$H31,2,$B31,Calendar,$D31,$E31,$F31,$G31,$I31,$C31,Discounting2,PillarDate,,Permanent,Trigger,ObjectOverwrite)</f>
        <v>obj_0076c#0001</v>
      </c>
      <c r="L31" s="48"/>
      <c r="M31" s="10" t="str">
        <f t="shared" si="14"/>
        <v>Sw</v>
      </c>
      <c r="N31" s="94" t="str">
        <f t="shared" ref="N31:O31" si="25">IF(ISBLANK(J35),"--",J35)</f>
        <v>obj_0077f#0001</v>
      </c>
      <c r="O31" s="94" t="str">
        <f t="shared" si="25"/>
        <v>obj_00770#0001</v>
      </c>
      <c r="P31" s="146" t="str">
        <f>IFERROR(_xll.qlRateHelperQuoteName(N31,Trigger),"--")</f>
        <v>EURAB6E6Y_LCHQuote</v>
      </c>
      <c r="Q31" s="98">
        <f>IFERROR(_xll.qlRateHelperQuoteValue($N31,Trigger),"--")</f>
        <v>5.0607500000000001E-3</v>
      </c>
      <c r="R31" s="141" t="b">
        <v>1</v>
      </c>
      <c r="S31" s="94">
        <v>10</v>
      </c>
      <c r="T31" s="94">
        <v>1</v>
      </c>
      <c r="U31" s="99">
        <f>IFERROR(_xll.qlRateHelperEarliestDate(N31,Trigger),"--")</f>
        <v>42256</v>
      </c>
      <c r="V31" s="99">
        <f>IFERROR(_xll.qlRateHelperPillarDate(N31,Trigger),"--")</f>
        <v>44448</v>
      </c>
      <c r="X31" s="4" t="str">
        <f t="shared" si="2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3"/>
        <v>#N/A</v>
      </c>
      <c r="AK31" s="80" t="e">
        <v>#N/A</v>
      </c>
      <c r="AL31" s="161" t="e">
        <f t="shared" si="4"/>
        <v>#N/A</v>
      </c>
    </row>
    <row r="32" spans="1:38" ht="11.25" customHeight="1" x14ac:dyDescent="0.2">
      <c r="A32" s="59" t="s">
        <v>25</v>
      </c>
      <c r="B32" s="60" t="s">
        <v>53</v>
      </c>
      <c r="C32" s="61" t="s">
        <v>6</v>
      </c>
      <c r="D32" s="61" t="s">
        <v>8</v>
      </c>
      <c r="E32" s="61" t="s">
        <v>7</v>
      </c>
      <c r="F32" s="61" t="s">
        <v>125</v>
      </c>
      <c r="G32" s="61" t="str">
        <f t="shared" si="18"/>
        <v>Euribor6M</v>
      </c>
      <c r="H32" s="59" t="str">
        <f t="shared" si="19"/>
        <v>EURAB6E3Y_LCHQuote</v>
      </c>
      <c r="I32" s="127">
        <v>0</v>
      </c>
      <c r="J32" s="64" t="str">
        <f>_xll.qlSwapRateHelper2(,$H32,2,$B32,Calendar,$D32,$E32,$F32,$G32,$I32,$C32,Discounting1,PillarDate,,Permanent,Trigger,ObjectOverwrite)</f>
        <v>obj_00788#0001</v>
      </c>
      <c r="K32" s="64" t="str">
        <f>_xll.qlSwapRateHelper2(,$H32,2,$B32,Calendar,$D32,$E32,$F32,$G32,$I32,$C32,Discounting2,PillarDate,,Permanent,Trigger,ObjectOverwrite)</f>
        <v>obj_0078d#0001</v>
      </c>
      <c r="L32" s="48"/>
      <c r="M32" s="10" t="str">
        <f t="shared" si="14"/>
        <v>Sw</v>
      </c>
      <c r="N32" s="94" t="str">
        <f t="shared" ref="N32:O32" si="26">IF(ISBLANK(J36),"--",J36)</f>
        <v>obj_00781#0001</v>
      </c>
      <c r="O32" s="94" t="str">
        <f t="shared" si="26"/>
        <v>obj_00771#0001</v>
      </c>
      <c r="P32" s="146" t="str">
        <f>IFERROR(_xll.qlRateHelperQuoteName(N32,Trigger),"--")</f>
        <v>EURAB6E7Y_LCHQuote</v>
      </c>
      <c r="Q32" s="98">
        <f>IFERROR(_xll.qlRateHelperQuoteValue($N32,Trigger),"--")</f>
        <v>6.4152499999999999E-3</v>
      </c>
      <c r="R32" s="141" t="b">
        <v>1</v>
      </c>
      <c r="S32" s="94">
        <v>10</v>
      </c>
      <c r="T32" s="94">
        <v>1</v>
      </c>
      <c r="U32" s="99">
        <f>IFERROR(_xll.qlRateHelperEarliestDate(N32,Trigger),"--")</f>
        <v>42256</v>
      </c>
      <c r="V32" s="99">
        <f>IFERROR(_xll.qlRateHelperPillarDate(N32,Trigger),"--")</f>
        <v>44813</v>
      </c>
      <c r="X32" s="4" t="str">
        <f t="shared" si="2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3"/>
        <v>#N/A</v>
      </c>
      <c r="AK32" s="80" t="e">
        <v>#N/A</v>
      </c>
      <c r="AL32" s="161" t="e">
        <f t="shared" si="4"/>
        <v>#N/A</v>
      </c>
    </row>
    <row r="33" spans="1:38" ht="11.25" customHeight="1" x14ac:dyDescent="0.2">
      <c r="A33" s="59" t="s">
        <v>25</v>
      </c>
      <c r="B33" s="60" t="s">
        <v>54</v>
      </c>
      <c r="C33" s="61" t="s">
        <v>6</v>
      </c>
      <c r="D33" s="61" t="s">
        <v>8</v>
      </c>
      <c r="E33" s="61" t="s">
        <v>7</v>
      </c>
      <c r="F33" s="61" t="s">
        <v>125</v>
      </c>
      <c r="G33" s="61" t="str">
        <f t="shared" si="18"/>
        <v>Euribor6M</v>
      </c>
      <c r="H33" s="59" t="str">
        <f t="shared" si="19"/>
        <v>EURAB6E4Y_LCHQuote</v>
      </c>
      <c r="I33" s="127">
        <v>0</v>
      </c>
      <c r="J33" s="64" t="str">
        <f>_xll.qlSwapRateHelper2(,$H33,2,$B33,Calendar,$D33,$E33,$F33,$G33,$I33,$C33,Discounting1,PillarDate,,Permanent,Trigger,ObjectOverwrite)</f>
        <v>obj_00783#0001</v>
      </c>
      <c r="K33" s="64" t="str">
        <f>_xll.qlSwapRateHelper2(,$H33,2,$B33,Calendar,$D33,$E33,$F33,$G33,$I33,$C33,Discounting2,PillarDate,,Permanent,Trigger,ObjectOverwrite)</f>
        <v>obj_00774#0001</v>
      </c>
      <c r="L33" s="48"/>
      <c r="M33" s="10" t="str">
        <f t="shared" si="14"/>
        <v>Sw</v>
      </c>
      <c r="N33" s="94" t="str">
        <f t="shared" ref="N33:O33" si="27">IF(ISBLANK(J37),"--",J37)</f>
        <v>obj_00797#0001</v>
      </c>
      <c r="O33" s="94" t="str">
        <f t="shared" si="27"/>
        <v>obj_0075f#0001</v>
      </c>
      <c r="P33" s="146" t="str">
        <f>IFERROR(_xll.qlRateHelperQuoteName(N33,Trigger),"--")</f>
        <v>EURAB6E8Y_LCHQuote</v>
      </c>
      <c r="Q33" s="98">
        <f>IFERROR(_xll.qlRateHelperQuoteValue($N33,Trigger),"--")</f>
        <v>7.7302500000000001E-3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42256</v>
      </c>
      <c r="V33" s="99">
        <f>IFERROR(_xll.qlRateHelperPillarDate(N33,Trigger),"--")</f>
        <v>45180</v>
      </c>
      <c r="X33" s="4" t="str">
        <f t="shared" si="2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3"/>
        <v>#N/A</v>
      </c>
      <c r="AK33" s="80" t="e">
        <v>#N/A</v>
      </c>
      <c r="AL33" s="161" t="e">
        <f t="shared" si="4"/>
        <v>#N/A</v>
      </c>
    </row>
    <row r="34" spans="1:38" ht="11.25" customHeight="1" x14ac:dyDescent="0.2">
      <c r="A34" s="59" t="s">
        <v>25</v>
      </c>
      <c r="B34" s="60" t="s">
        <v>55</v>
      </c>
      <c r="C34" s="61" t="s">
        <v>6</v>
      </c>
      <c r="D34" s="61" t="s">
        <v>8</v>
      </c>
      <c r="E34" s="61" t="s">
        <v>7</v>
      </c>
      <c r="F34" s="61" t="s">
        <v>125</v>
      </c>
      <c r="G34" s="61" t="str">
        <f t="shared" si="18"/>
        <v>Euribor6M</v>
      </c>
      <c r="H34" s="59" t="str">
        <f t="shared" si="19"/>
        <v>EURAB6E5Y_LCHQuote</v>
      </c>
      <c r="I34" s="127">
        <v>0</v>
      </c>
      <c r="J34" s="64" t="str">
        <f>_xll.qlSwapRateHelper2(,$H34,2,$B34,Calendar,$D34,$E34,$F34,$G34,$I34,$C34,Discounting1,PillarDate,,Permanent,Trigger,ObjectOverwrite)</f>
        <v>obj_00761#0001</v>
      </c>
      <c r="K34" s="64" t="str">
        <f>_xll.qlSwapRateHelper2(,$H34,2,$B34,Calendar,$D34,$E34,$F34,$G34,$I34,$C34,Discounting2,PillarDate,,Permanent,Trigger,ObjectOverwrite)</f>
        <v>obj_00793#0001</v>
      </c>
      <c r="L34" s="48"/>
      <c r="M34" s="10" t="str">
        <f t="shared" si="14"/>
        <v>Sw</v>
      </c>
      <c r="N34" s="94" t="str">
        <f t="shared" ref="N34:O34" si="28">IF(ISBLANK(J38),"--",J38)</f>
        <v>obj_00776#0001</v>
      </c>
      <c r="O34" s="94" t="str">
        <f t="shared" si="28"/>
        <v>obj_00778#0001</v>
      </c>
      <c r="P34" s="146" t="str">
        <f>IFERROR(_xll.qlRateHelperQuoteName(N34,Trigger),"--")</f>
        <v>EURAB6E9Y_LCHQuote</v>
      </c>
      <c r="Q34" s="98">
        <f>IFERROR(_xll.qlRateHelperQuoteValue($N34,Trigger),"--")</f>
        <v>8.9230000000000004E-3</v>
      </c>
      <c r="R34" s="141" t="b">
        <v>1</v>
      </c>
      <c r="S34" s="94">
        <v>10</v>
      </c>
      <c r="T34" s="94">
        <v>1</v>
      </c>
      <c r="U34" s="99">
        <f>IFERROR(_xll.qlRateHelperEarliestDate(N34,Trigger),"--")</f>
        <v>42256</v>
      </c>
      <c r="V34" s="99">
        <f>IFERROR(_xll.qlRateHelperPillarDate(N34,Trigger),"--")</f>
        <v>45544</v>
      </c>
      <c r="X34" s="4" t="str">
        <f t="shared" si="2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3"/>
        <v>#N/A</v>
      </c>
      <c r="AK34" s="80" t="e">
        <v>#N/A</v>
      </c>
      <c r="AL34" s="161" t="e">
        <f t="shared" si="4"/>
        <v>#N/A</v>
      </c>
    </row>
    <row r="35" spans="1:38" ht="11.25" customHeight="1" x14ac:dyDescent="0.2">
      <c r="A35" s="59" t="s">
        <v>25</v>
      </c>
      <c r="B35" s="60" t="s">
        <v>56</v>
      </c>
      <c r="C35" s="61" t="s">
        <v>6</v>
      </c>
      <c r="D35" s="61" t="s">
        <v>8</v>
      </c>
      <c r="E35" s="61" t="s">
        <v>7</v>
      </c>
      <c r="F35" s="61" t="s">
        <v>125</v>
      </c>
      <c r="G35" s="61" t="str">
        <f t="shared" si="18"/>
        <v>Euribor6M</v>
      </c>
      <c r="H35" s="59" t="str">
        <f t="shared" si="19"/>
        <v>EURAB6E6Y_LCHQuote</v>
      </c>
      <c r="I35" s="127">
        <v>0</v>
      </c>
      <c r="J35" s="64" t="str">
        <f>_xll.qlSwapRateHelper2(,$H35,2,$B35,Calendar,$D35,$E35,$F35,$G35,$I35,$C35,Discounting1,PillarDate,,Permanent,Trigger,ObjectOverwrite)</f>
        <v>obj_0077f#0001</v>
      </c>
      <c r="K35" s="64" t="str">
        <f>_xll.qlSwapRateHelper2(,$H35,2,$B35,Calendar,$D35,$E35,$F35,$G35,$I35,$C35,Discounting2,PillarDate,,Permanent,Trigger,ObjectOverwrite)</f>
        <v>obj_00770#0001</v>
      </c>
      <c r="L35" s="48"/>
      <c r="M35" s="10" t="str">
        <f t="shared" si="14"/>
        <v>Sw</v>
      </c>
      <c r="N35" s="94" t="str">
        <f t="shared" ref="N35:O35" si="29">IF(ISBLANK(J39),"--",J39)</f>
        <v>obj_0078b#0001</v>
      </c>
      <c r="O35" s="94" t="str">
        <f t="shared" si="29"/>
        <v>obj_0079a#0001</v>
      </c>
      <c r="P35" s="146" t="str">
        <f>IFERROR(_xll.qlRateHelperQuoteName(N35,Trigger),"--")</f>
        <v>EURAB6E10Y_LCHQuote</v>
      </c>
      <c r="Q35" s="98">
        <f>IFERROR(_xll.qlRateHelperQuoteValue($N35,Trigger),"--")</f>
        <v>9.9725000000000005E-3</v>
      </c>
      <c r="R35" s="141" t="b">
        <v>1</v>
      </c>
      <c r="S35" s="94">
        <v>10</v>
      </c>
      <c r="T35" s="94">
        <v>1</v>
      </c>
      <c r="U35" s="99">
        <f>IFERROR(_xll.qlRateHelperEarliestDate(N35,Trigger),"--")</f>
        <v>42256</v>
      </c>
      <c r="V35" s="99">
        <f>IFERROR(_xll.qlRateHelperPillarDate(N35,Trigger),"--")</f>
        <v>45909</v>
      </c>
      <c r="X35" s="4" t="str">
        <f t="shared" si="2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3"/>
        <v>#N/A</v>
      </c>
      <c r="AK35" s="80" t="e">
        <v>#N/A</v>
      </c>
      <c r="AL35" s="161" t="e">
        <f t="shared" si="4"/>
        <v>#N/A</v>
      </c>
    </row>
    <row r="36" spans="1:38" ht="11.25" customHeight="1" x14ac:dyDescent="0.2">
      <c r="A36" s="59" t="s">
        <v>25</v>
      </c>
      <c r="B36" s="60" t="s">
        <v>57</v>
      </c>
      <c r="C36" s="61" t="s">
        <v>6</v>
      </c>
      <c r="D36" s="61" t="s">
        <v>8</v>
      </c>
      <c r="E36" s="61" t="s">
        <v>7</v>
      </c>
      <c r="F36" s="61" t="s">
        <v>125</v>
      </c>
      <c r="G36" s="61" t="str">
        <f t="shared" si="18"/>
        <v>Euribor6M</v>
      </c>
      <c r="H36" s="59" t="str">
        <f t="shared" si="19"/>
        <v>EURAB6E7Y_LCHQuote</v>
      </c>
      <c r="I36" s="127">
        <v>0</v>
      </c>
      <c r="J36" s="64" t="str">
        <f>_xll.qlSwapRateHelper2(,$H36,2,$B36,Calendar,$D36,$E36,$F36,$G36,$I36,$C36,Discounting1,PillarDate,,Permanent,Trigger,ObjectOverwrite)</f>
        <v>obj_00781#0001</v>
      </c>
      <c r="K36" s="64" t="str">
        <f>_xll.qlSwapRateHelper2(,$H36,2,$B36,Calendar,$D36,$E36,$F36,$G36,$I36,$C36,Discounting2,PillarDate,,Permanent,Trigger,ObjectOverwrite)</f>
        <v>obj_00771#0001</v>
      </c>
      <c r="L36" s="48"/>
      <c r="M36" s="10" t="str">
        <f t="shared" si="14"/>
        <v>Sw</v>
      </c>
      <c r="N36" s="94" t="str">
        <f t="shared" ref="N36:O36" si="30">IF(ISBLANK(J40),"--",J40)</f>
        <v>obj_0078e#0001</v>
      </c>
      <c r="O36" s="94" t="str">
        <f t="shared" si="30"/>
        <v>--</v>
      </c>
      <c r="P36" s="146" t="str">
        <f>IFERROR(_xll.qlRateHelperQuoteName(N36,Trigger),"--")</f>
        <v>EURAB6E11Y_LCHQuote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>
        <f>IFERROR(_xll.qlRateHelperEarliestDate(N36,Trigger),"--")</f>
        <v>42256</v>
      </c>
      <c r="V36" s="99">
        <f>IFERROR(_xll.qlRateHelperPillarDate(N36,Trigger),"--")</f>
        <v>46274</v>
      </c>
      <c r="X36" s="4" t="str">
        <f t="shared" si="2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3"/>
        <v>#N/A</v>
      </c>
      <c r="AK36" s="80" t="e">
        <v>#N/A</v>
      </c>
      <c r="AL36" s="161" t="e">
        <f t="shared" si="4"/>
        <v>#N/A</v>
      </c>
    </row>
    <row r="37" spans="1:38" ht="11.25" customHeight="1" x14ac:dyDescent="0.2">
      <c r="A37" s="59" t="s">
        <v>25</v>
      </c>
      <c r="B37" s="60" t="s">
        <v>58</v>
      </c>
      <c r="C37" s="61" t="s">
        <v>6</v>
      </c>
      <c r="D37" s="61" t="s">
        <v>8</v>
      </c>
      <c r="E37" s="61" t="s">
        <v>7</v>
      </c>
      <c r="F37" s="61" t="s">
        <v>125</v>
      </c>
      <c r="G37" s="61" t="str">
        <f t="shared" si="18"/>
        <v>Euribor6M</v>
      </c>
      <c r="H37" s="59" t="str">
        <f t="shared" si="19"/>
        <v>EURAB6E8Y_LCHQuote</v>
      </c>
      <c r="I37" s="127">
        <v>0</v>
      </c>
      <c r="J37" s="64" t="str">
        <f>_xll.qlSwapRateHelper2(,$H37,2,$B37,Calendar,$D37,$E37,$F37,$G37,$I37,$C37,Discounting1,PillarDate,,Permanent,Trigger,ObjectOverwrite)</f>
        <v>obj_00797#0001</v>
      </c>
      <c r="K37" s="64" t="str">
        <f>_xll.qlSwapRateHelper2(,$H37,2,$B37,Calendar,$D37,$E37,$F37,$G37,$I37,$C37,Discounting2,PillarDate,,Permanent,Trigger,ObjectOverwrite)</f>
        <v>obj_0075f#0001</v>
      </c>
      <c r="L37" s="48"/>
      <c r="M37" s="10" t="str">
        <f t="shared" si="14"/>
        <v>Sw</v>
      </c>
      <c r="N37" s="94" t="str">
        <f t="shared" ref="N37:O37" si="31">IF(ISBLANK(J41),"--",J41)</f>
        <v>obj_00769#0001</v>
      </c>
      <c r="O37" s="94" t="str">
        <f t="shared" si="31"/>
        <v>obj_0076d#0001</v>
      </c>
      <c r="P37" s="146" t="str">
        <f>IFERROR(_xll.qlRateHelperQuoteName(N37,Trigger),"--")</f>
        <v>EURAB6E12Y_LCHQuote</v>
      </c>
      <c r="Q37" s="98">
        <f>IFERROR(_xll.qlRateHelperQuoteValue($N37,Trigger),"--")</f>
        <v>1.17675E-2</v>
      </c>
      <c r="R37" s="141" t="b">
        <v>1</v>
      </c>
      <c r="S37" s="94">
        <v>10</v>
      </c>
      <c r="T37" s="94">
        <v>1</v>
      </c>
      <c r="U37" s="99">
        <f>IFERROR(_xll.qlRateHelperEarliestDate(N37,Trigger),"--")</f>
        <v>42256</v>
      </c>
      <c r="V37" s="99">
        <f>IFERROR(_xll.qlRateHelperPillarDate(N37,Trigger),"--")</f>
        <v>46639</v>
      </c>
      <c r="X37" s="4" t="str">
        <f t="shared" si="2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3"/>
        <v>#N/A</v>
      </c>
      <c r="AK37" s="80" t="e">
        <v>#N/A</v>
      </c>
      <c r="AL37" s="161" t="e">
        <f t="shared" si="4"/>
        <v>#N/A</v>
      </c>
    </row>
    <row r="38" spans="1:38" ht="11.25" customHeight="1" x14ac:dyDescent="0.2">
      <c r="A38" s="59" t="s">
        <v>25</v>
      </c>
      <c r="B38" s="60" t="s">
        <v>59</v>
      </c>
      <c r="C38" s="61" t="s">
        <v>6</v>
      </c>
      <c r="D38" s="61" t="s">
        <v>8</v>
      </c>
      <c r="E38" s="61" t="s">
        <v>7</v>
      </c>
      <c r="F38" s="61" t="s">
        <v>125</v>
      </c>
      <c r="G38" s="61" t="str">
        <f t="shared" si="18"/>
        <v>Euribor6M</v>
      </c>
      <c r="H38" s="59" t="str">
        <f t="shared" si="19"/>
        <v>EURAB6E9Y_LCHQuote</v>
      </c>
      <c r="I38" s="127">
        <v>0</v>
      </c>
      <c r="J38" s="64" t="str">
        <f>_xll.qlSwapRateHelper2(,$H38,2,$B38,Calendar,$D38,$E38,$F38,$G38,$I38,$C38,Discounting1,PillarDate,,Permanent,Trigger,ObjectOverwrite)</f>
        <v>obj_00776#0001</v>
      </c>
      <c r="K38" s="64" t="str">
        <f>_xll.qlSwapRateHelper2(,$H38,2,$B38,Calendar,$D38,$E38,$F38,$G38,$I38,$C38,Discounting2,PillarDate,,Permanent,Trigger,ObjectOverwrite)</f>
        <v>obj_00778#0001</v>
      </c>
      <c r="L38" s="48"/>
      <c r="M38" s="10" t="str">
        <f t="shared" si="14"/>
        <v>Sw</v>
      </c>
      <c r="N38" s="94" t="str">
        <f t="shared" ref="N38:O38" si="32">IF(ISBLANK(J42),"--",J42)</f>
        <v>obj_0077c#0001</v>
      </c>
      <c r="O38" s="94" t="str">
        <f t="shared" si="32"/>
        <v>--</v>
      </c>
      <c r="P38" s="146" t="str">
        <f>IFERROR(_xll.qlRateHelperQuoteName(N38,Trigger),"--")</f>
        <v>EURAB6E13Y_LCHQuote</v>
      </c>
      <c r="Q38" s="98" t="str">
        <f>IFERROR(_xll.qlRateHelperQuoteValue($N38,Trigger),"--")</f>
        <v>--</v>
      </c>
      <c r="R38" s="141" t="b">
        <v>0</v>
      </c>
      <c r="S38" s="94">
        <v>10</v>
      </c>
      <c r="T38" s="94">
        <v>1</v>
      </c>
      <c r="U38" s="99">
        <f>IFERROR(_xll.qlRateHelperEarliestDate(N38,Trigger),"--")</f>
        <v>42256</v>
      </c>
      <c r="V38" s="99">
        <f>IFERROR(_xll.qlRateHelperPillarDate(N38,Trigger),"--")</f>
        <v>47007</v>
      </c>
      <c r="X38" s="4" t="str">
        <f t="shared" si="2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3"/>
        <v>#N/A</v>
      </c>
      <c r="AK38" s="80" t="e">
        <v>#N/A</v>
      </c>
      <c r="AL38" s="161" t="e">
        <f t="shared" si="4"/>
        <v>#N/A</v>
      </c>
    </row>
    <row r="39" spans="1:38" ht="11.25" customHeight="1" x14ac:dyDescent="0.2">
      <c r="A39" s="59" t="s">
        <v>25</v>
      </c>
      <c r="B39" s="60" t="s">
        <v>60</v>
      </c>
      <c r="C39" s="61" t="s">
        <v>6</v>
      </c>
      <c r="D39" s="61" t="s">
        <v>8</v>
      </c>
      <c r="E39" s="61" t="s">
        <v>7</v>
      </c>
      <c r="F39" s="61" t="s">
        <v>125</v>
      </c>
      <c r="G39" s="61" t="str">
        <f t="shared" si="18"/>
        <v>Euribor6M</v>
      </c>
      <c r="H39" s="59" t="str">
        <f t="shared" si="19"/>
        <v>EURAB6E10Y_LCHQuote</v>
      </c>
      <c r="I39" s="127">
        <v>0</v>
      </c>
      <c r="J39" s="64" t="str">
        <f>_xll.qlSwapRateHelper2(,$H39,2,$B39,Calendar,$D39,$E39,$F39,$G39,$I39,$C39,Discounting1,PillarDate,,Permanent,Trigger,ObjectOverwrite)</f>
        <v>obj_0078b#0001</v>
      </c>
      <c r="K39" s="64" t="str">
        <f>_xll.qlSwapRateHelper2(,$H39,2,$B39,Calendar,$D39,$E39,$F39,$G39,$I39,$C39,Discounting2,PillarDate,,Permanent,Trigger,ObjectOverwrite)</f>
        <v>obj_0079a#0001</v>
      </c>
      <c r="L39" s="48"/>
      <c r="M39" s="10" t="str">
        <f t="shared" si="14"/>
        <v>Sw</v>
      </c>
      <c r="N39" s="94" t="str">
        <f t="shared" ref="N39:O39" si="33">IF(ISBLANK(J43),"--",J43)</f>
        <v>obj_0078f#0001</v>
      </c>
      <c r="O39" s="94" t="str">
        <f t="shared" si="33"/>
        <v>--</v>
      </c>
      <c r="P39" s="146" t="str">
        <f>IFERROR(_xll.qlRateHelperQuoteName(N39,Trigger),"--")</f>
        <v>EURAB6E14Y_LCHQuote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>
        <f>IFERROR(_xll.qlRateHelperEarliestDate(N39,Trigger),"--")</f>
        <v>42256</v>
      </c>
      <c r="V39" s="99">
        <f>IFERROR(_xll.qlRateHelperPillarDate(N39,Trigger),"--")</f>
        <v>47371</v>
      </c>
      <c r="X39" s="4" t="str">
        <f t="shared" si="2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3"/>
        <v>#N/A</v>
      </c>
      <c r="AK39" s="80" t="e">
        <v>#N/A</v>
      </c>
      <c r="AL39" s="161" t="e">
        <f t="shared" si="4"/>
        <v>#N/A</v>
      </c>
    </row>
    <row r="40" spans="1:38" ht="11.25" customHeight="1" x14ac:dyDescent="0.2">
      <c r="A40" s="59" t="s">
        <v>25</v>
      </c>
      <c r="B40" s="60" t="s">
        <v>98</v>
      </c>
      <c r="C40" s="61" t="s">
        <v>6</v>
      </c>
      <c r="D40" s="61" t="s">
        <v>8</v>
      </c>
      <c r="E40" s="61" t="s">
        <v>7</v>
      </c>
      <c r="F40" s="61" t="s">
        <v>125</v>
      </c>
      <c r="G40" s="61" t="str">
        <f t="shared" si="18"/>
        <v>Euribor6M</v>
      </c>
      <c r="H40" s="59" t="str">
        <f t="shared" si="19"/>
        <v>EURAB6E11Y_LCHQuote</v>
      </c>
      <c r="I40" s="127">
        <v>0</v>
      </c>
      <c r="J40" s="64" t="str">
        <f>_xll.qlSwapRateHelper2(,$H40,2,$B40,Calendar,$D40,$E40,$F40,$G40,$I40,$C40,Discounting1,PillarDate,,Permanent,Trigger,ObjectOverwrite)</f>
        <v>obj_0078e#0001</v>
      </c>
      <c r="K40" s="64"/>
      <c r="L40" s="48"/>
      <c r="M40" s="10" t="str">
        <f t="shared" si="14"/>
        <v>Sw</v>
      </c>
      <c r="N40" s="94" t="str">
        <f t="shared" ref="N40:O40" si="34">IF(ISBLANK(J44),"--",J44)</f>
        <v>obj_0078a#0001</v>
      </c>
      <c r="O40" s="94" t="str">
        <f t="shared" si="34"/>
        <v>obj_00762#0001</v>
      </c>
      <c r="P40" s="146" t="str">
        <f>IFERROR(_xll.qlRateHelperQuoteName(N40,Trigger),"--")</f>
        <v>EURAB6E15Y_LCHQuote</v>
      </c>
      <c r="Q40" s="98">
        <f>IFERROR(_xll.qlRateHelperQuoteValue($N40,Trigger),"--")</f>
        <v>1.359E-2</v>
      </c>
      <c r="R40" s="141" t="b">
        <v>1</v>
      </c>
      <c r="S40" s="94">
        <v>10</v>
      </c>
      <c r="T40" s="94">
        <v>1</v>
      </c>
      <c r="U40" s="99">
        <f>IFERROR(_xll.qlRateHelperEarliestDate(N40,Trigger),"--")</f>
        <v>42256</v>
      </c>
      <c r="V40" s="99">
        <f>IFERROR(_xll.qlRateHelperPillarDate(N40,Trigger),"--")</f>
        <v>47735</v>
      </c>
      <c r="X40" s="4" t="str">
        <f t="shared" si="2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3"/>
        <v>#N/A</v>
      </c>
      <c r="AK40" s="80" t="e">
        <v>#N/A</v>
      </c>
      <c r="AL40" s="161" t="e">
        <f t="shared" si="4"/>
        <v>#N/A</v>
      </c>
    </row>
    <row r="41" spans="1:38" ht="11.25" customHeight="1" x14ac:dyDescent="0.2">
      <c r="A41" s="59" t="s">
        <v>25</v>
      </c>
      <c r="B41" s="60" t="s">
        <v>61</v>
      </c>
      <c r="C41" s="61" t="s">
        <v>6</v>
      </c>
      <c r="D41" s="61" t="s">
        <v>8</v>
      </c>
      <c r="E41" s="61" t="s">
        <v>7</v>
      </c>
      <c r="F41" s="61" t="s">
        <v>125</v>
      </c>
      <c r="G41" s="61" t="str">
        <f t="shared" si="18"/>
        <v>Euribor6M</v>
      </c>
      <c r="H41" s="59" t="str">
        <f t="shared" si="19"/>
        <v>EURAB6E12Y_LCHQuote</v>
      </c>
      <c r="I41" s="127">
        <v>0</v>
      </c>
      <c r="J41" s="64" t="str">
        <f>_xll.qlSwapRateHelper2(,$H41,2,$B41,Calendar,$D41,$E41,$F41,$G41,$I41,$C41,Discounting1,PillarDate,,Permanent,Trigger,ObjectOverwrite)</f>
        <v>obj_00769#0001</v>
      </c>
      <c r="K41" s="64" t="str">
        <f>_xll.qlSwapRateHelper2(,$H41,2,$B41,Calendar,$D41,$E41,$F41,$G41,$I41,$C41,Discounting2,PillarDate,,Permanent,Trigger,ObjectOverwrite)</f>
        <v>obj_0076d#0001</v>
      </c>
      <c r="M41" s="10" t="str">
        <f t="shared" si="14"/>
        <v>Sw</v>
      </c>
      <c r="N41" s="94" t="str">
        <f t="shared" ref="N41:O41" si="35">IF(ISBLANK(J45),"--",J45)</f>
        <v>obj_00766#0001</v>
      </c>
      <c r="O41" s="94" t="str">
        <f t="shared" si="35"/>
        <v>--</v>
      </c>
      <c r="P41" s="146" t="str">
        <f>IFERROR(_xll.qlRateHelperQuoteName(N41,Trigger),"--")</f>
        <v>EURAB6E16Y_LCHQuote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>
        <f>IFERROR(_xll.qlRateHelperEarliestDate(N41,Trigger),"--")</f>
        <v>42256</v>
      </c>
      <c r="V41" s="99">
        <f>IFERROR(_xll.qlRateHelperPillarDate(N41,Trigger),"--")</f>
        <v>48100</v>
      </c>
      <c r="X41" s="4" t="str">
        <f t="shared" si="2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3"/>
        <v>#N/A</v>
      </c>
      <c r="AK41" s="80" t="e">
        <v>#N/A</v>
      </c>
      <c r="AL41" s="161" t="e">
        <f t="shared" si="4"/>
        <v>#N/A</v>
      </c>
    </row>
    <row r="42" spans="1:38" ht="11.25" customHeight="1" x14ac:dyDescent="0.2">
      <c r="A42" s="59" t="s">
        <v>25</v>
      </c>
      <c r="B42" s="60" t="s">
        <v>99</v>
      </c>
      <c r="C42" s="61" t="s">
        <v>6</v>
      </c>
      <c r="D42" s="61" t="s">
        <v>8</v>
      </c>
      <c r="E42" s="61" t="s">
        <v>7</v>
      </c>
      <c r="F42" s="61" t="s">
        <v>125</v>
      </c>
      <c r="G42" s="61" t="str">
        <f t="shared" si="18"/>
        <v>Euribor6M</v>
      </c>
      <c r="H42" s="59" t="str">
        <f t="shared" si="19"/>
        <v>EURAB6E13Y_LCHQuote</v>
      </c>
      <c r="I42" s="127">
        <v>0</v>
      </c>
      <c r="J42" s="64" t="str">
        <f>_xll.qlSwapRateHelper2(,$H42,2,$B42,Calendar,$D42,$E42,$F42,$G42,$I42,$C42,Discounting1,PillarDate,,Permanent,Trigger,ObjectOverwrite)</f>
        <v>obj_0077c#0001</v>
      </c>
      <c r="K42" s="64"/>
      <c r="M42" s="10" t="str">
        <f t="shared" si="14"/>
        <v>Sw</v>
      </c>
      <c r="N42" s="94" t="str">
        <f t="shared" ref="N42:O42" si="36">IF(ISBLANK(J46),"--",J46)</f>
        <v>obj_00787#0001</v>
      </c>
      <c r="O42" s="94" t="str">
        <f t="shared" si="36"/>
        <v>--</v>
      </c>
      <c r="P42" s="146" t="str">
        <f>IFERROR(_xll.qlRateHelperQuoteName(N42,Trigger),"--")</f>
        <v>EURAB6E17Y_LCHQuote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>
        <f>IFERROR(_xll.qlRateHelperEarliestDate(N42,Trigger),"--")</f>
        <v>42256</v>
      </c>
      <c r="V42" s="99">
        <f>IFERROR(_xll.qlRateHelperPillarDate(N42,Trigger),"--")</f>
        <v>48466</v>
      </c>
      <c r="X42" s="4" t="str">
        <f t="shared" si="2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3"/>
        <v>#N/A</v>
      </c>
      <c r="AK42" s="80" t="e">
        <v>#N/A</v>
      </c>
      <c r="AL42" s="161" t="e">
        <f t="shared" si="4"/>
        <v>#N/A</v>
      </c>
    </row>
    <row r="43" spans="1:38" ht="11.25" customHeight="1" x14ac:dyDescent="0.2">
      <c r="A43" s="59" t="s">
        <v>25</v>
      </c>
      <c r="B43" s="60" t="s">
        <v>100</v>
      </c>
      <c r="C43" s="61" t="s">
        <v>6</v>
      </c>
      <c r="D43" s="61" t="s">
        <v>8</v>
      </c>
      <c r="E43" s="61" t="s">
        <v>7</v>
      </c>
      <c r="F43" s="61" t="s">
        <v>125</v>
      </c>
      <c r="G43" s="61" t="str">
        <f t="shared" si="18"/>
        <v>Euribor6M</v>
      </c>
      <c r="H43" s="59" t="str">
        <f t="shared" si="19"/>
        <v>EURAB6E14Y_LCHQuote</v>
      </c>
      <c r="I43" s="127">
        <v>0</v>
      </c>
      <c r="J43" s="64" t="str">
        <f>_xll.qlSwapRateHelper2(,$H43,2,$B43,Calendar,$D43,$E43,$F43,$G43,$I43,$C43,Discounting1,PillarDate,,Permanent,Trigger,ObjectOverwrite)</f>
        <v>obj_0078f#0001</v>
      </c>
      <c r="K43" s="64"/>
      <c r="M43" s="10" t="str">
        <f t="shared" si="14"/>
        <v>Sw</v>
      </c>
      <c r="N43" s="94" t="str">
        <f t="shared" ref="N43:O43" si="37">IF(ISBLANK(J47),"--",J47)</f>
        <v>obj_0077b#0001</v>
      </c>
      <c r="O43" s="94" t="str">
        <f t="shared" si="37"/>
        <v>--</v>
      </c>
      <c r="P43" s="146" t="str">
        <f>IFERROR(_xll.qlRateHelperQuoteName(N43,Trigger),"--")</f>
        <v>EURAB6E18Y_LCHQuote</v>
      </c>
      <c r="Q43" s="98" t="str">
        <f>IFERROR(_xll.qlRateHelperQuoteValue($N43,Trigger),"--")</f>
        <v>--</v>
      </c>
      <c r="R43" s="141" t="b">
        <v>0</v>
      </c>
      <c r="S43" s="94">
        <v>10</v>
      </c>
      <c r="T43" s="94">
        <v>1</v>
      </c>
      <c r="U43" s="99">
        <f>IFERROR(_xll.qlRateHelperEarliestDate(N43,Trigger),"--")</f>
        <v>42256</v>
      </c>
      <c r="V43" s="99">
        <f>IFERROR(_xll.qlRateHelperPillarDate(N43,Trigger),"--")</f>
        <v>48831</v>
      </c>
      <c r="X43" s="4" t="str">
        <f t="shared" si="2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3"/>
        <v>#N/A</v>
      </c>
      <c r="AK43" s="80" t="e">
        <v>#N/A</v>
      </c>
      <c r="AL43" s="161" t="e">
        <f t="shared" si="4"/>
        <v>#N/A</v>
      </c>
    </row>
    <row r="44" spans="1:38" ht="11.25" customHeight="1" x14ac:dyDescent="0.2">
      <c r="A44" s="59" t="s">
        <v>25</v>
      </c>
      <c r="B44" s="60" t="s">
        <v>62</v>
      </c>
      <c r="C44" s="61" t="s">
        <v>6</v>
      </c>
      <c r="D44" s="61" t="s">
        <v>8</v>
      </c>
      <c r="E44" s="61" t="s">
        <v>7</v>
      </c>
      <c r="F44" s="61" t="s">
        <v>125</v>
      </c>
      <c r="G44" s="61" t="str">
        <f t="shared" si="18"/>
        <v>Euribor6M</v>
      </c>
      <c r="H44" s="59" t="str">
        <f t="shared" si="19"/>
        <v>EURAB6E15Y_LCHQuote</v>
      </c>
      <c r="I44" s="127">
        <v>0</v>
      </c>
      <c r="J44" s="64" t="str">
        <f>_xll.qlSwapRateHelper2(,$H44,2,$B44,Calendar,$D44,$E44,$F44,$G44,$I44,$C44,Discounting1,PillarDate,,Permanent,Trigger,ObjectOverwrite)</f>
        <v>obj_0078a#0001</v>
      </c>
      <c r="K44" s="64" t="str">
        <f>_xll.qlSwapRateHelper2(,$H44,2,$B44,Calendar,$D44,$E44,$F44,$G44,$I44,$C44,Discounting2,PillarDate,,Permanent,Trigger,ObjectOverwrite)</f>
        <v>obj_00762#0001</v>
      </c>
      <c r="M44" s="10" t="str">
        <f t="shared" si="14"/>
        <v>Sw</v>
      </c>
      <c r="N44" s="94" t="str">
        <f t="shared" ref="N44:O44" si="38">IF(ISBLANK(J48),"--",J48)</f>
        <v>obj_00773#0001</v>
      </c>
      <c r="O44" s="94" t="str">
        <f t="shared" si="38"/>
        <v>--</v>
      </c>
      <c r="P44" s="146" t="str">
        <f>IFERROR(_xll.qlRateHelperQuoteName(N44,Trigger),"--")</f>
        <v>EURAB6E19Y_LCHQuote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>
        <f>IFERROR(_xll.qlRateHelperEarliestDate(N44,Trigger),"--")</f>
        <v>42256</v>
      </c>
      <c r="V44" s="99">
        <f>IFERROR(_xll.qlRateHelperPillarDate(N44,Trigger),"--")</f>
        <v>49198</v>
      </c>
      <c r="X44" s="4" t="str">
        <f t="shared" si="2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3"/>
        <v>#N/A</v>
      </c>
      <c r="AK44" s="80" t="e">
        <v>#N/A</v>
      </c>
      <c r="AL44" s="161" t="e">
        <f t="shared" si="4"/>
        <v>#N/A</v>
      </c>
    </row>
    <row r="45" spans="1:38" ht="11.25" customHeight="1" x14ac:dyDescent="0.2">
      <c r="A45" s="59" t="s">
        <v>25</v>
      </c>
      <c r="B45" s="60" t="s">
        <v>101</v>
      </c>
      <c r="C45" s="61" t="s">
        <v>6</v>
      </c>
      <c r="D45" s="61" t="s">
        <v>8</v>
      </c>
      <c r="E45" s="61" t="s">
        <v>7</v>
      </c>
      <c r="F45" s="61" t="s">
        <v>125</v>
      </c>
      <c r="G45" s="61" t="str">
        <f t="shared" si="18"/>
        <v>Euribor6M</v>
      </c>
      <c r="H45" s="59" t="str">
        <f t="shared" si="19"/>
        <v>EURAB6E16Y_LCHQuote</v>
      </c>
      <c r="I45" s="127">
        <v>0</v>
      </c>
      <c r="J45" s="64" t="str">
        <f>_xll.qlSwapRateHelper2(,$H45,2,$B45,Calendar,$D45,$E45,$F45,$G45,$I45,$C45,Discounting1,PillarDate,,Permanent,Trigger,ObjectOverwrite)</f>
        <v>obj_00766#0001</v>
      </c>
      <c r="K45" s="64"/>
      <c r="M45" s="10" t="str">
        <f t="shared" si="14"/>
        <v>Sw</v>
      </c>
      <c r="N45" s="94" t="str">
        <f t="shared" ref="N45:O45" si="39">IF(ISBLANK(J49),"--",J49)</f>
        <v>obj_0078c#0001</v>
      </c>
      <c r="O45" s="94" t="str">
        <f t="shared" si="39"/>
        <v>obj_00784#0001</v>
      </c>
      <c r="P45" s="146" t="str">
        <f>IFERROR(_xll.qlRateHelperQuoteName(N45,Trigger),"--")</f>
        <v>EURAB6E20Y_LCHQuote</v>
      </c>
      <c r="Q45" s="98">
        <f>IFERROR(_xll.qlRateHelperQuoteValue($N45,Trigger),"--")</f>
        <v>1.507E-2</v>
      </c>
      <c r="R45" s="141" t="b">
        <v>1</v>
      </c>
      <c r="S45" s="94">
        <v>10</v>
      </c>
      <c r="T45" s="94">
        <v>1</v>
      </c>
      <c r="U45" s="99">
        <f>IFERROR(_xll.qlRateHelperEarliestDate(N45,Trigger),"--")</f>
        <v>42256</v>
      </c>
      <c r="V45" s="99">
        <f>IFERROR(_xll.qlRateHelperPillarDate(N45,Trigger),"--")</f>
        <v>49562</v>
      </c>
      <c r="X45" s="4" t="str">
        <f t="shared" si="2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3"/>
        <v>#N/A</v>
      </c>
      <c r="AK45" s="80" t="e">
        <v>#N/A</v>
      </c>
      <c r="AL45" s="161" t="e">
        <f t="shared" si="4"/>
        <v>#N/A</v>
      </c>
    </row>
    <row r="46" spans="1:38" ht="11.25" customHeight="1" x14ac:dyDescent="0.2">
      <c r="A46" s="59" t="s">
        <v>25</v>
      </c>
      <c r="B46" s="60" t="s">
        <v>102</v>
      </c>
      <c r="C46" s="61" t="s">
        <v>6</v>
      </c>
      <c r="D46" s="61" t="s">
        <v>8</v>
      </c>
      <c r="E46" s="61" t="s">
        <v>7</v>
      </c>
      <c r="F46" s="61" t="s">
        <v>125</v>
      </c>
      <c r="G46" s="61" t="str">
        <f t="shared" si="18"/>
        <v>Euribor6M</v>
      </c>
      <c r="H46" s="59" t="str">
        <f t="shared" si="19"/>
        <v>EURAB6E17Y_LCHQuote</v>
      </c>
      <c r="I46" s="127">
        <v>0</v>
      </c>
      <c r="J46" s="64" t="str">
        <f>_xll.qlSwapRateHelper2(,$H46,2,$B46,Calendar,$D46,$E46,$F46,$G46,$I46,$C46,Discounting1,PillarDate,,Permanent,Trigger,ObjectOverwrite)</f>
        <v>obj_00787#0001</v>
      </c>
      <c r="K46" s="64"/>
      <c r="M46" s="10" t="str">
        <f t="shared" si="14"/>
        <v>Sw</v>
      </c>
      <c r="N46" s="94" t="str">
        <f t="shared" ref="N46:O46" si="40">IF(ISBLANK(J50),"--",J50)</f>
        <v>obj_00768#0001</v>
      </c>
      <c r="O46" s="94" t="str">
        <f t="shared" si="40"/>
        <v>--</v>
      </c>
      <c r="P46" s="146" t="str">
        <f>IFERROR(_xll.qlRateHelperQuoteName(N46,Trigger),"--")</f>
        <v>EURAB6E21Y_LCHQuote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>
        <f>IFERROR(_xll.qlRateHelperEarliestDate(N46,Trigger),"--")</f>
        <v>42256</v>
      </c>
      <c r="V46" s="99">
        <f>IFERROR(_xll.qlRateHelperPillarDate(N46,Trigger),"--")</f>
        <v>49927</v>
      </c>
      <c r="X46" s="4" t="str">
        <f t="shared" si="2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3"/>
        <v>#N/A</v>
      </c>
      <c r="AK46" s="80" t="e">
        <v>#N/A</v>
      </c>
      <c r="AL46" s="161" t="e">
        <f t="shared" si="4"/>
        <v>#N/A</v>
      </c>
    </row>
    <row r="47" spans="1:38" ht="11.25" customHeight="1" x14ac:dyDescent="0.2">
      <c r="A47" s="59" t="s">
        <v>25</v>
      </c>
      <c r="B47" s="60" t="s">
        <v>103</v>
      </c>
      <c r="C47" s="61" t="s">
        <v>6</v>
      </c>
      <c r="D47" s="61" t="s">
        <v>8</v>
      </c>
      <c r="E47" s="61" t="s">
        <v>7</v>
      </c>
      <c r="F47" s="61" t="s">
        <v>125</v>
      </c>
      <c r="G47" s="61" t="str">
        <f t="shared" si="18"/>
        <v>Euribor6M</v>
      </c>
      <c r="H47" s="59" t="str">
        <f t="shared" si="19"/>
        <v>EURAB6E18Y_LCHQuote</v>
      </c>
      <c r="I47" s="127">
        <v>0</v>
      </c>
      <c r="J47" s="64" t="str">
        <f>_xll.qlSwapRateHelper2(,$H47,2,$B47,Calendar,$D47,$E47,$F47,$G47,$I47,$C47,Discounting1,PillarDate,,Permanent,Trigger,ObjectOverwrite)</f>
        <v>obj_0077b#0001</v>
      </c>
      <c r="K47" s="64"/>
      <c r="M47" s="10" t="str">
        <f t="shared" si="14"/>
        <v>Sw</v>
      </c>
      <c r="N47" s="94" t="str">
        <f t="shared" ref="N47:O47" si="41">IF(ISBLANK(J51),"--",J51)</f>
        <v>obj_0076a#0001</v>
      </c>
      <c r="O47" s="94" t="str">
        <f t="shared" si="41"/>
        <v>--</v>
      </c>
      <c r="P47" s="146" t="str">
        <f>IFERROR(_xll.qlRateHelperQuoteName(N47,Trigger),"--")</f>
        <v>EURAB6E22Y_LCHQuote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>
        <f>IFERROR(_xll.qlRateHelperEarliestDate(N47,Trigger),"--")</f>
        <v>42256</v>
      </c>
      <c r="V47" s="99">
        <f>IFERROR(_xll.qlRateHelperPillarDate(N47,Trigger),"--")</f>
        <v>50292</v>
      </c>
      <c r="X47" s="4" t="str">
        <f t="shared" si="2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3"/>
        <v>#N/A</v>
      </c>
      <c r="AK47" s="80" t="e">
        <v>#N/A</v>
      </c>
      <c r="AL47" s="161" t="e">
        <f t="shared" si="4"/>
        <v>#N/A</v>
      </c>
    </row>
    <row r="48" spans="1:38" ht="11.25" customHeight="1" x14ac:dyDescent="0.2">
      <c r="A48" s="59" t="s">
        <v>25</v>
      </c>
      <c r="B48" s="60" t="s">
        <v>104</v>
      </c>
      <c r="C48" s="61" t="s">
        <v>6</v>
      </c>
      <c r="D48" s="61" t="s">
        <v>8</v>
      </c>
      <c r="E48" s="61" t="s">
        <v>7</v>
      </c>
      <c r="F48" s="61" t="s">
        <v>125</v>
      </c>
      <c r="G48" s="61" t="str">
        <f t="shared" si="18"/>
        <v>Euribor6M</v>
      </c>
      <c r="H48" s="59" t="str">
        <f t="shared" si="19"/>
        <v>EURAB6E19Y_LCHQuote</v>
      </c>
      <c r="I48" s="127">
        <v>0</v>
      </c>
      <c r="J48" s="64" t="str">
        <f>_xll.qlSwapRateHelper2(,$H48,2,$B48,Calendar,$D48,$E48,$F48,$G48,$I48,$C48,Discounting1,PillarDate,,Permanent,Trigger,ObjectOverwrite)</f>
        <v>obj_00773#0001</v>
      </c>
      <c r="K48" s="64"/>
      <c r="M48" s="10" t="str">
        <f t="shared" si="14"/>
        <v>Sw</v>
      </c>
      <c r="N48" s="94" t="str">
        <f t="shared" ref="N48:O48" si="42">IF(ISBLANK(J52),"--",J52)</f>
        <v>obj_00786#0001</v>
      </c>
      <c r="O48" s="94" t="str">
        <f t="shared" si="42"/>
        <v>--</v>
      </c>
      <c r="P48" s="146" t="str">
        <f>IFERROR(_xll.qlRateHelperQuoteName(N48,Trigger),"--")</f>
        <v>EURAB6E23Y_LCHQuote</v>
      </c>
      <c r="Q48" s="98" t="str">
        <f>IFERROR(_xll.qlRateHelperQuoteValue($N48,Trigger),"--")</f>
        <v>--</v>
      </c>
      <c r="R48" s="141" t="b">
        <v>0</v>
      </c>
      <c r="S48" s="94">
        <v>10</v>
      </c>
      <c r="T48" s="94">
        <v>1</v>
      </c>
      <c r="U48" s="99">
        <f>IFERROR(_xll.qlRateHelperEarliestDate(N48,Trigger),"--")</f>
        <v>42256</v>
      </c>
      <c r="V48" s="99">
        <f>IFERROR(_xll.qlRateHelperPillarDate(N48,Trigger),"--")</f>
        <v>50657</v>
      </c>
      <c r="X48" s="4" t="str">
        <f t="shared" si="2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46" t="e">
        <v>#N/A</v>
      </c>
      <c r="AI48" s="46" t="e">
        <v>#N/A</v>
      </c>
      <c r="AJ48" s="172" t="e">
        <f t="shared" si="3"/>
        <v>#N/A</v>
      </c>
      <c r="AK48" s="46" t="e">
        <v>#N/A</v>
      </c>
      <c r="AL48" s="161" t="e">
        <f t="shared" si="4"/>
        <v>#N/A</v>
      </c>
    </row>
    <row r="49" spans="1:38" ht="11.25" customHeight="1" x14ac:dyDescent="0.2">
      <c r="A49" s="59" t="s">
        <v>25</v>
      </c>
      <c r="B49" s="60" t="s">
        <v>63</v>
      </c>
      <c r="C49" s="61" t="s">
        <v>6</v>
      </c>
      <c r="D49" s="61" t="s">
        <v>8</v>
      </c>
      <c r="E49" s="61" t="s">
        <v>7</v>
      </c>
      <c r="F49" s="61" t="s">
        <v>125</v>
      </c>
      <c r="G49" s="61" t="str">
        <f t="shared" si="18"/>
        <v>Euribor6M</v>
      </c>
      <c r="H49" s="59" t="str">
        <f t="shared" si="19"/>
        <v>EURAB6E20Y_LCHQuote</v>
      </c>
      <c r="I49" s="127">
        <v>0</v>
      </c>
      <c r="J49" s="64" t="str">
        <f>_xll.qlSwapRateHelper2(,$H49,2,$B49,Calendar,$D49,$E49,$F49,$G49,$I49,$C49,Discounting1,PillarDate,,Permanent,Trigger,ObjectOverwrite)</f>
        <v>obj_0078c#0001</v>
      </c>
      <c r="K49" s="64" t="str">
        <f>_xll.qlSwapRateHelper2(,$H49,2,$B49,Calendar,$D49,$E49,$F49,$G49,$I49,$C49,Discounting2,PillarDate,,Permanent,Trigger,ObjectOverwrite)</f>
        <v>obj_00784#0001</v>
      </c>
      <c r="M49" s="10" t="str">
        <f t="shared" si="14"/>
        <v>Sw</v>
      </c>
      <c r="N49" s="94" t="str">
        <f t="shared" ref="N49:O49" si="43">IF(ISBLANK(J53),"--",J53)</f>
        <v>obj_00760#0001</v>
      </c>
      <c r="O49" s="94" t="str">
        <f t="shared" si="43"/>
        <v>--</v>
      </c>
      <c r="P49" s="146" t="str">
        <f>IFERROR(_xll.qlRateHelperQuoteName(N49,Trigger),"--")</f>
        <v>EURAB6E24Y_LCHQuote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>
        <f>IFERROR(_xll.qlRateHelperEarliestDate(N49,Trigger),"--")</f>
        <v>42256</v>
      </c>
      <c r="V49" s="99">
        <f>IFERROR(_xll.qlRateHelperPillarDate(N49,Trigger),"--")</f>
        <v>51022</v>
      </c>
      <c r="X49" s="4" t="str">
        <f t="shared" si="2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46" t="e">
        <v>#N/A</v>
      </c>
      <c r="AI49" s="46" t="e">
        <v>#N/A</v>
      </c>
      <c r="AJ49" s="172" t="e">
        <f t="shared" si="3"/>
        <v>#N/A</v>
      </c>
      <c r="AK49" s="46" t="e">
        <v>#N/A</v>
      </c>
      <c r="AL49" s="161" t="e">
        <f t="shared" si="4"/>
        <v>#N/A</v>
      </c>
    </row>
    <row r="50" spans="1:38" ht="11.25" customHeight="1" x14ac:dyDescent="0.2">
      <c r="A50" s="59" t="s">
        <v>25</v>
      </c>
      <c r="B50" s="60" t="s">
        <v>105</v>
      </c>
      <c r="C50" s="61" t="s">
        <v>6</v>
      </c>
      <c r="D50" s="61" t="s">
        <v>8</v>
      </c>
      <c r="E50" s="61" t="s">
        <v>7</v>
      </c>
      <c r="F50" s="61" t="s">
        <v>125</v>
      </c>
      <c r="G50" s="61" t="str">
        <f t="shared" si="18"/>
        <v>Euribor6M</v>
      </c>
      <c r="H50" s="59" t="str">
        <f t="shared" si="19"/>
        <v>EURAB6E21Y_LCHQuote</v>
      </c>
      <c r="I50" s="127">
        <v>0</v>
      </c>
      <c r="J50" s="64" t="str">
        <f>_xll.qlSwapRateHelper2(,$H50,2,$B50,Calendar,$D50,$E50,$F50,$G50,$I50,$C50,Discounting1,PillarDate,,Permanent,Trigger,ObjectOverwrite)</f>
        <v>obj_00768#0001</v>
      </c>
      <c r="K50" s="64"/>
      <c r="M50" s="10" t="str">
        <f t="shared" si="14"/>
        <v>Sw</v>
      </c>
      <c r="N50" s="94" t="str">
        <f t="shared" ref="N50:O50" si="44">IF(ISBLANK(J54),"--",J54)</f>
        <v>obj_00779#0001</v>
      </c>
      <c r="O50" s="94" t="str">
        <f t="shared" si="44"/>
        <v>obj_00798#0001</v>
      </c>
      <c r="P50" s="146" t="str">
        <f>IFERROR(_xll.qlRateHelperQuoteName(N50,Trigger),"--")</f>
        <v>EURAB6E25Y_LCHQuote</v>
      </c>
      <c r="Q50" s="98">
        <f>IFERROR(_xll.qlRateHelperQuoteValue($N50,Trigger),"--")</f>
        <v>1.5389999999999999E-2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42256</v>
      </c>
      <c r="V50" s="99">
        <f>IFERROR(_xll.qlRateHelperPillarDate(N50,Trigger),"--")</f>
        <v>51389</v>
      </c>
      <c r="X50" s="4" t="str">
        <f t="shared" si="2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46" t="e">
        <v>#N/A</v>
      </c>
      <c r="AI50" s="46" t="e">
        <v>#N/A</v>
      </c>
      <c r="AJ50" s="172" t="e">
        <f t="shared" si="3"/>
        <v>#N/A</v>
      </c>
      <c r="AK50" s="46" t="e">
        <v>#N/A</v>
      </c>
      <c r="AL50" s="161" t="e">
        <f t="shared" si="4"/>
        <v>#N/A</v>
      </c>
    </row>
    <row r="51" spans="1:38" ht="11.25" customHeight="1" x14ac:dyDescent="0.2">
      <c r="A51" s="59" t="s">
        <v>25</v>
      </c>
      <c r="B51" s="60" t="s">
        <v>106</v>
      </c>
      <c r="C51" s="61" t="s">
        <v>6</v>
      </c>
      <c r="D51" s="61" t="s">
        <v>8</v>
      </c>
      <c r="E51" s="61" t="s">
        <v>7</v>
      </c>
      <c r="F51" s="61" t="s">
        <v>125</v>
      </c>
      <c r="G51" s="61" t="str">
        <f t="shared" si="18"/>
        <v>Euribor6M</v>
      </c>
      <c r="H51" s="59" t="str">
        <f t="shared" si="19"/>
        <v>EURAB6E22Y_LCHQuote</v>
      </c>
      <c r="I51" s="127">
        <v>0</v>
      </c>
      <c r="J51" s="64" t="str">
        <f>_xll.qlSwapRateHelper2(,$H51,2,$B51,Calendar,$D51,$E51,$F51,$G51,$I51,$C51,Discounting1,PillarDate,,Permanent,Trigger,ObjectOverwrite)</f>
        <v>obj_0076a#0001</v>
      </c>
      <c r="K51" s="64"/>
      <c r="M51" s="10" t="str">
        <f t="shared" si="14"/>
        <v>Sw</v>
      </c>
      <c r="N51" s="94" t="str">
        <f t="shared" ref="N51:O51" si="45">IF(ISBLANK(J55),"--",J55)</f>
        <v>obj_0076e#0001</v>
      </c>
      <c r="O51" s="94" t="str">
        <f t="shared" si="45"/>
        <v>--</v>
      </c>
      <c r="P51" s="146" t="str">
        <f>IFERROR(_xll.qlRateHelperQuoteName(N51,Trigger),"--")</f>
        <v>EURAB6E26Y_LCHQuote</v>
      </c>
      <c r="Q51" s="98" t="str">
        <f>IFERROR(_xll.qlRateHelperQuoteValue($N51,Trigger),"--")</f>
        <v>--</v>
      </c>
      <c r="R51" s="141" t="b">
        <v>0</v>
      </c>
      <c r="S51" s="94">
        <v>10</v>
      </c>
      <c r="T51" s="94">
        <v>1</v>
      </c>
      <c r="U51" s="99">
        <f>IFERROR(_xll.qlRateHelperEarliestDate(N51,Trigger),"--")</f>
        <v>42256</v>
      </c>
      <c r="V51" s="99">
        <f>IFERROR(_xll.qlRateHelperPillarDate(N51,Trigger),"--")</f>
        <v>51753</v>
      </c>
      <c r="X51" s="4" t="str">
        <f t="shared" si="2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46" t="e">
        <v>#N/A</v>
      </c>
      <c r="AI51" s="46" t="e">
        <v>#N/A</v>
      </c>
      <c r="AJ51" s="172" t="e">
        <f t="shared" si="3"/>
        <v>#N/A</v>
      </c>
      <c r="AK51" s="46" t="e">
        <v>#N/A</v>
      </c>
      <c r="AL51" s="161" t="e">
        <f t="shared" si="4"/>
        <v>#N/A</v>
      </c>
    </row>
    <row r="52" spans="1:38" ht="11.25" customHeight="1" x14ac:dyDescent="0.2">
      <c r="A52" s="59" t="s">
        <v>25</v>
      </c>
      <c r="B52" s="60" t="s">
        <v>107</v>
      </c>
      <c r="C52" s="61" t="s">
        <v>6</v>
      </c>
      <c r="D52" s="61" t="s">
        <v>8</v>
      </c>
      <c r="E52" s="61" t="s">
        <v>7</v>
      </c>
      <c r="F52" s="61" t="s">
        <v>125</v>
      </c>
      <c r="G52" s="61" t="str">
        <f t="shared" si="18"/>
        <v>Euribor6M</v>
      </c>
      <c r="H52" s="59" t="str">
        <f t="shared" si="19"/>
        <v>EURAB6E23Y_LCHQuote</v>
      </c>
      <c r="I52" s="127">
        <v>0</v>
      </c>
      <c r="J52" s="64" t="str">
        <f>_xll.qlSwapRateHelper2(,$H52,2,$B52,Calendar,$D52,$E52,$F52,$G52,$I52,$C52,Discounting1,PillarDate,,Permanent,Trigger,ObjectOverwrite)</f>
        <v>obj_00786#0001</v>
      </c>
      <c r="K52" s="64"/>
      <c r="M52" s="10" t="str">
        <f t="shared" si="14"/>
        <v>Sw</v>
      </c>
      <c r="N52" s="94" t="str">
        <f t="shared" ref="N52:O52" si="46">IF(ISBLANK(J56),"--",J56)</f>
        <v>obj_00796#0001</v>
      </c>
      <c r="O52" s="94" t="str">
        <f t="shared" si="46"/>
        <v>--</v>
      </c>
      <c r="P52" s="146" t="str">
        <f>IFERROR(_xll.qlRateHelperQuoteName(N52,Trigger),"--")</f>
        <v>EURAB6E27Y_LCHQuote</v>
      </c>
      <c r="Q52" s="98" t="str">
        <f>IFERROR(_xll.qlRateHelperQuoteValue($N52,Trigger),"--")</f>
        <v>--</v>
      </c>
      <c r="R52" s="141" t="b">
        <v>0</v>
      </c>
      <c r="S52" s="94">
        <v>10</v>
      </c>
      <c r="T52" s="94">
        <v>1</v>
      </c>
      <c r="U52" s="99">
        <f>IFERROR(_xll.qlRateHelperEarliestDate(N52,Trigger),"--")</f>
        <v>42256</v>
      </c>
      <c r="V52" s="99">
        <f>IFERROR(_xll.qlRateHelperPillarDate(N52,Trigger),"--")</f>
        <v>52118</v>
      </c>
      <c r="X52" s="4" t="str">
        <f t="shared" si="2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2" t="e">
        <f t="shared" si="3"/>
        <v>#N/A</v>
      </c>
      <c r="AK52" s="46" t="e">
        <v>#N/A</v>
      </c>
      <c r="AL52" s="161" t="e">
        <f t="shared" si="4"/>
        <v>#N/A</v>
      </c>
    </row>
    <row r="53" spans="1:38" ht="11.25" customHeight="1" x14ac:dyDescent="0.2">
      <c r="A53" s="59" t="s">
        <v>25</v>
      </c>
      <c r="B53" s="60" t="s">
        <v>108</v>
      </c>
      <c r="C53" s="61" t="s">
        <v>6</v>
      </c>
      <c r="D53" s="61" t="s">
        <v>8</v>
      </c>
      <c r="E53" s="61" t="s">
        <v>7</v>
      </c>
      <c r="F53" s="61" t="s">
        <v>125</v>
      </c>
      <c r="G53" s="61" t="str">
        <f t="shared" si="18"/>
        <v>Euribor6M</v>
      </c>
      <c r="H53" s="59" t="str">
        <f t="shared" si="19"/>
        <v>EURAB6E24Y_LCHQuote</v>
      </c>
      <c r="I53" s="127">
        <v>0</v>
      </c>
      <c r="J53" s="64" t="str">
        <f>_xll.qlSwapRateHelper2(,$H53,2,$B53,Calendar,$D53,$E53,$F53,$G53,$I53,$C53,Discounting1,PillarDate,,Permanent,Trigger,ObjectOverwrite)</f>
        <v>obj_00760#0001</v>
      </c>
      <c r="K53" s="64"/>
      <c r="M53" s="10" t="str">
        <f t="shared" si="14"/>
        <v>Sw</v>
      </c>
      <c r="N53" s="94" t="str">
        <f t="shared" ref="N53:O53" si="47">IF(ISBLANK(J57),"--",J57)</f>
        <v>obj_00795#0001</v>
      </c>
      <c r="O53" s="94" t="str">
        <f t="shared" si="47"/>
        <v>--</v>
      </c>
      <c r="P53" s="146" t="str">
        <f>IFERROR(_xll.qlRateHelperQuoteName(N53,Trigger),"--")</f>
        <v>EURAB6E28Y_LCHQuote</v>
      </c>
      <c r="Q53" s="98" t="str">
        <f>IFERROR(_xll.qlRateHelperQuoteValue($N53,Trigger),"--")</f>
        <v>--</v>
      </c>
      <c r="R53" s="141" t="b">
        <v>0</v>
      </c>
      <c r="S53" s="94">
        <v>10</v>
      </c>
      <c r="T53" s="94">
        <v>1</v>
      </c>
      <c r="U53" s="99">
        <f>IFERROR(_xll.qlRateHelperEarliestDate(N53,Trigger),"--")</f>
        <v>42256</v>
      </c>
      <c r="V53" s="99">
        <f>IFERROR(_xll.qlRateHelperPillarDate(N53,Trigger),"--")</f>
        <v>52483</v>
      </c>
      <c r="X53" s="4" t="str">
        <f t="shared" si="2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46" t="e">
        <v>#N/A</v>
      </c>
      <c r="AI53" s="46" t="e">
        <v>#N/A</v>
      </c>
      <c r="AJ53" s="172" t="e">
        <f t="shared" si="3"/>
        <v>#N/A</v>
      </c>
      <c r="AK53" s="46" t="e">
        <v>#N/A</v>
      </c>
      <c r="AL53" s="161" t="e">
        <f t="shared" si="4"/>
        <v>#N/A</v>
      </c>
    </row>
    <row r="54" spans="1:38" ht="11.25" customHeight="1" x14ac:dyDescent="0.2">
      <c r="A54" s="59" t="s">
        <v>25</v>
      </c>
      <c r="B54" s="60" t="s">
        <v>64</v>
      </c>
      <c r="C54" s="61" t="s">
        <v>6</v>
      </c>
      <c r="D54" s="61" t="s">
        <v>8</v>
      </c>
      <c r="E54" s="61" t="s">
        <v>7</v>
      </c>
      <c r="F54" s="61" t="s">
        <v>125</v>
      </c>
      <c r="G54" s="61" t="str">
        <f t="shared" si="18"/>
        <v>Euribor6M</v>
      </c>
      <c r="H54" s="59" t="str">
        <f t="shared" si="19"/>
        <v>EURAB6E25Y_LCHQuote</v>
      </c>
      <c r="I54" s="127">
        <v>0</v>
      </c>
      <c r="J54" s="64" t="str">
        <f>_xll.qlSwapRateHelper2(,$H54,2,$B54,Calendar,$D54,$E54,$F54,$G54,$I54,$C54,Discounting1,PillarDate,,Permanent,Trigger,ObjectOverwrite)</f>
        <v>obj_00779#0001</v>
      </c>
      <c r="K54" s="64" t="str">
        <f>_xll.qlSwapRateHelper2(,$H54,2,$B54,Calendar,$D54,$E54,$F54,$G54,$I54,$C54,Discounting2,PillarDate,,Permanent,Trigger,ObjectOverwrite)</f>
        <v>obj_00798#0001</v>
      </c>
      <c r="M54" s="10" t="str">
        <f t="shared" si="14"/>
        <v>Sw</v>
      </c>
      <c r="N54" s="94" t="str">
        <f t="shared" ref="N54:O54" si="48">IF(ISBLANK(J58),"--",J58)</f>
        <v>obj_00782#0001</v>
      </c>
      <c r="O54" s="94" t="str">
        <f t="shared" si="48"/>
        <v>--</v>
      </c>
      <c r="P54" s="146" t="str">
        <f>IFERROR(_xll.qlRateHelperQuoteName(N54,Trigger),"--")</f>
        <v>EURAB6E29Y_LCHQuote</v>
      </c>
      <c r="Q54" s="98" t="str">
        <f>IFERROR(_xll.qlRateHelperQuoteValue($N54,Trigger),"--")</f>
        <v>--</v>
      </c>
      <c r="R54" s="141" t="b">
        <v>0</v>
      </c>
      <c r="S54" s="94">
        <v>10</v>
      </c>
      <c r="T54" s="94">
        <v>1</v>
      </c>
      <c r="U54" s="99">
        <f>IFERROR(_xll.qlRateHelperEarliestDate(N54,Trigger),"--")</f>
        <v>42256</v>
      </c>
      <c r="V54" s="99">
        <f>IFERROR(_xll.qlRateHelperPillarDate(N54,Trigger),"--")</f>
        <v>52849</v>
      </c>
      <c r="X54" s="4" t="str">
        <f t="shared" si="2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46" t="e">
        <v>#N/A</v>
      </c>
      <c r="AI54" s="46" t="e">
        <v>#N/A</v>
      </c>
      <c r="AJ54" s="172" t="e">
        <f t="shared" si="3"/>
        <v>#N/A</v>
      </c>
      <c r="AK54" s="46" t="e">
        <v>#N/A</v>
      </c>
      <c r="AL54" s="161" t="e">
        <f t="shared" si="4"/>
        <v>#N/A</v>
      </c>
    </row>
    <row r="55" spans="1:38" ht="11.25" customHeight="1" x14ac:dyDescent="0.2">
      <c r="A55" s="59" t="s">
        <v>25</v>
      </c>
      <c r="B55" s="60" t="s">
        <v>109</v>
      </c>
      <c r="C55" s="61" t="s">
        <v>6</v>
      </c>
      <c r="D55" s="61" t="s">
        <v>8</v>
      </c>
      <c r="E55" s="61" t="s">
        <v>7</v>
      </c>
      <c r="F55" s="61" t="s">
        <v>125</v>
      </c>
      <c r="G55" s="61" t="str">
        <f t="shared" si="18"/>
        <v>Euribor6M</v>
      </c>
      <c r="H55" s="59" t="str">
        <f t="shared" si="19"/>
        <v>EURAB6E26Y_LCHQuote</v>
      </c>
      <c r="I55" s="127">
        <v>0</v>
      </c>
      <c r="J55" s="64" t="str">
        <f>_xll.qlSwapRateHelper2(,$H55,2,$B55,Calendar,$D55,$E55,$F55,$G55,$I55,$C55,Discounting1,PillarDate,,Permanent,Trigger,ObjectOverwrite)</f>
        <v>obj_0076e#0001</v>
      </c>
      <c r="K55" s="64"/>
      <c r="M55" s="10" t="str">
        <f t="shared" si="14"/>
        <v>Sw</v>
      </c>
      <c r="N55" s="94" t="str">
        <f t="shared" ref="N55:O55" si="49">IF(ISBLANK(J59),"--",J59)</f>
        <v>obj_00791#0001</v>
      </c>
      <c r="O55" s="94" t="str">
        <f t="shared" si="49"/>
        <v>obj_0077a#0001</v>
      </c>
      <c r="P55" s="146" t="str">
        <f>IFERROR(_xll.qlRateHelperQuoteName(N55,Trigger),"--")</f>
        <v>EURAB6E30Y_LCHQuote</v>
      </c>
      <c r="Q55" s="98">
        <f>IFERROR(_xll.qlRateHelperQuoteValue($N55,Trigger),"--")</f>
        <v>1.54875E-2</v>
      </c>
      <c r="R55" s="141" t="b">
        <v>1</v>
      </c>
      <c r="S55" s="94">
        <v>10</v>
      </c>
      <c r="T55" s="94">
        <v>1</v>
      </c>
      <c r="U55" s="99">
        <f>IFERROR(_xll.qlRateHelperEarliestDate(N55,Trigger),"--")</f>
        <v>42256</v>
      </c>
      <c r="V55" s="99">
        <f>IFERROR(_xll.qlRateHelperPillarDate(N55,Trigger),"--")</f>
        <v>53216</v>
      </c>
      <c r="X55" s="4" t="str">
        <f t="shared" si="2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46" t="e">
        <v>#N/A</v>
      </c>
      <c r="AI55" s="46" t="e">
        <v>#N/A</v>
      </c>
      <c r="AJ55" s="172" t="e">
        <f t="shared" si="3"/>
        <v>#N/A</v>
      </c>
      <c r="AK55" s="46" t="e">
        <v>#N/A</v>
      </c>
      <c r="AL55" s="161" t="e">
        <f t="shared" si="4"/>
        <v>#N/A</v>
      </c>
    </row>
    <row r="56" spans="1:38" ht="11.25" customHeight="1" x14ac:dyDescent="0.2">
      <c r="A56" s="59" t="s">
        <v>25</v>
      </c>
      <c r="B56" s="60" t="s">
        <v>65</v>
      </c>
      <c r="C56" s="61" t="s">
        <v>6</v>
      </c>
      <c r="D56" s="61" t="s">
        <v>8</v>
      </c>
      <c r="E56" s="61" t="s">
        <v>7</v>
      </c>
      <c r="F56" s="61" t="s">
        <v>125</v>
      </c>
      <c r="G56" s="61" t="str">
        <f t="shared" si="18"/>
        <v>Euribor6M</v>
      </c>
      <c r="H56" s="59" t="str">
        <f t="shared" si="19"/>
        <v>EURAB6E27Y_LCHQuote</v>
      </c>
      <c r="I56" s="127">
        <v>0</v>
      </c>
      <c r="J56" s="64" t="str">
        <f>_xll.qlSwapRateHelper2(,$H56,2,$B56,Calendar,$D56,$E56,$F56,$G56,$I56,$C56,Discounting1,PillarDate,,Permanent,Trigger,ObjectOverwrite)</f>
        <v>obj_00796#0001</v>
      </c>
      <c r="K56" s="64"/>
      <c r="M56" s="10" t="str">
        <f t="shared" si="14"/>
        <v>Sw</v>
      </c>
      <c r="N56" s="94" t="str">
        <f t="shared" ref="N56:O56" si="50">IF(ISBLANK(J60),"--",J60)</f>
        <v>obj_00790#0001</v>
      </c>
      <c r="O56" s="94" t="str">
        <f t="shared" si="50"/>
        <v>--</v>
      </c>
      <c r="P56" s="146" t="str">
        <f>IFERROR(_xll.qlRateHelperQuoteName(N56,Trigger),"--")</f>
        <v>EURAB6E35Y_LCHQuote</v>
      </c>
      <c r="Q56" s="98" t="str">
        <f>IFERROR(_xll.qlRateHelperQuoteValue($N56,Trigger),"--")</f>
        <v>--</v>
      </c>
      <c r="R56" s="141" t="b">
        <v>0</v>
      </c>
      <c r="S56" s="94">
        <v>10</v>
      </c>
      <c r="T56" s="94">
        <v>1</v>
      </c>
      <c r="U56" s="99">
        <f>IFERROR(_xll.qlRateHelperEarliestDate(N56,Trigger),"--")</f>
        <v>42256</v>
      </c>
      <c r="V56" s="99">
        <f>IFERROR(_xll.qlRateHelperPillarDate(N56,Trigger),"--")</f>
        <v>55040</v>
      </c>
      <c r="X56" s="4" t="str">
        <f t="shared" si="2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46" t="e">
        <v>#N/A</v>
      </c>
      <c r="AI56" s="46" t="e">
        <v>#N/A</v>
      </c>
      <c r="AJ56" s="172" t="e">
        <f t="shared" si="3"/>
        <v>#N/A</v>
      </c>
      <c r="AK56" s="46" t="e">
        <v>#N/A</v>
      </c>
      <c r="AL56" s="161" t="e">
        <f t="shared" si="4"/>
        <v>#N/A</v>
      </c>
    </row>
    <row r="57" spans="1:38" ht="11.25" customHeight="1" x14ac:dyDescent="0.2">
      <c r="A57" s="59" t="s">
        <v>25</v>
      </c>
      <c r="B57" s="60" t="s">
        <v>110</v>
      </c>
      <c r="C57" s="61" t="s">
        <v>6</v>
      </c>
      <c r="D57" s="61" t="s">
        <v>8</v>
      </c>
      <c r="E57" s="61" t="s">
        <v>7</v>
      </c>
      <c r="F57" s="61" t="s">
        <v>125</v>
      </c>
      <c r="G57" s="61" t="str">
        <f t="shared" si="18"/>
        <v>Euribor6M</v>
      </c>
      <c r="H57" s="59" t="str">
        <f t="shared" si="19"/>
        <v>EURAB6E28Y_LCHQuote</v>
      </c>
      <c r="I57" s="127">
        <v>0</v>
      </c>
      <c r="J57" s="64" t="str">
        <f>_xll.qlSwapRateHelper2(,$H57,2,$B57,Calendar,$D57,$E57,$F57,$G57,$I57,$C57,Discounting1,PillarDate,,Permanent,Trigger,ObjectOverwrite)</f>
        <v>obj_00795#0001</v>
      </c>
      <c r="K57" s="64"/>
      <c r="M57" s="10" t="str">
        <f t="shared" si="14"/>
        <v>Sw</v>
      </c>
      <c r="N57" s="94" t="str">
        <f t="shared" ref="N57:O57" si="51">IF(ISBLANK(J61),"--",J61)</f>
        <v>obj_0076b#0001</v>
      </c>
      <c r="O57" s="94" t="str">
        <f t="shared" si="51"/>
        <v>obj_00785#0001</v>
      </c>
      <c r="P57" s="146" t="str">
        <f>IFERROR(_xll.qlRateHelperQuoteName(N57,Trigger),"--")</f>
        <v>EURAB6E40Y_LCHQuote</v>
      </c>
      <c r="Q57" s="98">
        <f>IFERROR(_xll.qlRateHelperQuoteValue($N57,Trigger),"--")</f>
        <v>1.5667500000000001E-2</v>
      </c>
      <c r="R57" s="141" t="b">
        <v>1</v>
      </c>
      <c r="S57" s="94">
        <v>10</v>
      </c>
      <c r="T57" s="94">
        <v>1</v>
      </c>
      <c r="U57" s="99">
        <f>IFERROR(_xll.qlRateHelperEarliestDate(N57,Trigger),"--")</f>
        <v>42256</v>
      </c>
      <c r="V57" s="99">
        <f>IFERROR(_xll.qlRateHelperPillarDate(N57,Trigger),"--")</f>
        <v>56866</v>
      </c>
      <c r="X57" s="4" t="str">
        <f t="shared" si="2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46" t="e">
        <v>#N/A</v>
      </c>
      <c r="AI57" s="46" t="e">
        <v>#N/A</v>
      </c>
      <c r="AJ57" s="172" t="e">
        <f t="shared" si="3"/>
        <v>#N/A</v>
      </c>
      <c r="AK57" s="46" t="e">
        <v>#N/A</v>
      </c>
      <c r="AL57" s="161" t="e">
        <f t="shared" si="4"/>
        <v>#N/A</v>
      </c>
    </row>
    <row r="58" spans="1:38" ht="11.25" customHeight="1" x14ac:dyDescent="0.2">
      <c r="A58" s="59" t="s">
        <v>25</v>
      </c>
      <c r="B58" s="60" t="s">
        <v>111</v>
      </c>
      <c r="C58" s="61" t="s">
        <v>6</v>
      </c>
      <c r="D58" s="61" t="s">
        <v>8</v>
      </c>
      <c r="E58" s="61" t="s">
        <v>7</v>
      </c>
      <c r="F58" s="61" t="s">
        <v>125</v>
      </c>
      <c r="G58" s="61" t="str">
        <f t="shared" si="18"/>
        <v>Euribor6M</v>
      </c>
      <c r="H58" s="59" t="str">
        <f t="shared" si="19"/>
        <v>EURAB6E29Y_LCHQuote</v>
      </c>
      <c r="I58" s="127">
        <v>0</v>
      </c>
      <c r="J58" s="64" t="str">
        <f>_xll.qlSwapRateHelper2(,$H58,2,$B58,Calendar,$D58,$E58,$F58,$G58,$I58,$C58,Discounting1,PillarDate,,Permanent,Trigger,ObjectOverwrite)</f>
        <v>obj_00782#0001</v>
      </c>
      <c r="K58" s="64"/>
      <c r="M58" s="10" t="str">
        <f t="shared" si="14"/>
        <v>Sw</v>
      </c>
      <c r="N58" s="94" t="str">
        <f t="shared" ref="N58:O58" si="52">IF(ISBLANK(J62),"--",J62)</f>
        <v>obj_00763#0001</v>
      </c>
      <c r="O58" s="94" t="str">
        <f t="shared" si="52"/>
        <v>obj_00780#0001</v>
      </c>
      <c r="P58" s="146" t="str">
        <f>IFERROR(_xll.qlRateHelperQuoteName(N58,Trigger),"--")</f>
        <v>EURAB6E50Y_LCHQuote</v>
      </c>
      <c r="Q58" s="98">
        <f>IFERROR(_xll.qlRateHelperQuoteValue($N58,Trigger),"--")</f>
        <v>1.53075E-2</v>
      </c>
      <c r="R58" s="141" t="b">
        <v>1</v>
      </c>
      <c r="S58" s="94">
        <v>10</v>
      </c>
      <c r="T58" s="94">
        <v>1</v>
      </c>
      <c r="U58" s="99">
        <f>IFERROR(_xll.qlRateHelperEarliestDate(N58,Trigger),"--")</f>
        <v>42256</v>
      </c>
      <c r="V58" s="99">
        <f>IFERROR(_xll.qlRateHelperPillarDate(N58,Trigger),"--")</f>
        <v>60519</v>
      </c>
      <c r="X58" s="4" t="str">
        <f t="shared" si="2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46" t="e">
        <v>#N/A</v>
      </c>
      <c r="AI58" s="46" t="e">
        <v>#N/A</v>
      </c>
      <c r="AJ58" s="172" t="e">
        <f t="shared" si="3"/>
        <v>#N/A</v>
      </c>
      <c r="AK58" s="46" t="e">
        <v>#N/A</v>
      </c>
      <c r="AL58" s="161" t="e">
        <f t="shared" si="4"/>
        <v>#N/A</v>
      </c>
    </row>
    <row r="59" spans="1:38" ht="11.25" customHeight="1" x14ac:dyDescent="0.2">
      <c r="A59" s="59" t="s">
        <v>25</v>
      </c>
      <c r="B59" s="60" t="s">
        <v>66</v>
      </c>
      <c r="C59" s="61" t="s">
        <v>6</v>
      </c>
      <c r="D59" s="61" t="s">
        <v>8</v>
      </c>
      <c r="E59" s="61" t="s">
        <v>7</v>
      </c>
      <c r="F59" s="61" t="s">
        <v>125</v>
      </c>
      <c r="G59" s="61" t="str">
        <f t="shared" si="18"/>
        <v>Euribor6M</v>
      </c>
      <c r="H59" s="59" t="str">
        <f t="shared" si="19"/>
        <v>EURAB6E30Y_LCHQuote</v>
      </c>
      <c r="I59" s="127">
        <v>0</v>
      </c>
      <c r="J59" s="64" t="str">
        <f>_xll.qlSwapRateHelper2(,$H59,2,$B59,Calendar,$D59,$E59,$F59,$G59,$I59,$C59,Discounting1,PillarDate,,Permanent,Trigger,ObjectOverwrite)</f>
        <v>obj_00791#0001</v>
      </c>
      <c r="K59" s="64" t="str">
        <f>_xll.qlSwapRateHelper2(,$H59,2,$B59,Calendar,$D59,$E59,$F59,$G59,$I59,$C59,Discounting2,PillarDate,,Permanent,Trigger,ObjectOverwrite)</f>
        <v>obj_0077a#0001</v>
      </c>
      <c r="M59" s="11" t="str">
        <f t="shared" si="14"/>
        <v>Sw</v>
      </c>
      <c r="N59" s="95" t="str">
        <f t="shared" ref="N59:O59" si="53">IF(ISBLANK(J63),"--",J63)</f>
        <v>obj_00772#0001</v>
      </c>
      <c r="O59" s="95" t="str">
        <f t="shared" si="53"/>
        <v>obj_00765#0001</v>
      </c>
      <c r="P59" s="147" t="str">
        <f>IFERROR(_xll.qlRateHelperQuoteName(N59,Trigger),"--")</f>
        <v>EURAB6E60Y_LCHQuote</v>
      </c>
      <c r="Q59" s="101">
        <f>IFERROR(_xll.qlRateHelperQuoteValue($N59,Trigger),"--")</f>
        <v>1.5025E-2</v>
      </c>
      <c r="R59" s="144" t="b">
        <v>1</v>
      </c>
      <c r="S59" s="95">
        <v>10</v>
      </c>
      <c r="T59" s="95">
        <v>1</v>
      </c>
      <c r="U59" s="102">
        <f>IFERROR(_xll.qlRateHelperEarliestDate(N59,Trigger),"--")</f>
        <v>42256</v>
      </c>
      <c r="V59" s="102">
        <f>IFERROR(_xll.qlRateHelperPillarDate(N59,Trigger),"--")</f>
        <v>64171</v>
      </c>
      <c r="X59" s="6" t="str">
        <f t="shared" si="2"/>
        <v/>
      </c>
      <c r="Y59" s="6" t="e">
        <v>#N/A</v>
      </c>
      <c r="Z59" s="6" t="e">
        <v>#N/A</v>
      </c>
      <c r="AA59" s="6" t="str">
        <f>IFERROR(_xll.qlRateHelperQuoteName(Y59,Trigger),"")</f>
        <v/>
      </c>
      <c r="AB59" s="79" t="str">
        <f>IFERROR(_xll.qlRateHelperRate(Y59,Trigger),"")</f>
        <v/>
      </c>
      <c r="AC59" s="105" t="str">
        <f>IF(ISERROR(_xll.qlSwapRateHelperSpread($Y59)),IF(ISERROR(_xll.qlFuturesRateHelperConvexityAdjustment($Y59)),"",_xll.qlFuturesRateHelperConvexityAdjustment($Y59)),_xll.qlSwapRateHelperSpread($Y59))</f>
        <v/>
      </c>
      <c r="AD59" s="12" t="str">
        <f>IFERROR(_xll.qlRateHelperEarliestDate(Y59,Trigger),"")</f>
        <v/>
      </c>
      <c r="AE59" s="12" t="str">
        <f>IFERROR(_xll.qlRateHelperPillarDate(Y59,Trigger),"")</f>
        <v/>
      </c>
      <c r="AF59" s="79" t="e">
        <v>#N/A</v>
      </c>
      <c r="AG59" s="78" t="e">
        <v>#N/A</v>
      </c>
      <c r="AH59" s="46" t="e">
        <v>#N/A</v>
      </c>
      <c r="AI59" s="46" t="e">
        <v>#N/A</v>
      </c>
      <c r="AJ59" s="172" t="e">
        <f t="shared" si="3"/>
        <v>#N/A</v>
      </c>
      <c r="AK59" s="46" t="e">
        <v>#N/A</v>
      </c>
      <c r="AL59" s="161" t="e">
        <f t="shared" si="4"/>
        <v>#N/A</v>
      </c>
    </row>
    <row r="60" spans="1:38" ht="11.25" customHeight="1" x14ac:dyDescent="0.2">
      <c r="A60" s="59" t="s">
        <v>25</v>
      </c>
      <c r="B60" s="60" t="s">
        <v>67</v>
      </c>
      <c r="C60" s="61" t="s">
        <v>6</v>
      </c>
      <c r="D60" s="61" t="s">
        <v>8</v>
      </c>
      <c r="E60" s="61" t="s">
        <v>7</v>
      </c>
      <c r="F60" s="61" t="s">
        <v>125</v>
      </c>
      <c r="G60" s="61" t="str">
        <f t="shared" si="18"/>
        <v>Euribor6M</v>
      </c>
      <c r="H60" s="59" t="str">
        <f t="shared" si="19"/>
        <v>EURAB6E35Y_LCHQuote</v>
      </c>
      <c r="I60" s="127">
        <v>0</v>
      </c>
      <c r="J60" s="64" t="str">
        <f>_xll.qlSwapRateHelper2(,$H60,2,$B60,Calendar,$D60,$E60,$F60,$G60,$I60,$C60,Discounting1,PillarDate,,Permanent,Trigger,ObjectOverwrite)</f>
        <v>obj_00790#0001</v>
      </c>
      <c r="K60" s="64"/>
    </row>
    <row r="61" spans="1:38" ht="11.25" customHeight="1" x14ac:dyDescent="0.2">
      <c r="A61" s="59" t="s">
        <v>25</v>
      </c>
      <c r="B61" s="60" t="s">
        <v>68</v>
      </c>
      <c r="C61" s="61" t="s">
        <v>6</v>
      </c>
      <c r="D61" s="61" t="s">
        <v>8</v>
      </c>
      <c r="E61" s="61" t="s">
        <v>7</v>
      </c>
      <c r="F61" s="61" t="s">
        <v>125</v>
      </c>
      <c r="G61" s="61" t="str">
        <f t="shared" si="18"/>
        <v>Euribor6M</v>
      </c>
      <c r="H61" s="59" t="str">
        <f t="shared" si="19"/>
        <v>EURAB6E40Y_LCHQuote</v>
      </c>
      <c r="I61" s="127">
        <v>0</v>
      </c>
      <c r="J61" s="64" t="str">
        <f>_xll.qlSwapRateHelper2(,$H61,2,$B61,Calendar,$D61,$E61,$F61,$G61,$I61,$C61,Discounting1,PillarDate,,Permanent,Trigger,ObjectOverwrite)</f>
        <v>obj_0076b#0001</v>
      </c>
      <c r="K61" s="64" t="str">
        <f>_xll.qlSwapRateHelper2(,$H61,2,$B61,Calendar,$D61,$E61,$F61,$G61,$I61,$C61,Discounting2,PillarDate,,Permanent,Trigger,ObjectOverwrite)</f>
        <v>obj_00785#0001</v>
      </c>
    </row>
    <row r="62" spans="1:38" ht="11.25" customHeight="1" x14ac:dyDescent="0.2">
      <c r="A62" s="59" t="s">
        <v>25</v>
      </c>
      <c r="B62" s="60" t="s">
        <v>69</v>
      </c>
      <c r="C62" s="61" t="s">
        <v>6</v>
      </c>
      <c r="D62" s="61" t="s">
        <v>8</v>
      </c>
      <c r="E62" s="61" t="s">
        <v>7</v>
      </c>
      <c r="F62" s="61" t="s">
        <v>125</v>
      </c>
      <c r="G62" s="61" t="str">
        <f t="shared" si="18"/>
        <v>Euribor6M</v>
      </c>
      <c r="H62" s="59" t="str">
        <f t="shared" si="19"/>
        <v>EURAB6E50Y_LCHQuote</v>
      </c>
      <c r="I62" s="125">
        <v>0</v>
      </c>
      <c r="J62" s="64" t="str">
        <f>_xll.qlSwapRateHelper2(,$H62,2,$B62,Calendar,$D62,$E62,$F62,$G62,$I62,$C62,Discounting1,PillarDate,,Permanent,Trigger,ObjectOverwrite)</f>
        <v>obj_00763#0001</v>
      </c>
      <c r="K62" s="64" t="str">
        <f>_xll.qlSwapRateHelper2(,$H62,2,$B62,Calendar,$D62,$E62,$F62,$G62,$I62,$C62,Discounting2,PillarDate,,Permanent,Trigger,ObjectOverwrite)</f>
        <v>obj_00780#0001</v>
      </c>
    </row>
    <row r="63" spans="1:38" ht="11.25" customHeight="1" x14ac:dyDescent="0.2">
      <c r="A63" s="1" t="s">
        <v>25</v>
      </c>
      <c r="B63" s="8" t="s">
        <v>112</v>
      </c>
      <c r="C63" s="7" t="s">
        <v>6</v>
      </c>
      <c r="D63" s="7" t="s">
        <v>8</v>
      </c>
      <c r="E63" s="7" t="s">
        <v>7</v>
      </c>
      <c r="F63" s="7" t="s">
        <v>125</v>
      </c>
      <c r="G63" s="7" t="str">
        <f t="shared" si="18"/>
        <v>Euribor6M</v>
      </c>
      <c r="H63" s="1" t="str">
        <f t="shared" si="19"/>
        <v>EURAB6E60Y_LCHQuote</v>
      </c>
      <c r="I63" s="128">
        <v>0</v>
      </c>
      <c r="J63" s="3" t="str">
        <f>_xll.qlSwapRateHelper2(,$H63,2,$B63,Calendar,$D63,$E63,$F63,$G63,$I63,$C63,Discounting1,PillarDate,,Permanent,Trigger,ObjectOverwrite)</f>
        <v>obj_00772#0001</v>
      </c>
      <c r="K63" s="3" t="str">
        <f>_xll.qlSwapRateHelper2(,$H63,2,$B63,Calendar,$D63,$E63,$F63,$G63,$I63,$C63,Discounting2,PillarDate,,Permanent,Trigger,ObjectOverwrite)</f>
        <v>obj_00765#0001</v>
      </c>
    </row>
    <row r="64" spans="1:38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2:12" x14ac:dyDescent="0.2">
      <c r="L90" s="46" t="s">
        <v>36</v>
      </c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F26:F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3">
      <formula1>"Following,Modified Following,Preceding,Modified Preceding,Unadjusted,Half-Month Modified Following"</formula1>
    </dataValidation>
    <dataValidation type="list" allowBlank="1" showInputMessage="1" showErrorMessage="1" sqref="D26:D63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6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17.285156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3.140625" style="46" bestFit="1" customWidth="1"/>
    <col min="33" max="33" width="12" style="46" customWidth="1"/>
    <col min="34" max="35" width="11.7109375" style="46" hidden="1" customWidth="1" outlineLevel="1"/>
    <col min="36" max="36" width="10" style="46" hidden="1" customWidth="1" outlineLevel="1"/>
    <col min="37" max="37" width="11.7109375" style="46" hidden="1" customWidth="1" outlineLevel="1"/>
    <col min="38" max="38" width="10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3" width="11" style="46" bestFit="1" customWidth="1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2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EUR1M</v>
      </c>
      <c r="Y1" s="66"/>
      <c r="Z1" s="66"/>
      <c r="AA1" s="66"/>
      <c r="AB1" s="69"/>
      <c r="AC1" s="69"/>
      <c r="AD1" s="66"/>
      <c r="AE1" s="66"/>
      <c r="AF1" s="178" t="s">
        <v>143</v>
      </c>
      <c r="AG1" s="178" t="s">
        <v>154</v>
      </c>
      <c r="AN1" s="46" t="s">
        <v>128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150</v>
      </c>
      <c r="K2" s="65" t="s">
        <v>151</v>
      </c>
      <c r="M2" s="73" t="s">
        <v>9</v>
      </c>
      <c r="N2" s="73" t="s">
        <v>150</v>
      </c>
      <c r="O2" s="73" t="s">
        <v>151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150</v>
      </c>
      <c r="Z2" s="73" t="s">
        <v>151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90">_xll.qlPiecewiseYieldCurveData(yieldcurve1_1M,Trigger)</f>
        <v>-1.0544901396773148E-3</v>
      </c>
      <c r="AG2" s="76">
        <f t="array" ref="AG2:AG90">_xll.qlPiecewiseYieldCurveData(yieldcurve2_1M,Trigger)</f>
        <v>1</v>
      </c>
      <c r="AJ2" s="46" t="s">
        <v>155</v>
      </c>
      <c r="AL2" s="46" t="s">
        <v>156</v>
      </c>
      <c r="AN2" s="213" t="s">
        <v>85</v>
      </c>
      <c r="AO2" s="214"/>
    </row>
    <row r="3" spans="1:41" ht="11.25" customHeight="1" x14ac:dyDescent="0.2">
      <c r="A3" s="1" t="s">
        <v>26</v>
      </c>
      <c r="B3" s="8" t="s">
        <v>2</v>
      </c>
      <c r="C3" s="124"/>
      <c r="D3" s="124"/>
      <c r="E3" s="124"/>
      <c r="F3" s="124"/>
      <c r="G3" s="7" t="str">
        <f>PROPER(Currency)&amp;FamilyName&amp;B3</f>
        <v>Euribor1M</v>
      </c>
      <c r="H3" s="121" t="str">
        <f>IF(LCHQuoteOverwrite,Currency&amp;$B3&amp;"D"&amp;LCHQuoteSuffix,Currency&amp;$B3&amp;"D"&amp;QuoteSuffix)</f>
        <v>EUR1MD_LCHQuote</v>
      </c>
      <c r="I3" s="124"/>
      <c r="J3" s="3" t="str">
        <f>_xll.qlDepositRateHelper(,H3,G3,Permanent,Trigger,ObjectOverwrite)</f>
        <v>obj_007a1#0001</v>
      </c>
      <c r="K3" s="3" t="str">
        <f>J3</f>
        <v>obj_007a1#0001</v>
      </c>
      <c r="L3" s="49"/>
      <c r="M3" s="10" t="str">
        <f>A3</f>
        <v>Dp</v>
      </c>
      <c r="N3" s="94" t="str">
        <f>IF(ISBLANK(J3),"--",J3)</f>
        <v>obj_007a1#0001</v>
      </c>
      <c r="O3" s="94" t="str">
        <f>IF(ISBLANK(K3),"--",K3)</f>
        <v>obj_007a1#0001</v>
      </c>
      <c r="P3" s="146" t="str">
        <f>IFERROR(_xll.qlRateHelperQuoteName(N3,Trigger),"--")</f>
        <v>EUR1MD_LCHQuote</v>
      </c>
      <c r="Q3" s="98">
        <f>IFERROR(_xll.qlRateHelperQuoteValue($N3,Trigger),"--")</f>
        <v>-1.0399999999999999E-3</v>
      </c>
      <c r="R3" s="141" t="b">
        <v>1</v>
      </c>
      <c r="S3" s="94">
        <v>20</v>
      </c>
      <c r="T3" s="94">
        <v>1</v>
      </c>
      <c r="U3" s="99">
        <f>IFERROR(_xll.qlRateHelperEarliestDate(N3,Trigger),"--")</f>
        <v>42256</v>
      </c>
      <c r="V3" s="99">
        <f>IFERROR(_xll.qlRateHelperPillarDate(N3,Trigger),"--")</f>
        <v>42286</v>
      </c>
      <c r="X3" s="4" t="str">
        <f>IFERROR(INDEX($M$3:$M$90,MATCH(AA3,$P$3:$P$90,0),1),"")</f>
        <v>Dp</v>
      </c>
      <c r="Y3" s="4" t="str">
        <f t="array" ref="Y3:Y90">_xll.qlRateHelperSelection(_xll.ohFilter(RateHelpers1,IncludeFlag),_xll.ohFilter(Priority,IncludeFlag),$AO$3,$AO$4,$AO$5,$AO$6,_xll.ohFilter(MinDistance,IncludeFlag),Trigger)</f>
        <v>obj_007a1</v>
      </c>
      <c r="Z3" s="4" t="str">
        <f t="array" ref="Z3:Z90">_xll.qlRateHelperSelection(_xll.ohFilter(RateHelpers2,IncludeFlag),_xll.ohFilter(Priority,IncludeFlag),$AO$3,$AO$4,$AO$5,$AO$6,_xll.ohFilter(MinDistance,IncludeFlag),Trigger)</f>
        <v>obj_007a1</v>
      </c>
      <c r="AA3" s="4" t="str">
        <f>IFERROR(_xll.qlRateHelperQuoteName(Y3,Trigger),"")</f>
        <v>EUR1MD_LCHQuote</v>
      </c>
      <c r="AB3" s="70">
        <f>IFERROR(_xll.qlRateHelperRate(Y3,Trigger),"")</f>
        <v>-1.0399999999999999E-3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42256</v>
      </c>
      <c r="AE3" s="5">
        <f>IFERROR(_xll.qlRateHelperPillarDate(Y3,Trigger),"")</f>
        <v>42286</v>
      </c>
      <c r="AF3" s="70">
        <v>-1.0544901396773148E-3</v>
      </c>
      <c r="AG3" s="77">
        <v>1.0000926688516925</v>
      </c>
      <c r="AH3" s="169">
        <f t="array" ref="AH3:AH90">_xll.ohFilter([1]REP00100!$C$2:$C$1000,([1]REP00100!$A$2:$A$1000="EUR_EURIBOR_1M_EOD"))</f>
        <v>42286</v>
      </c>
      <c r="AI3" s="170">
        <f t="array" ref="AI3:AI90">_xll.ohFilter([1]REP00100!$E$2:$E$1000,([1]REP00100!$A$2:$A$1000="EUR_EURIBOR_1M_EOD"))</f>
        <v>-1.05449013967715E-3</v>
      </c>
      <c r="AJ3" s="172">
        <f t="shared" ref="AJ3:AJ34" si="0">AF3-AI3</f>
        <v>-1.6479873021779667E-16</v>
      </c>
      <c r="AK3" s="80">
        <f t="array" ref="AK3:AK90">_xll.ohFilter([1]REP00101!$F$2:$F$1000,([1]REP00101!$A$2:$A$1000="EUR_EURIBOR_1M_EOD"))</f>
        <v>1.00009245272409</v>
      </c>
      <c r="AL3" s="161">
        <f t="shared" ref="AL3:AL34" si="1">AG3-AK3</f>
        <v>2.1612760248146401E-7</v>
      </c>
      <c r="AN3" s="107" t="s">
        <v>86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46" t="s">
        <v>117</v>
      </c>
      <c r="H4" s="46"/>
      <c r="L4" s="48"/>
      <c r="M4" s="68" t="str">
        <f t="shared" ref="M4:M14" si="2">A6</f>
        <v>Sw</v>
      </c>
      <c r="N4" s="131" t="str">
        <f t="shared" ref="N4:O14" si="3">IF(ISBLANK(J6),"--",J6)</f>
        <v>obj_00747#0001</v>
      </c>
      <c r="O4" s="131" t="str">
        <f t="shared" si="3"/>
        <v>obj_00747#0001</v>
      </c>
      <c r="P4" s="145" t="str">
        <f>IFERROR(_xll.qlRateHelperQuoteName(N4,Trigger),"--")</f>
        <v>EURA1E2M_LCHQuote</v>
      </c>
      <c r="Q4" s="133">
        <f>IFERROR(_xll.qlRateHelperQuoteValue($N4,Trigger),"--")</f>
        <v>-1.005E-3</v>
      </c>
      <c r="R4" s="137" t="b">
        <v>1</v>
      </c>
      <c r="S4" s="131">
        <v>10</v>
      </c>
      <c r="T4" s="131">
        <v>1</v>
      </c>
      <c r="U4" s="134">
        <f>IFERROR(_xll.qlRateHelperEarliestDate(N4,Trigger),"--")</f>
        <v>42256</v>
      </c>
      <c r="V4" s="134">
        <f>IFERROR(_xll.qlRateHelperPillarDate(N4,Trigger),"--")</f>
        <v>42317</v>
      </c>
      <c r="X4" s="4" t="str">
        <f t="shared" ref="X4:X67" si="4">IFERROR(INDEX($M$3:$M$90,MATCH(AA4,$P$3:$P$90,0),1),"")</f>
        <v>Sw</v>
      </c>
      <c r="Y4" s="4" t="str">
        <v>obj_00747</v>
      </c>
      <c r="Z4" s="4" t="str">
        <v>obj_00747</v>
      </c>
      <c r="AA4" s="4" t="str">
        <f>IFERROR(_xll.qlRateHelperQuoteName(Y4,Trigger),"")</f>
        <v>EURA1E2M_LCHQuote</v>
      </c>
      <c r="AB4" s="70">
        <f>IFERROR(_xll.qlRateHelperRate(Y4,Trigger),"")</f>
        <v>-1.005E-3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42256</v>
      </c>
      <c r="AE4" s="5">
        <f>IFERROR(_xll.qlRateHelperPillarDate(Y4,Trigger),"")</f>
        <v>42317</v>
      </c>
      <c r="AF4" s="70">
        <v>-1.0201849004642333E-3</v>
      </c>
      <c r="AG4" s="77">
        <v>1.0001763183583108</v>
      </c>
      <c r="AH4" s="169">
        <v>42317</v>
      </c>
      <c r="AI4" s="170">
        <v>-1.02018490046603E-3</v>
      </c>
      <c r="AJ4" s="172">
        <f t="shared" si="0"/>
        <v>1.7967398402429779E-15</v>
      </c>
      <c r="AK4" s="80">
        <v>1.00017610221302</v>
      </c>
      <c r="AL4" s="161">
        <f t="shared" si="1"/>
        <v>2.1614529077673694E-7</v>
      </c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29</v>
      </c>
      <c r="C5" s="65" t="s">
        <v>114</v>
      </c>
      <c r="D5" s="65" t="s">
        <v>5</v>
      </c>
      <c r="E5" s="65" t="s">
        <v>34</v>
      </c>
      <c r="F5" s="65" t="s">
        <v>115</v>
      </c>
      <c r="G5" s="65" t="s">
        <v>4</v>
      </c>
      <c r="H5" s="65" t="s">
        <v>1</v>
      </c>
      <c r="I5" s="65" t="s">
        <v>113</v>
      </c>
      <c r="J5" s="65" t="s">
        <v>150</v>
      </c>
      <c r="K5" s="65" t="s">
        <v>151</v>
      </c>
      <c r="L5" s="48"/>
      <c r="M5" s="10" t="str">
        <f t="shared" si="2"/>
        <v>Sw</v>
      </c>
      <c r="N5" s="94" t="str">
        <f t="shared" si="3"/>
        <v>obj_00753#0001</v>
      </c>
      <c r="O5" s="94" t="str">
        <f t="shared" si="3"/>
        <v>obj_00753#0001</v>
      </c>
      <c r="P5" s="146" t="str">
        <f>IFERROR(_xll.qlRateHelperQuoteName(N5,Trigger),"--")</f>
        <v>EURA1E3M_LCHQuote</v>
      </c>
      <c r="Q5" s="98">
        <f>IFERROR(_xll.qlRateHelperQuoteValue($N5,Trigger),"--")</f>
        <v>-1.07E-3</v>
      </c>
      <c r="R5" s="141" t="b">
        <v>1</v>
      </c>
      <c r="S5" s="94">
        <v>10</v>
      </c>
      <c r="T5" s="94">
        <v>1</v>
      </c>
      <c r="U5" s="99">
        <f>IFERROR(_xll.qlRateHelperEarliestDate(N5,Trigger),"--")</f>
        <v>42256</v>
      </c>
      <c r="V5" s="99">
        <f>IFERROR(_xll.qlRateHelperPillarDate(N5,Trigger),"--")</f>
        <v>42347</v>
      </c>
      <c r="X5" s="4" t="str">
        <f t="shared" si="4"/>
        <v>Sw</v>
      </c>
      <c r="Y5" s="4" t="str">
        <v>obj_00753</v>
      </c>
      <c r="Z5" s="4" t="str">
        <v>obj_00753</v>
      </c>
      <c r="AA5" s="4" t="str">
        <f>IFERROR(_xll.qlRateHelperQuoteName(Y5,Trigger),"")</f>
        <v>EURA1E3M_LCHQuote</v>
      </c>
      <c r="AB5" s="70">
        <f>IFERROR(_xll.qlRateHelperRate(Y5,Trigger),"")</f>
        <v>-1.07E-3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42256</v>
      </c>
      <c r="AE5" s="5">
        <f>IFERROR(_xll.qlRateHelperPillarDate(Y5,Trigger),"")</f>
        <v>42347</v>
      </c>
      <c r="AF5" s="70">
        <v>-1.0843691303466514E-3</v>
      </c>
      <c r="AG5" s="77">
        <v>1.0002765456511478</v>
      </c>
      <c r="AH5" s="169">
        <v>42347</v>
      </c>
      <c r="AI5" s="170">
        <v>-1.08436913034265E-3</v>
      </c>
      <c r="AJ5" s="172">
        <f t="shared" si="0"/>
        <v>-4.0013565377750027E-15</v>
      </c>
      <c r="AK5" s="80">
        <v>1.00027632948462</v>
      </c>
      <c r="AL5" s="161">
        <f t="shared" si="1"/>
        <v>2.1616652778888579E-7</v>
      </c>
      <c r="AM5" s="80"/>
      <c r="AN5" s="107" t="s">
        <v>88</v>
      </c>
      <c r="AO5" s="108">
        <v>0</v>
      </c>
    </row>
    <row r="6" spans="1:41" ht="11.25" customHeight="1" x14ac:dyDescent="0.2">
      <c r="A6" s="53" t="s">
        <v>25</v>
      </c>
      <c r="B6" s="54" t="s">
        <v>41</v>
      </c>
      <c r="C6" s="55" t="s">
        <v>6</v>
      </c>
      <c r="D6" s="55" t="s">
        <v>8</v>
      </c>
      <c r="E6" s="55" t="s">
        <v>7</v>
      </c>
      <c r="F6" s="55" t="s">
        <v>27</v>
      </c>
      <c r="G6" s="55" t="str">
        <f t="shared" ref="G6:G16" si="5">PROPER(Currency)&amp;FamilyName&amp;Tenor</f>
        <v>Euribor1M</v>
      </c>
      <c r="H6" s="53" t="str">
        <f t="shared" ref="H6:H16" si="6">IF(LCHQuoteOverwrite,Currency&amp;"A"&amp;"1E"&amp;SUBSTITUTE(B6,"12M","1Y")&amp;LCHQuoteSuffix,Currency&amp;SUBSTITUTE($B6,"M","")&amp;$G$4&amp;QuoteSuffix)</f>
        <v>EURA1E2M_LCHQuote</v>
      </c>
      <c r="I6" s="126">
        <v>0</v>
      </c>
      <c r="J6" s="64" t="str">
        <f>_xll.qlSwapRateHelper2(,$H6,2,$B6,Calendar,$D6,$E6,$F6,$G6,$I6,$C6,Discounting1,PillarDate,,Permanent,Trigger,ObjectOverwrite)</f>
        <v>obj_00747#0001</v>
      </c>
      <c r="K6" s="64" t="str">
        <f>J6</f>
        <v>obj_00747#0001</v>
      </c>
      <c r="L6" s="48"/>
      <c r="M6" s="10" t="str">
        <f t="shared" si="2"/>
        <v>Sw</v>
      </c>
      <c r="N6" s="94" t="str">
        <f t="shared" si="3"/>
        <v>obj_0075e#0001</v>
      </c>
      <c r="O6" s="94" t="str">
        <f t="shared" si="3"/>
        <v>obj_0075e#0001</v>
      </c>
      <c r="P6" s="146" t="str">
        <f>IFERROR(_xll.qlRateHelperQuoteName(N6,Trigger),"--")</f>
        <v>EURA1E4M_LCHQuote</v>
      </c>
      <c r="Q6" s="98" t="str">
        <f>IFERROR(_xll.qlRateHelperQuoteValue($N6,Trigger),"--")</f>
        <v>--</v>
      </c>
      <c r="R6" s="141" t="b">
        <v>0</v>
      </c>
      <c r="S6" s="94">
        <v>10</v>
      </c>
      <c r="T6" s="94">
        <v>1</v>
      </c>
      <c r="U6" s="99">
        <f>IFERROR(_xll.qlRateHelperEarliestDate(N6,Trigger),"--")</f>
        <v>42256</v>
      </c>
      <c r="V6" s="99">
        <f>IFERROR(_xll.qlRateHelperPillarDate(N6,Trigger),"--")</f>
        <v>42380</v>
      </c>
      <c r="X6" s="4" t="str">
        <f t="shared" si="4"/>
        <v>Sw</v>
      </c>
      <c r="Y6" s="4" t="str">
        <v>obj_00757</v>
      </c>
      <c r="Z6" s="4" t="str">
        <v>obj_00757</v>
      </c>
      <c r="AA6" s="4" t="str">
        <f>IFERROR(_xll.qlRateHelperQuoteName(Y6,Trigger),"")</f>
        <v>EURA1E6M_LCHQuote</v>
      </c>
      <c r="AB6" s="70">
        <f>IFERROR(_xll.qlRateHelperRate(Y6,Trigger),"")</f>
        <v>-1.0950000000000001E-3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42256</v>
      </c>
      <c r="AE6" s="5">
        <f>IFERROR(_xll.qlRateHelperPillarDate(Y6,Trigger),"")</f>
        <v>42438</v>
      </c>
      <c r="AF6" s="70">
        <v>-1.1098882926288067E-3</v>
      </c>
      <c r="AG6" s="77">
        <v>1.0005600208925041</v>
      </c>
      <c r="AH6" s="169">
        <v>42438</v>
      </c>
      <c r="AI6" s="170">
        <v>-1.10988829263313E-3</v>
      </c>
      <c r="AJ6" s="172">
        <f t="shared" si="0"/>
        <v>4.3233645830031975E-15</v>
      </c>
      <c r="AK6" s="80">
        <v>1.0005597993316799</v>
      </c>
      <c r="AL6" s="161">
        <f t="shared" si="1"/>
        <v>2.2156082413182787E-7</v>
      </c>
      <c r="AN6" s="107" t="s">
        <v>89</v>
      </c>
      <c r="AO6" s="109" t="s">
        <v>90</v>
      </c>
    </row>
    <row r="7" spans="1:41" ht="11.25" customHeight="1" x14ac:dyDescent="0.2">
      <c r="A7" s="59" t="s">
        <v>25</v>
      </c>
      <c r="B7" s="60" t="s">
        <v>0</v>
      </c>
      <c r="C7" s="61" t="s">
        <v>6</v>
      </c>
      <c r="D7" s="61" t="s">
        <v>8</v>
      </c>
      <c r="E7" s="61" t="s">
        <v>7</v>
      </c>
      <c r="F7" s="61" t="s">
        <v>27</v>
      </c>
      <c r="G7" s="61" t="str">
        <f t="shared" si="5"/>
        <v>Euribor1M</v>
      </c>
      <c r="H7" s="59" t="str">
        <f t="shared" si="6"/>
        <v>EURA1E3M_LCHQuote</v>
      </c>
      <c r="I7" s="127">
        <v>0</v>
      </c>
      <c r="J7" s="64" t="str">
        <f>_xll.qlSwapRateHelper2(,$H7,2,$B7,Calendar,$D7,$E7,$F7,$G7,$I7,$C7,Discounting1,PillarDate,,Permanent,Trigger,ObjectOverwrite)</f>
        <v>obj_00753#0001</v>
      </c>
      <c r="K7" s="64" t="str">
        <f t="shared" ref="K7:K16" si="7">J7</f>
        <v>obj_00753#0001</v>
      </c>
      <c r="L7" s="48"/>
      <c r="M7" s="10" t="str">
        <f t="shared" si="2"/>
        <v>Sw</v>
      </c>
      <c r="N7" s="94" t="str">
        <f t="shared" si="3"/>
        <v>obj_00751#0001</v>
      </c>
      <c r="O7" s="94" t="str">
        <f t="shared" si="3"/>
        <v>obj_00751#0001</v>
      </c>
      <c r="P7" s="146" t="str">
        <f>IFERROR(_xll.qlRateHelperQuoteName(N7,Trigger),"--")</f>
        <v>EURA1E5M_LCHQuote</v>
      </c>
      <c r="Q7" s="98" t="str">
        <f>IFERROR(_xll.qlRateHelperQuoteValue($N7,Trigger),"--")</f>
        <v>--</v>
      </c>
      <c r="R7" s="141" t="b">
        <v>0</v>
      </c>
      <c r="S7" s="94">
        <v>10</v>
      </c>
      <c r="T7" s="94">
        <v>1</v>
      </c>
      <c r="U7" s="99">
        <f>IFERROR(_xll.qlRateHelperEarliestDate(N7,Trigger),"--")</f>
        <v>42256</v>
      </c>
      <c r="V7" s="99">
        <f>IFERROR(_xll.qlRateHelperPillarDate(N7,Trigger),"--")</f>
        <v>42409</v>
      </c>
      <c r="X7" s="4" t="str">
        <f t="shared" si="4"/>
        <v>Sw</v>
      </c>
      <c r="Y7" s="4" t="str">
        <v>obj_00750</v>
      </c>
      <c r="Z7" s="4" t="str">
        <v>obj_00750</v>
      </c>
      <c r="AA7" s="4" t="str">
        <f>IFERROR(_xll.qlRateHelperQuoteName(Y7,Trigger),"")</f>
        <v>EURA1E9M_LCHQuote</v>
      </c>
      <c r="AB7" s="70">
        <f>IFERROR(_xll.qlRateHelperRate(Y7,Trigger),"")</f>
        <v>-1.1039999999999999E-3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42256</v>
      </c>
      <c r="AE7" s="5">
        <f>IFERROR(_xll.qlRateHelperPillarDate(Y7,Trigger),"")</f>
        <v>42530</v>
      </c>
      <c r="AF7" s="70">
        <v>-1.1193833597816633E-3</v>
      </c>
      <c r="AG7" s="77">
        <v>1.0008471116023843</v>
      </c>
      <c r="AH7" s="169">
        <v>42530</v>
      </c>
      <c r="AI7" s="170">
        <v>-1.11938335978432E-3</v>
      </c>
      <c r="AJ7" s="172">
        <f t="shared" si="0"/>
        <v>2.6567290034584801E-15</v>
      </c>
      <c r="AK7" s="80">
        <v>1.0008468914495201</v>
      </c>
      <c r="AL7" s="161">
        <f t="shared" si="1"/>
        <v>2.20152864160994E-7</v>
      </c>
    </row>
    <row r="8" spans="1:41" ht="11.25" customHeight="1" x14ac:dyDescent="0.2">
      <c r="A8" s="59" t="s">
        <v>25</v>
      </c>
      <c r="B8" s="60" t="s">
        <v>42</v>
      </c>
      <c r="C8" s="61" t="s">
        <v>6</v>
      </c>
      <c r="D8" s="61" t="s">
        <v>8</v>
      </c>
      <c r="E8" s="61" t="s">
        <v>7</v>
      </c>
      <c r="F8" s="61" t="s">
        <v>27</v>
      </c>
      <c r="G8" s="61" t="str">
        <f t="shared" si="5"/>
        <v>Euribor1M</v>
      </c>
      <c r="H8" s="59" t="str">
        <f t="shared" si="6"/>
        <v>EURA1E4M_LCHQuote</v>
      </c>
      <c r="I8" s="127">
        <v>0</v>
      </c>
      <c r="J8" s="64" t="str">
        <f>_xll.qlSwapRateHelper2(,$H8,2,$B8,Calendar,$D8,$E8,$F8,$G8,$I8,$C8,Discounting1,PillarDate,,Permanent,Trigger,ObjectOverwrite)</f>
        <v>obj_0075e#0001</v>
      </c>
      <c r="K8" s="64" t="str">
        <f t="shared" si="7"/>
        <v>obj_0075e#0001</v>
      </c>
      <c r="L8" s="48"/>
      <c r="M8" s="10" t="str">
        <f t="shared" si="2"/>
        <v>Sw</v>
      </c>
      <c r="N8" s="94" t="str">
        <f t="shared" si="3"/>
        <v>obj_00757#0001</v>
      </c>
      <c r="O8" s="94" t="str">
        <f t="shared" si="3"/>
        <v>obj_00757#0001</v>
      </c>
      <c r="P8" s="146" t="str">
        <f>IFERROR(_xll.qlRateHelperQuoteName(N8,Trigger),"--")</f>
        <v>EURA1E6M_LCHQuote</v>
      </c>
      <c r="Q8" s="98">
        <f>IFERROR(_xll.qlRateHelperQuoteValue($N8,Trigger),"--")</f>
        <v>-1.0950000000000001E-3</v>
      </c>
      <c r="R8" s="141" t="b">
        <v>1</v>
      </c>
      <c r="S8" s="94">
        <v>10</v>
      </c>
      <c r="T8" s="94">
        <v>1</v>
      </c>
      <c r="U8" s="99">
        <f>IFERROR(_xll.qlRateHelperEarliestDate(N8,Trigger),"--")</f>
        <v>42256</v>
      </c>
      <c r="V8" s="99">
        <f>IFERROR(_xll.qlRateHelperPillarDate(N8,Trigger),"--")</f>
        <v>42438</v>
      </c>
      <c r="X8" s="4" t="str">
        <f t="shared" si="4"/>
        <v>Sw</v>
      </c>
      <c r="Y8" s="4" t="str">
        <v>obj_0074e</v>
      </c>
      <c r="Z8" s="4" t="str">
        <v>obj_0074e</v>
      </c>
      <c r="AA8" s="4" t="str">
        <f>IFERROR(_xll.qlRateHelperQuoteName(Y8,Trigger),"")</f>
        <v>EURA1E1Y_LCHQuote</v>
      </c>
      <c r="AB8" s="70">
        <f>IFERROR(_xll.qlRateHelperRate(Y8,Trigger),"")</f>
        <v>-1.1180000000000001E-3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42256</v>
      </c>
      <c r="AE8" s="5">
        <f>IFERROR(_xll.qlRateHelperPillarDate(Y8,Trigger),"")</f>
        <v>42622</v>
      </c>
      <c r="AF8" s="70">
        <v>-1.133870028108579E-3</v>
      </c>
      <c r="AG8" s="77">
        <v>1.0011442075559545</v>
      </c>
      <c r="AH8" s="169">
        <v>42622</v>
      </c>
      <c r="AI8" s="170">
        <v>-1.13387002807668E-3</v>
      </c>
      <c r="AJ8" s="172">
        <f t="shared" si="0"/>
        <v>-3.1898962637999517E-14</v>
      </c>
      <c r="AK8" s="80">
        <v>1.00114398683261</v>
      </c>
      <c r="AL8" s="161">
        <f t="shared" si="1"/>
        <v>2.2072334449063646E-7</v>
      </c>
    </row>
    <row r="9" spans="1:41" ht="11.25" customHeight="1" x14ac:dyDescent="0.2">
      <c r="A9" s="59" t="s">
        <v>25</v>
      </c>
      <c r="B9" s="60" t="s">
        <v>43</v>
      </c>
      <c r="C9" s="61" t="s">
        <v>6</v>
      </c>
      <c r="D9" s="61" t="s">
        <v>8</v>
      </c>
      <c r="E9" s="61" t="s">
        <v>7</v>
      </c>
      <c r="F9" s="61" t="s">
        <v>27</v>
      </c>
      <c r="G9" s="61" t="str">
        <f t="shared" si="5"/>
        <v>Euribor1M</v>
      </c>
      <c r="H9" s="59" t="str">
        <f t="shared" si="6"/>
        <v>EURA1E5M_LCHQuote</v>
      </c>
      <c r="I9" s="127">
        <v>0</v>
      </c>
      <c r="J9" s="64" t="str">
        <f>_xll.qlSwapRateHelper2(,$H9,2,$B9,Calendar,$D9,$E9,$F9,$G9,$I9,$C9,Discounting1,PillarDate,,Permanent,Trigger,ObjectOverwrite)</f>
        <v>obj_00751#0001</v>
      </c>
      <c r="K9" s="64" t="str">
        <f t="shared" si="7"/>
        <v>obj_00751#0001</v>
      </c>
      <c r="L9" s="48"/>
      <c r="M9" s="10" t="str">
        <f t="shared" si="2"/>
        <v>Sw</v>
      </c>
      <c r="N9" s="94" t="str">
        <f t="shared" si="3"/>
        <v>obj_0075a#0001</v>
      </c>
      <c r="O9" s="94" t="str">
        <f t="shared" si="3"/>
        <v>obj_0075a#0001</v>
      </c>
      <c r="P9" s="146" t="str">
        <f>IFERROR(_xll.qlRateHelperQuoteName(N9,Trigger),"--")</f>
        <v>EURA1E7M_LCHQuote</v>
      </c>
      <c r="Q9" s="98" t="str">
        <f>IFERROR(_xll.qlRateHelperQuoteValue($N9,Trigger),"--")</f>
        <v>--</v>
      </c>
      <c r="R9" s="141" t="b">
        <v>0</v>
      </c>
      <c r="S9" s="94">
        <v>10</v>
      </c>
      <c r="T9" s="94">
        <v>1</v>
      </c>
      <c r="U9" s="99">
        <f>IFERROR(_xll.qlRateHelperEarliestDate(N9,Trigger),"--")</f>
        <v>42256</v>
      </c>
      <c r="V9" s="99">
        <f>IFERROR(_xll.qlRateHelperPillarDate(N9,Trigger),"--")</f>
        <v>42471</v>
      </c>
      <c r="X9" s="4" t="str">
        <f t="shared" si="4"/>
        <v>BasSw</v>
      </c>
      <c r="Y9" s="4" t="str">
        <v>obj_00744</v>
      </c>
      <c r="Z9" s="4" t="str">
        <v>obj_006ff</v>
      </c>
      <c r="AA9" s="4" t="str">
        <f>IFERROR(_xll.qlRateHelperQuoteName(Y9,Trigger),"")</f>
        <v>EUR1E6E2Y_LCHQuote</v>
      </c>
      <c r="AB9" s="70">
        <f>IFERROR(_xll.qlRateHelperRate(Y9,Trigger),"")</f>
        <v>-9.4324999999999997E-4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42256</v>
      </c>
      <c r="AE9" s="5">
        <f>IFERROR(_xll.qlRateHelperPillarDate(Y9,Trigger),"")</f>
        <v>42989</v>
      </c>
      <c r="AF9" s="70">
        <v>-9.5736707975038857E-4</v>
      </c>
      <c r="AG9" s="77">
        <v>1.001930339358249</v>
      </c>
      <c r="AH9" s="169">
        <v>42989</v>
      </c>
      <c r="AI9" s="170">
        <v>-9.5736707974297002E-4</v>
      </c>
      <c r="AJ9" s="172">
        <f t="shared" si="0"/>
        <v>-7.4185449450148155E-15</v>
      </c>
      <c r="AK9" s="80">
        <v>1.0019301185576699</v>
      </c>
      <c r="AL9" s="161">
        <f t="shared" si="1"/>
        <v>2.2080057915374596E-7</v>
      </c>
    </row>
    <row r="10" spans="1:41" ht="11.25" customHeight="1" x14ac:dyDescent="0.2">
      <c r="A10" s="59" t="s">
        <v>25</v>
      </c>
      <c r="B10" s="60" t="s">
        <v>3</v>
      </c>
      <c r="C10" s="61" t="s">
        <v>6</v>
      </c>
      <c r="D10" s="61" t="s">
        <v>8</v>
      </c>
      <c r="E10" s="61" t="s">
        <v>7</v>
      </c>
      <c r="F10" s="61" t="s">
        <v>27</v>
      </c>
      <c r="G10" s="61" t="str">
        <f t="shared" si="5"/>
        <v>Euribor1M</v>
      </c>
      <c r="H10" s="59" t="str">
        <f t="shared" si="6"/>
        <v>EURA1E6M_LCHQuote</v>
      </c>
      <c r="I10" s="127">
        <v>0</v>
      </c>
      <c r="J10" s="64" t="str">
        <f>_xll.qlSwapRateHelper2(,$H10,2,$B10,Calendar,$D10,$E10,$F10,$G10,$I10,$C10,Discounting1,PillarDate,,Permanent,Trigger,ObjectOverwrite)</f>
        <v>obj_00757#0001</v>
      </c>
      <c r="K10" s="64" t="str">
        <f t="shared" si="7"/>
        <v>obj_00757#0001</v>
      </c>
      <c r="L10" s="48"/>
      <c r="M10" s="10" t="str">
        <f t="shared" si="2"/>
        <v>Sw</v>
      </c>
      <c r="N10" s="94" t="str">
        <f t="shared" si="3"/>
        <v>obj_0075c#0001</v>
      </c>
      <c r="O10" s="94" t="str">
        <f t="shared" si="3"/>
        <v>obj_0075c#0001</v>
      </c>
      <c r="P10" s="146" t="str">
        <f>IFERROR(_xll.qlRateHelperQuoteName(N10,Trigger),"--")</f>
        <v>EURA1E8M_LCHQuote</v>
      </c>
      <c r="Q10" s="98" t="str">
        <f>IFERROR(_xll.qlRateHelperQuoteValue($N10,Trigger),"--")</f>
        <v>--</v>
      </c>
      <c r="R10" s="141" t="b">
        <v>0</v>
      </c>
      <c r="S10" s="94">
        <v>10</v>
      </c>
      <c r="T10" s="94">
        <v>1</v>
      </c>
      <c r="U10" s="99">
        <f>IFERROR(_xll.qlRateHelperEarliestDate(N10,Trigger),"--")</f>
        <v>42256</v>
      </c>
      <c r="V10" s="99">
        <f>IFERROR(_xll.qlRateHelperPillarDate(N10,Trigger),"--")</f>
        <v>42499</v>
      </c>
      <c r="X10" s="4" t="str">
        <f t="shared" si="4"/>
        <v>BasSw</v>
      </c>
      <c r="Y10" s="4" t="str">
        <v>obj_0074c</v>
      </c>
      <c r="Z10" s="4" t="str">
        <v>obj_0070a</v>
      </c>
      <c r="AA10" s="4" t="str">
        <f>IFERROR(_xll.qlRateHelperQuoteName(Y10,Trigger),"")</f>
        <v>EUR1E6E3Y_LCHQuote</v>
      </c>
      <c r="AB10" s="70">
        <f>IFERROR(_xll.qlRateHelperRate(Y10,Trigger),"")</f>
        <v>-3.9100000000000002E-4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42256</v>
      </c>
      <c r="AE10" s="5">
        <f>IFERROR(_xll.qlRateHelperPillarDate(Y10,Trigger),"")</f>
        <v>43353</v>
      </c>
      <c r="AF10" s="70">
        <v>-3.9855170815176669E-4</v>
      </c>
      <c r="AG10" s="77">
        <v>1.0012019516854045</v>
      </c>
      <c r="AH10" s="169">
        <v>43353</v>
      </c>
      <c r="AI10" s="170">
        <v>-3.9855170815022002E-4</v>
      </c>
      <c r="AJ10" s="172">
        <f t="shared" si="0"/>
        <v>-1.5466686091591964E-15</v>
      </c>
      <c r="AK10" s="80">
        <v>1.00120173098483</v>
      </c>
      <c r="AL10" s="161">
        <f t="shared" si="1"/>
        <v>2.2070057448253522E-7</v>
      </c>
    </row>
    <row r="11" spans="1:41" ht="11.25" customHeight="1" x14ac:dyDescent="0.2">
      <c r="A11" s="59" t="s">
        <v>25</v>
      </c>
      <c r="B11" s="60" t="s">
        <v>44</v>
      </c>
      <c r="C11" s="61" t="s">
        <v>6</v>
      </c>
      <c r="D11" s="61" t="s">
        <v>8</v>
      </c>
      <c r="E11" s="61" t="s">
        <v>7</v>
      </c>
      <c r="F11" s="61" t="s">
        <v>27</v>
      </c>
      <c r="G11" s="61" t="str">
        <f t="shared" si="5"/>
        <v>Euribor1M</v>
      </c>
      <c r="H11" s="59" t="str">
        <f t="shared" si="6"/>
        <v>EURA1E7M_LCHQuote</v>
      </c>
      <c r="I11" s="127">
        <v>0</v>
      </c>
      <c r="J11" s="64" t="str">
        <f>_xll.qlSwapRateHelper2(,$H11,2,$B11,Calendar,$D11,$E11,$F11,$G11,$I11,$C11,Discounting1,PillarDate,,Permanent,Trigger,ObjectOverwrite)</f>
        <v>obj_0075a#0001</v>
      </c>
      <c r="K11" s="64" t="str">
        <f t="shared" si="7"/>
        <v>obj_0075a#0001</v>
      </c>
      <c r="L11" s="48"/>
      <c r="M11" s="10" t="str">
        <f t="shared" si="2"/>
        <v>Sw</v>
      </c>
      <c r="N11" s="94" t="str">
        <f t="shared" si="3"/>
        <v>obj_00750#0001</v>
      </c>
      <c r="O11" s="94" t="str">
        <f t="shared" si="3"/>
        <v>obj_00750#0001</v>
      </c>
      <c r="P11" s="146" t="str">
        <f>IFERROR(_xll.qlRateHelperQuoteName(N11,Trigger),"--")</f>
        <v>EURA1E9M_LCHQuote</v>
      </c>
      <c r="Q11" s="98">
        <f>IFERROR(_xll.qlRateHelperQuoteValue($N11,Trigger),"--")</f>
        <v>-1.1039999999999999E-3</v>
      </c>
      <c r="R11" s="141" t="b">
        <v>1</v>
      </c>
      <c r="S11" s="94">
        <v>10</v>
      </c>
      <c r="T11" s="94">
        <v>1</v>
      </c>
      <c r="U11" s="99">
        <f>IFERROR(_xll.qlRateHelperEarliestDate(N11,Trigger),"--")</f>
        <v>42256</v>
      </c>
      <c r="V11" s="99">
        <f>IFERROR(_xll.qlRateHelperPillarDate(N11,Trigger),"--")</f>
        <v>42530</v>
      </c>
      <c r="X11" s="4" t="str">
        <f t="shared" si="4"/>
        <v>BasSw</v>
      </c>
      <c r="Y11" s="4" t="str">
        <v>obj_00748</v>
      </c>
      <c r="Z11" s="4" t="str">
        <v>obj_006e6</v>
      </c>
      <c r="AA11" s="4" t="str">
        <f>IFERROR(_xll.qlRateHelperQuoteName(Y11,Trigger),"")</f>
        <v>EUR1E6E4Y_LCHQuote</v>
      </c>
      <c r="AB11" s="70">
        <f>IFERROR(_xll.qlRateHelperRate(Y11,Trigger),"")</f>
        <v>5.2075000000000005E-4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42256</v>
      </c>
      <c r="AE11" s="5">
        <f>IFERROR(_xll.qlRateHelperPillarDate(Y11,Trigger),"")</f>
        <v>43717</v>
      </c>
      <c r="AF11" s="70">
        <v>5.2547197635923002E-4</v>
      </c>
      <c r="AG11" s="77">
        <v>0.99789783959297929</v>
      </c>
      <c r="AH11" s="169">
        <v>43717</v>
      </c>
      <c r="AI11" s="170">
        <v>5.2547197639846003E-4</v>
      </c>
      <c r="AJ11" s="172">
        <f t="shared" si="0"/>
        <v>-3.9230012467694753E-14</v>
      </c>
      <c r="AK11" s="80">
        <v>0.99789761962808099</v>
      </c>
      <c r="AL11" s="161">
        <f t="shared" si="1"/>
        <v>2.1996489829589905E-7</v>
      </c>
    </row>
    <row r="12" spans="1:41" ht="11.25" customHeight="1" x14ac:dyDescent="0.2">
      <c r="A12" s="59" t="s">
        <v>25</v>
      </c>
      <c r="B12" s="60" t="s">
        <v>45</v>
      </c>
      <c r="C12" s="61" t="s">
        <v>6</v>
      </c>
      <c r="D12" s="61" t="s">
        <v>8</v>
      </c>
      <c r="E12" s="61" t="s">
        <v>7</v>
      </c>
      <c r="F12" s="61" t="s">
        <v>27</v>
      </c>
      <c r="G12" s="61" t="str">
        <f t="shared" si="5"/>
        <v>Euribor1M</v>
      </c>
      <c r="H12" s="59" t="str">
        <f t="shared" si="6"/>
        <v>EURA1E8M_LCHQuote</v>
      </c>
      <c r="I12" s="127">
        <v>0</v>
      </c>
      <c r="J12" s="64" t="str">
        <f>_xll.qlSwapRateHelper2(,$H12,2,$B12,Calendar,$D12,$E12,$F12,$G12,$I12,$C12,Discounting1,PillarDate,,Permanent,Trigger,ObjectOverwrite)</f>
        <v>obj_0075c#0001</v>
      </c>
      <c r="K12" s="64" t="str">
        <f t="shared" si="7"/>
        <v>obj_0075c#0001</v>
      </c>
      <c r="L12" s="48" t="s">
        <v>36</v>
      </c>
      <c r="M12" s="10" t="str">
        <f t="shared" si="2"/>
        <v>Sw</v>
      </c>
      <c r="N12" s="94" t="str">
        <f t="shared" si="3"/>
        <v>obj_0075d#0001</v>
      </c>
      <c r="O12" s="94" t="str">
        <f t="shared" si="3"/>
        <v>obj_0075d#0001</v>
      </c>
      <c r="P12" s="146" t="str">
        <f>IFERROR(_xll.qlRateHelperQuoteName(N12,Trigger),"--")</f>
        <v>EURA1E10M_LCHQuote</v>
      </c>
      <c r="Q12" s="98" t="str">
        <f>IFERROR(_xll.qlRateHelperQuoteValue($N12,Trigger),"--")</f>
        <v>--</v>
      </c>
      <c r="R12" s="141" t="b">
        <v>0</v>
      </c>
      <c r="S12" s="94">
        <v>10</v>
      </c>
      <c r="T12" s="94">
        <v>1</v>
      </c>
      <c r="U12" s="99">
        <f>IFERROR(_xll.qlRateHelperEarliestDate(N12,Trigger),"--")</f>
        <v>42256</v>
      </c>
      <c r="V12" s="99">
        <f>IFERROR(_xll.qlRateHelperPillarDate(N12,Trigger),"--")</f>
        <v>42562</v>
      </c>
      <c r="X12" s="4" t="str">
        <f t="shared" si="4"/>
        <v>BasSw</v>
      </c>
      <c r="Y12" s="4" t="str">
        <v>obj_0074a</v>
      </c>
      <c r="Z12" s="4" t="str">
        <v>obj_00703</v>
      </c>
      <c r="AA12" s="4" t="str">
        <f>IFERROR(_xll.qlRateHelperQuoteName(Y12,Trigger),"")</f>
        <v>EUR1E6E5Y_LCHQuote</v>
      </c>
      <c r="AB12" s="70">
        <f>IFERROR(_xll.qlRateHelperRate(Y12,Trigger),"")</f>
        <v>1.6689999999999999E-3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42256</v>
      </c>
      <c r="AE12" s="5">
        <f>IFERROR(_xll.qlRateHelperPillarDate(Y12,Trigger),"")</f>
        <v>44083</v>
      </c>
      <c r="AF12" s="70">
        <v>1.6916725358945329E-3</v>
      </c>
      <c r="AG12" s="77">
        <v>0.99155918949301147</v>
      </c>
      <c r="AH12" s="169">
        <v>44083</v>
      </c>
      <c r="AI12" s="170">
        <v>1.6916725359586199E-3</v>
      </c>
      <c r="AJ12" s="172">
        <f t="shared" si="0"/>
        <v>-6.408697357518367E-14</v>
      </c>
      <c r="AK12" s="80">
        <v>0.99155897092495704</v>
      </c>
      <c r="AL12" s="161">
        <f t="shared" si="1"/>
        <v>2.1856805443309923E-7</v>
      </c>
    </row>
    <row r="13" spans="1:41" ht="11.25" customHeight="1" x14ac:dyDescent="0.2">
      <c r="A13" s="59" t="s">
        <v>25</v>
      </c>
      <c r="B13" s="60" t="s">
        <v>46</v>
      </c>
      <c r="C13" s="61" t="s">
        <v>6</v>
      </c>
      <c r="D13" s="61" t="s">
        <v>8</v>
      </c>
      <c r="E13" s="61" t="s">
        <v>7</v>
      </c>
      <c r="F13" s="61" t="s">
        <v>27</v>
      </c>
      <c r="G13" s="61" t="str">
        <f t="shared" si="5"/>
        <v>Euribor1M</v>
      </c>
      <c r="H13" s="59" t="str">
        <f t="shared" si="6"/>
        <v>EURA1E9M_LCHQuote</v>
      </c>
      <c r="I13" s="127">
        <v>0</v>
      </c>
      <c r="J13" s="64" t="str">
        <f>_xll.qlSwapRateHelper2(,$H13,2,$B13,Calendar,$D13,$E13,$F13,$G13,$I13,$C13,Discounting1,PillarDate,,Permanent,Trigger,ObjectOverwrite)</f>
        <v>obj_00750#0001</v>
      </c>
      <c r="K13" s="64" t="str">
        <f t="shared" si="7"/>
        <v>obj_00750#0001</v>
      </c>
      <c r="L13" s="48"/>
      <c r="M13" s="10" t="str">
        <f t="shared" si="2"/>
        <v>Sw</v>
      </c>
      <c r="N13" s="94" t="str">
        <f t="shared" si="3"/>
        <v>obj_00746#0001</v>
      </c>
      <c r="O13" s="94" t="str">
        <f t="shared" si="3"/>
        <v>obj_00746#0001</v>
      </c>
      <c r="P13" s="146" t="str">
        <f>IFERROR(_xll.qlRateHelperQuoteName(N13,Trigger),"--")</f>
        <v>EURA1E11M_LCHQuote</v>
      </c>
      <c r="Q13" s="98" t="str">
        <f>IFERROR(_xll.qlRateHelperQuoteValue($N13,Trigger),"--")</f>
        <v>--</v>
      </c>
      <c r="R13" s="141" t="b">
        <v>0</v>
      </c>
      <c r="S13" s="94">
        <v>10</v>
      </c>
      <c r="T13" s="94">
        <v>1</v>
      </c>
      <c r="U13" s="99">
        <f>IFERROR(_xll.qlRateHelperEarliestDate(N13,Trigger),"--")</f>
        <v>42256</v>
      </c>
      <c r="V13" s="99">
        <f>IFERROR(_xll.qlRateHelperPillarDate(N13,Trigger),"--")</f>
        <v>42591</v>
      </c>
      <c r="X13" s="4" t="str">
        <f t="shared" si="4"/>
        <v>BasSw</v>
      </c>
      <c r="Y13" s="4" t="str">
        <v>obj_00752</v>
      </c>
      <c r="Z13" s="4" t="str">
        <v>obj_00723</v>
      </c>
      <c r="AA13" s="4" t="str">
        <f>IFERROR(_xll.qlRateHelperQuoteName(Y13,Trigger),"")</f>
        <v>EUR1E6E6Y_LCHQuote</v>
      </c>
      <c r="AB13" s="70">
        <f>IFERROR(_xll.qlRateHelperRate(Y13,Trigger),"")</f>
        <v>2.9707499999999999E-3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42256</v>
      </c>
      <c r="AE13" s="5">
        <f>IFERROR(_xll.qlRateHelperPillarDate(Y13,Trigger),"")</f>
        <v>44448</v>
      </c>
      <c r="AF13" s="70">
        <v>3.0198622934628477E-3</v>
      </c>
      <c r="AG13" s="77">
        <v>0.9820120844185245</v>
      </c>
      <c r="AH13" s="169">
        <v>44448</v>
      </c>
      <c r="AI13" s="170">
        <v>3.0198622934850599E-3</v>
      </c>
      <c r="AJ13" s="172">
        <f t="shared" si="0"/>
        <v>-2.2212266748145026E-14</v>
      </c>
      <c r="AK13" s="80">
        <v>0.98201186795446305</v>
      </c>
      <c r="AL13" s="161">
        <f t="shared" si="1"/>
        <v>2.1646406145325869E-7</v>
      </c>
    </row>
    <row r="14" spans="1:41" ht="11.25" customHeight="1" x14ac:dyDescent="0.2">
      <c r="A14" s="59" t="s">
        <v>25</v>
      </c>
      <c r="B14" s="60" t="s">
        <v>47</v>
      </c>
      <c r="C14" s="61" t="s">
        <v>6</v>
      </c>
      <c r="D14" s="61" t="s">
        <v>8</v>
      </c>
      <c r="E14" s="61" t="s">
        <v>7</v>
      </c>
      <c r="F14" s="61" t="s">
        <v>27</v>
      </c>
      <c r="G14" s="61" t="str">
        <f t="shared" si="5"/>
        <v>Euribor1M</v>
      </c>
      <c r="H14" s="59" t="str">
        <f t="shared" si="6"/>
        <v>EURA1E10M_LCHQuote</v>
      </c>
      <c r="I14" s="127">
        <v>0</v>
      </c>
      <c r="J14" s="64" t="str">
        <f>_xll.qlSwapRateHelper2(,$H14,2,$B14,Calendar,$D14,$E14,$F14,$G14,$I14,$C14,Discounting1,PillarDate,,Permanent,Trigger,ObjectOverwrite)</f>
        <v>obj_0075d#0001</v>
      </c>
      <c r="K14" s="64" t="str">
        <f t="shared" si="7"/>
        <v>obj_0075d#0001</v>
      </c>
      <c r="L14" s="48"/>
      <c r="M14" s="11" t="str">
        <f t="shared" si="2"/>
        <v>Sw</v>
      </c>
      <c r="N14" s="95" t="str">
        <f t="shared" si="3"/>
        <v>obj_0074e#0001</v>
      </c>
      <c r="O14" s="95" t="str">
        <f t="shared" si="3"/>
        <v>obj_0074e#0001</v>
      </c>
      <c r="P14" s="147" t="str">
        <f>IFERROR(_xll.qlRateHelperQuoteName(N14,Trigger),"--")</f>
        <v>EURA1E1Y_LCHQuote</v>
      </c>
      <c r="Q14" s="101">
        <f>IFERROR(_xll.qlRateHelperQuoteValue($N14,Trigger),"--")</f>
        <v>-1.1180000000000001E-3</v>
      </c>
      <c r="R14" s="144" t="b">
        <v>1</v>
      </c>
      <c r="S14" s="95">
        <v>10</v>
      </c>
      <c r="T14" s="95">
        <v>1</v>
      </c>
      <c r="U14" s="102">
        <f>IFERROR(_xll.qlRateHelperEarliestDate(N14,Trigger),"--")</f>
        <v>42256</v>
      </c>
      <c r="V14" s="102">
        <f>IFERROR(_xll.qlRateHelperPillarDate(N14,Trigger),"--")</f>
        <v>42622</v>
      </c>
      <c r="X14" s="4" t="str">
        <f t="shared" si="4"/>
        <v>BasSw</v>
      </c>
      <c r="Y14" s="4" t="str">
        <v>obj_00749</v>
      </c>
      <c r="Z14" s="4" t="str">
        <v>obj_006ef</v>
      </c>
      <c r="AA14" s="4" t="str">
        <f>IFERROR(_xll.qlRateHelperQuoteName(Y14,Trigger),"")</f>
        <v>EUR1E6E7Y_LCHQuote</v>
      </c>
      <c r="AB14" s="70">
        <f>IFERROR(_xll.qlRateHelperRate(Y14,Trigger),"")</f>
        <v>4.3452500000000002E-3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42256</v>
      </c>
      <c r="AE14" s="5">
        <f>IFERROR(_xll.qlRateHelperPillarDate(Y14,Trigger),"")</f>
        <v>44813</v>
      </c>
      <c r="AF14" s="70">
        <v>4.4300282598305173E-3</v>
      </c>
      <c r="AG14" s="77">
        <v>0.9694192583029273</v>
      </c>
      <c r="AH14" s="169">
        <v>44813</v>
      </c>
      <c r="AI14" s="170">
        <v>4.4300282598182597E-3</v>
      </c>
      <c r="AJ14" s="172">
        <f t="shared" si="0"/>
        <v>1.2257556081252119E-14</v>
      </c>
      <c r="AK14" s="80">
        <v>0.96941904461513995</v>
      </c>
      <c r="AL14" s="161">
        <f t="shared" si="1"/>
        <v>2.1368778735375571E-7</v>
      </c>
    </row>
    <row r="15" spans="1:41" ht="11.25" customHeight="1" x14ac:dyDescent="0.2">
      <c r="A15" s="59" t="s">
        <v>25</v>
      </c>
      <c r="B15" s="60" t="s">
        <v>48</v>
      </c>
      <c r="C15" s="61" t="s">
        <v>6</v>
      </c>
      <c r="D15" s="61" t="s">
        <v>8</v>
      </c>
      <c r="E15" s="61" t="s">
        <v>7</v>
      </c>
      <c r="F15" s="61" t="s">
        <v>27</v>
      </c>
      <c r="G15" s="61" t="str">
        <f t="shared" si="5"/>
        <v>Euribor1M</v>
      </c>
      <c r="H15" s="59" t="str">
        <f t="shared" si="6"/>
        <v>EURA1E11M_LCHQuote</v>
      </c>
      <c r="I15" s="127">
        <v>0</v>
      </c>
      <c r="J15" s="64" t="str">
        <f>_xll.qlSwapRateHelper2(,$H15,2,$B15,Calendar,$D15,$E15,$F15,$G15,$I15,$C15,Discounting1,PillarDate,,Permanent,Trigger,ObjectOverwrite)</f>
        <v>obj_00746#0001</v>
      </c>
      <c r="K15" s="64" t="str">
        <f t="shared" si="7"/>
        <v>obj_00746#0001</v>
      </c>
      <c r="L15" s="48"/>
      <c r="M15" s="68" t="str">
        <f t="shared" ref="M15:M52" si="8">A19</f>
        <v>Sw</v>
      </c>
      <c r="N15" s="131" t="str">
        <f t="shared" ref="N15:O52" si="9">IF(ISBLANK(J19),"--",J19)</f>
        <v>qlSwapRateHelper2(,$H19,2,$B19,Calendar,$D19,$E19,$F19,$G19,$I19,$C19,Discounting1,PillarDate,,Permanent,Trigger,ObjectOverwrite)</v>
      </c>
      <c r="O15" s="131" t="str">
        <f t="shared" si="9"/>
        <v>qlSwapRateHelper2(,$H19,2,$B19,Calendar,$D19,$E19,$F19,$G19,$I19,$C19,Discounting1,PillarDate,,Permanent,Trigger,ObjectOverwrite)</v>
      </c>
      <c r="P15" s="145" t="str">
        <f>IFERROR(_xll.qlRateHelperQuoteName(N15,Trigger),"--")</f>
        <v>--</v>
      </c>
      <c r="Q15" s="133" t="str">
        <f>IFERROR(_xll.qlRateHelperQuoteValue($N15,Trigger),"--")</f>
        <v>--</v>
      </c>
      <c r="R15" s="137" t="b">
        <v>0</v>
      </c>
      <c r="S15" s="131">
        <v>10</v>
      </c>
      <c r="T15" s="131">
        <v>1</v>
      </c>
      <c r="U15" s="134" t="str">
        <f>IFERROR(_xll.qlRateHelperEarliestDate(N15,Trigger),"--")</f>
        <v>--</v>
      </c>
      <c r="V15" s="134" t="str">
        <f>IFERROR(_xll.qlRateHelperPillarDate(N15,Trigger),"--")</f>
        <v>--</v>
      </c>
      <c r="X15" s="4" t="str">
        <f t="shared" si="4"/>
        <v>BasSw</v>
      </c>
      <c r="Y15" s="4" t="str">
        <v>obj_0074d</v>
      </c>
      <c r="Z15" s="4" t="str">
        <v>obj_0071d</v>
      </c>
      <c r="AA15" s="4" t="str">
        <f>IFERROR(_xll.qlRateHelperQuoteName(Y15,Trigger),"")</f>
        <v>EUR1E6E8Y_LCHQuote</v>
      </c>
      <c r="AB15" s="70">
        <f>IFERROR(_xll.qlRateHelperRate(Y15,Trigger),"")</f>
        <v>5.69025E-3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42256</v>
      </c>
      <c r="AE15" s="5">
        <f>IFERROR(_xll.qlRateHelperPillarDate(Y15,Trigger),"")</f>
        <v>45180</v>
      </c>
      <c r="AF15" s="70">
        <v>5.8195382872796445E-3</v>
      </c>
      <c r="AG15" s="77">
        <v>0.95441987823136942</v>
      </c>
      <c r="AH15" s="169">
        <v>45180</v>
      </c>
      <c r="AI15" s="170">
        <v>5.8195382872414103E-3</v>
      </c>
      <c r="AJ15" s="172">
        <f t="shared" si="0"/>
        <v>3.8234172772266817E-14</v>
      </c>
      <c r="AK15" s="80">
        <v>0.95441966784941501</v>
      </c>
      <c r="AL15" s="161">
        <f t="shared" si="1"/>
        <v>2.1038195441303031E-7</v>
      </c>
    </row>
    <row r="16" spans="1:41" ht="11.25" customHeight="1" x14ac:dyDescent="0.2">
      <c r="A16" s="1" t="s">
        <v>25</v>
      </c>
      <c r="B16" s="8" t="s">
        <v>116</v>
      </c>
      <c r="C16" s="7" t="s">
        <v>6</v>
      </c>
      <c r="D16" s="7" t="s">
        <v>8</v>
      </c>
      <c r="E16" s="7" t="s">
        <v>7</v>
      </c>
      <c r="F16" s="7" t="s">
        <v>27</v>
      </c>
      <c r="G16" s="7" t="str">
        <f t="shared" si="5"/>
        <v>Euribor1M</v>
      </c>
      <c r="H16" s="1" t="str">
        <f t="shared" si="6"/>
        <v>EURA1E1Y_LCHQuote</v>
      </c>
      <c r="I16" s="130">
        <v>0</v>
      </c>
      <c r="J16" s="3" t="str">
        <f>_xll.qlSwapRateHelper2(,$H16,2,$B16,Calendar,$D16,$E16,$F16,$G16,$I16,$C16,Discounting1,PillarDate,,Permanent,Trigger,ObjectOverwrite)</f>
        <v>obj_0074e#0001</v>
      </c>
      <c r="K16" s="3" t="str">
        <f t="shared" si="7"/>
        <v>obj_0074e#0001</v>
      </c>
      <c r="L16" s="48"/>
      <c r="M16" s="10" t="str">
        <f t="shared" si="8"/>
        <v>Sw</v>
      </c>
      <c r="N16" s="94" t="str">
        <f t="shared" si="9"/>
        <v>--</v>
      </c>
      <c r="O16" s="94" t="str">
        <f t="shared" si="9"/>
        <v>--</v>
      </c>
      <c r="P16" s="146" t="str">
        <f>IFERROR(_xll.qlRateHelperQuoteName(N16,Trigger),"--")</f>
        <v>--</v>
      </c>
      <c r="Q16" s="98" t="str">
        <f>IFERROR(_xll.qlRateHelperQuoteValue($N16,Trigger),"--")</f>
        <v>--</v>
      </c>
      <c r="R16" s="141" t="b">
        <v>0</v>
      </c>
      <c r="S16" s="94">
        <v>10</v>
      </c>
      <c r="T16" s="94">
        <v>1</v>
      </c>
      <c r="U16" s="99" t="str">
        <f>IFERROR(_xll.qlRateHelperEarliestDate(N16,Trigger),"--")</f>
        <v>--</v>
      </c>
      <c r="V16" s="99" t="str">
        <f>IFERROR(_xll.qlRateHelperPillarDate(N16,Trigger),"--")</f>
        <v>--</v>
      </c>
      <c r="X16" s="4" t="str">
        <f t="shared" si="4"/>
        <v>BasSw</v>
      </c>
      <c r="Y16" s="4" t="str">
        <v>obj_00743</v>
      </c>
      <c r="Z16" s="4" t="str">
        <v>obj_00710</v>
      </c>
      <c r="AA16" s="4" t="str">
        <f>IFERROR(_xll.qlRateHelperQuoteName(Y16,Trigger),"")</f>
        <v>EUR1E6E9Y_LCHQuote</v>
      </c>
      <c r="AB16" s="70">
        <f>IFERROR(_xll.qlRateHelperRate(Y16,Trigger),"")</f>
        <v>6.9329999999999999E-3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42256</v>
      </c>
      <c r="AE16" s="5">
        <f>IFERROR(_xll.qlRateHelperPillarDate(Y16,Trigger),"")</f>
        <v>45544</v>
      </c>
      <c r="AF16" s="70">
        <v>7.1130519217780831E-3</v>
      </c>
      <c r="AG16" s="77">
        <v>0.93789701645314061</v>
      </c>
      <c r="AH16" s="169">
        <v>45544</v>
      </c>
      <c r="AI16" s="170">
        <v>7.1130519217211903E-3</v>
      </c>
      <c r="AJ16" s="172">
        <f t="shared" si="0"/>
        <v>5.6892858479873354E-14</v>
      </c>
      <c r="AK16" s="80">
        <v>0.93789680971507094</v>
      </c>
      <c r="AL16" s="161">
        <f t="shared" si="1"/>
        <v>2.0673806966353681E-7</v>
      </c>
    </row>
    <row r="17" spans="1:38" ht="11.25" customHeight="1" x14ac:dyDescent="0.2">
      <c r="G17" s="50" t="s">
        <v>126</v>
      </c>
      <c r="H17" s="50" t="s">
        <v>130</v>
      </c>
      <c r="L17" s="48"/>
      <c r="M17" s="10" t="str">
        <f t="shared" si="8"/>
        <v>Sw</v>
      </c>
      <c r="N17" s="94" t="str">
        <f t="shared" si="9"/>
        <v>--</v>
      </c>
      <c r="O17" s="94" t="str">
        <f t="shared" si="9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141" t="b">
        <v>0</v>
      </c>
      <c r="S17" s="94">
        <v>10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si="4"/>
        <v>BasSw</v>
      </c>
      <c r="Y17" s="4" t="str">
        <v>obj_00759</v>
      </c>
      <c r="Z17" s="4" t="str">
        <v>obj_006ec</v>
      </c>
      <c r="AA17" s="4" t="str">
        <f>IFERROR(_xll.qlRateHelperQuoteName(Y17,Trigger),"")</f>
        <v>EUR1E6E10Y_LCHQuote</v>
      </c>
      <c r="AB17" s="70">
        <f>IFERROR(_xll.qlRateHelperRate(Y17,Trigger),"")</f>
        <v>8.0324999999999997E-3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42256</v>
      </c>
      <c r="AE17" s="5">
        <f>IFERROR(_xll.qlRateHelperPillarDate(Y17,Trigger),"")</f>
        <v>45909</v>
      </c>
      <c r="AF17" s="70">
        <v>8.2667697011725317E-3</v>
      </c>
      <c r="AG17" s="77">
        <v>0.92055911252575495</v>
      </c>
      <c r="AH17" s="169">
        <v>45909</v>
      </c>
      <c r="AI17" s="170">
        <v>8.26676970094644E-3</v>
      </c>
      <c r="AJ17" s="172">
        <f t="shared" si="0"/>
        <v>2.260917147944852E-13</v>
      </c>
      <c r="AK17" s="80">
        <v>0.92055890960815201</v>
      </c>
      <c r="AL17" s="161">
        <f t="shared" si="1"/>
        <v>2.0291760294277594E-7</v>
      </c>
    </row>
    <row r="18" spans="1:38" ht="11.25" customHeight="1" x14ac:dyDescent="0.2">
      <c r="A18" s="65" t="s">
        <v>9</v>
      </c>
      <c r="B18" s="65" t="s">
        <v>29</v>
      </c>
      <c r="C18" s="65" t="s">
        <v>114</v>
      </c>
      <c r="D18" s="65" t="s">
        <v>5</v>
      </c>
      <c r="E18" s="65" t="s">
        <v>34</v>
      </c>
      <c r="F18" s="65" t="s">
        <v>115</v>
      </c>
      <c r="G18" s="65" t="s">
        <v>4</v>
      </c>
      <c r="H18" s="65" t="s">
        <v>1</v>
      </c>
      <c r="I18" s="65" t="s">
        <v>113</v>
      </c>
      <c r="J18" s="65" t="s">
        <v>150</v>
      </c>
      <c r="K18" s="65" t="s">
        <v>151</v>
      </c>
      <c r="L18" s="48"/>
      <c r="M18" s="10" t="str">
        <f t="shared" si="8"/>
        <v>Sw</v>
      </c>
      <c r="N18" s="94" t="str">
        <f t="shared" si="9"/>
        <v>--</v>
      </c>
      <c r="O18" s="94" t="str">
        <f t="shared" si="9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141" t="b">
        <v>0</v>
      </c>
      <c r="S18" s="94">
        <v>10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4"/>
        <v>BasSw</v>
      </c>
      <c r="Y18" s="4" t="str">
        <v>obj_0074f</v>
      </c>
      <c r="Z18" s="4" t="str">
        <v>obj_006ee</v>
      </c>
      <c r="AA18" s="4" t="str">
        <f>IFERROR(_xll.qlRateHelperQuoteName(Y18,Trigger),"")</f>
        <v>EUR1E6E12Y_LCHQuote</v>
      </c>
      <c r="AB18" s="70">
        <f>IFERROR(_xll.qlRateHelperRate(Y18,Trigger),"")</f>
        <v>9.9275000000000006E-3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42256</v>
      </c>
      <c r="AE18" s="5">
        <f>IFERROR(_xll.qlRateHelperPillarDate(Y18,Trigger),"")</f>
        <v>46639</v>
      </c>
      <c r="AF18" s="70">
        <v>1.0277575138268952E-2</v>
      </c>
      <c r="AG18" s="77">
        <v>0.88385668423322716</v>
      </c>
      <c r="AH18" s="169">
        <v>46639</v>
      </c>
      <c r="AI18" s="170">
        <v>1.02775751375374E-2</v>
      </c>
      <c r="AJ18" s="172">
        <f t="shared" si="0"/>
        <v>7.315519717776553E-13</v>
      </c>
      <c r="AK18" s="80">
        <v>0.88385648940688999</v>
      </c>
      <c r="AL18" s="161">
        <f t="shared" si="1"/>
        <v>1.9482633717426978E-7</v>
      </c>
    </row>
    <row r="19" spans="1:38" ht="11.25" customHeight="1" x14ac:dyDescent="0.2">
      <c r="A19" s="59" t="s">
        <v>25</v>
      </c>
      <c r="B19" s="60" t="s">
        <v>3</v>
      </c>
      <c r="C19" s="61" t="s">
        <v>6</v>
      </c>
      <c r="D19" s="61" t="s">
        <v>8</v>
      </c>
      <c r="E19" s="61" t="s">
        <v>7</v>
      </c>
      <c r="F19" s="61" t="s">
        <v>125</v>
      </c>
      <c r="G19" s="61" t="str">
        <f t="shared" ref="G19:G56" si="10">PROPER(Currency)&amp;FamilyName&amp;Tenor</f>
        <v>Euribor1M</v>
      </c>
      <c r="H19" s="59" t="str">
        <f t="shared" ref="H19:H56" si="11">IF(LCHQuoteOverwrite,Currency&amp;$G$17&amp;$H$17&amp;$B19&amp;LCHQuoteSuffix,Currency&amp;$G$17&amp;$H$17&amp;$B19&amp;QuoteSuffix)</f>
        <v>EURAB1E6M_LCHQuote</v>
      </c>
      <c r="I19" s="154">
        <v>0</v>
      </c>
      <c r="J19" s="64" t="s">
        <v>153</v>
      </c>
      <c r="K19" s="64" t="str">
        <f>J19</f>
        <v>qlSwapRateHelper2(,$H19,2,$B19,Calendar,$D19,$E19,$F19,$G19,$I19,$C19,Discounting1,PillarDate,,Permanent,Trigger,ObjectOverwrite)</v>
      </c>
      <c r="L19" s="48"/>
      <c r="M19" s="10" t="str">
        <f t="shared" si="8"/>
        <v>Sw</v>
      </c>
      <c r="N19" s="94" t="str">
        <f t="shared" si="9"/>
        <v>--</v>
      </c>
      <c r="O19" s="94" t="str">
        <f t="shared" si="9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141" t="b">
        <v>0</v>
      </c>
      <c r="S19" s="94">
        <v>10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4"/>
        <v>BasSw</v>
      </c>
      <c r="Y19" s="4" t="str">
        <v>obj_00741</v>
      </c>
      <c r="Z19" s="4" t="str">
        <v>obj_0071a</v>
      </c>
      <c r="AA19" s="4" t="str">
        <f>IFERROR(_xll.qlRateHelperQuoteName(Y19,Trigger),"")</f>
        <v>EUR1E6E15Y_LCHQuote</v>
      </c>
      <c r="AB19" s="70">
        <f>IFERROR(_xll.qlRateHelperRate(Y19,Trigger),"")</f>
        <v>1.191E-2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42256</v>
      </c>
      <c r="AE19" s="5">
        <f>IFERROR(_xll.qlRateHelperPillarDate(Y19,Trigger),"")</f>
        <v>47735</v>
      </c>
      <c r="AF19" s="70">
        <v>1.2414720335288712E-2</v>
      </c>
      <c r="AG19" s="77">
        <v>0.82995801664528357</v>
      </c>
      <c r="AH19" s="169">
        <v>47735</v>
      </c>
      <c r="AI19" s="170">
        <v>1.2414720334678201E-2</v>
      </c>
      <c r="AJ19" s="172">
        <f t="shared" si="0"/>
        <v>6.1051164124137358E-13</v>
      </c>
      <c r="AK19" s="80">
        <v>0.82995783369953802</v>
      </c>
      <c r="AL19" s="161">
        <f t="shared" si="1"/>
        <v>1.8294574555266507E-7</v>
      </c>
    </row>
    <row r="20" spans="1:38" ht="11.25" customHeight="1" x14ac:dyDescent="0.2">
      <c r="A20" s="59" t="s">
        <v>25</v>
      </c>
      <c r="B20" s="60" t="s">
        <v>28</v>
      </c>
      <c r="C20" s="61" t="s">
        <v>6</v>
      </c>
      <c r="D20" s="61" t="s">
        <v>8</v>
      </c>
      <c r="E20" s="61" t="s">
        <v>7</v>
      </c>
      <c r="F20" s="61" t="s">
        <v>125</v>
      </c>
      <c r="G20" s="61" t="str">
        <f t="shared" si="10"/>
        <v>Euribor1M</v>
      </c>
      <c r="H20" s="59" t="str">
        <f t="shared" si="11"/>
        <v>EURAB1E1Y_LCHQuote</v>
      </c>
      <c r="I20" s="154">
        <v>0</v>
      </c>
      <c r="J20" s="64"/>
      <c r="K20" s="64"/>
      <c r="L20" s="48"/>
      <c r="M20" s="10" t="str">
        <f t="shared" si="8"/>
        <v>Sw</v>
      </c>
      <c r="N20" s="94" t="str">
        <f t="shared" si="9"/>
        <v>--</v>
      </c>
      <c r="O20" s="94" t="str">
        <f t="shared" si="9"/>
        <v>--</v>
      </c>
      <c r="P20" s="146" t="str">
        <f>IFERROR(_xll.qlRateHelperQuoteName(N20,Trigger),"--")</f>
        <v>--</v>
      </c>
      <c r="Q20" s="98" t="str">
        <f>IFERROR(_xll.qlRateHelperQuoteValue($N20,Trigger),"--")</f>
        <v>--</v>
      </c>
      <c r="R20" s="141" t="b">
        <v>0</v>
      </c>
      <c r="S20" s="94">
        <v>10</v>
      </c>
      <c r="T20" s="94">
        <v>1</v>
      </c>
      <c r="U20" s="99" t="str">
        <f>IFERROR(_xll.qlRateHelperEarliestDate(N20,Trigger),"--")</f>
        <v>--</v>
      </c>
      <c r="V20" s="99" t="str">
        <f>IFERROR(_xll.qlRateHelperPillarDate(N20,Trigger),"--")</f>
        <v>--</v>
      </c>
      <c r="X20" s="4" t="str">
        <f t="shared" si="4"/>
        <v>BasSw</v>
      </c>
      <c r="Y20" s="4" t="str">
        <v>obj_00756</v>
      </c>
      <c r="Z20" s="4" t="str">
        <v>obj_00738</v>
      </c>
      <c r="AA20" s="4" t="str">
        <f>IFERROR(_xll.qlRateHelperQuoteName(Y20,Trigger),"")</f>
        <v>EUR1E6E20Y_LCHQuote</v>
      </c>
      <c r="AB20" s="70">
        <f>IFERROR(_xll.qlRateHelperRate(Y20,Trigger),"")</f>
        <v>1.3610000000000001E-2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42256</v>
      </c>
      <c r="AE20" s="5">
        <f>IFERROR(_xll.qlRateHelperPillarDate(Y20,Trigger),"")</f>
        <v>49562</v>
      </c>
      <c r="AF20" s="70">
        <v>1.4263492456633785E-2</v>
      </c>
      <c r="AG20" s="77">
        <v>0.75174781880760666</v>
      </c>
      <c r="AH20" s="169">
        <v>49562</v>
      </c>
      <c r="AI20" s="170">
        <v>1.42634924561572E-2</v>
      </c>
      <c r="AJ20" s="172">
        <f t="shared" si="0"/>
        <v>4.7658578472553614E-13</v>
      </c>
      <c r="AK20" s="80">
        <v>0.75174765310160596</v>
      </c>
      <c r="AL20" s="161">
        <f t="shared" si="1"/>
        <v>1.6570600069876207E-7</v>
      </c>
    </row>
    <row r="21" spans="1:38" ht="11.25" customHeight="1" x14ac:dyDescent="0.2">
      <c r="A21" s="59" t="s">
        <v>25</v>
      </c>
      <c r="B21" s="60" t="s">
        <v>49</v>
      </c>
      <c r="C21" s="61" t="s">
        <v>6</v>
      </c>
      <c r="D21" s="61" t="s">
        <v>8</v>
      </c>
      <c r="E21" s="61" t="s">
        <v>7</v>
      </c>
      <c r="F21" s="61" t="s">
        <v>125</v>
      </c>
      <c r="G21" s="61" t="str">
        <f t="shared" si="10"/>
        <v>Euribor1M</v>
      </c>
      <c r="H21" s="59" t="str">
        <f t="shared" si="11"/>
        <v>EURAB1E15M_LCHQuote</v>
      </c>
      <c r="I21" s="154">
        <v>0</v>
      </c>
      <c r="J21" s="64"/>
      <c r="K21" s="64"/>
      <c r="L21" s="48"/>
      <c r="M21" s="10" t="str">
        <f t="shared" si="8"/>
        <v>Sw</v>
      </c>
      <c r="N21" s="94" t="str">
        <f t="shared" si="9"/>
        <v>--</v>
      </c>
      <c r="O21" s="94" t="str">
        <f t="shared" si="9"/>
        <v>--</v>
      </c>
      <c r="P21" s="146" t="str">
        <f>IFERROR(_xll.qlRateHelperQuoteName(N21,Trigger),"--")</f>
        <v>--</v>
      </c>
      <c r="Q21" s="98" t="str">
        <f>IFERROR(_xll.qlRateHelperQuoteValue($N21,Trigger),"--")</f>
        <v>--</v>
      </c>
      <c r="R21" s="141" t="b">
        <v>0</v>
      </c>
      <c r="S21" s="94">
        <v>10</v>
      </c>
      <c r="T21" s="94">
        <v>1</v>
      </c>
      <c r="U21" s="99" t="str">
        <f>IFERROR(_xll.qlRateHelperEarliestDate(N21,Trigger),"--")</f>
        <v>--</v>
      </c>
      <c r="V21" s="99" t="str">
        <f>IFERROR(_xll.qlRateHelperPillarDate(N21,Trigger),"--")</f>
        <v>--</v>
      </c>
      <c r="X21" s="4" t="str">
        <f t="shared" si="4"/>
        <v>BasSw</v>
      </c>
      <c r="Y21" s="4" t="str">
        <v>obj_00758</v>
      </c>
      <c r="Z21" s="4" t="str">
        <v>obj_00700</v>
      </c>
      <c r="AA21" s="4" t="str">
        <f>IFERROR(_xll.qlRateHelperQuoteName(Y21,Trigger),"")</f>
        <v>EUR1E6E25Y_LCHQuote</v>
      </c>
      <c r="AB21" s="70">
        <f>IFERROR(_xll.qlRateHelperRate(Y21,Trigger),"")</f>
        <v>1.4080000000000001E-2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42256</v>
      </c>
      <c r="AE21" s="5">
        <f>IFERROR(_xll.qlRateHelperPillarDate(Y21,Trigger),"")</f>
        <v>51389</v>
      </c>
      <c r="AF21" s="70">
        <v>1.4717661556587004E-2</v>
      </c>
      <c r="AG21" s="77">
        <v>0.69210863256841626</v>
      </c>
      <c r="AH21" s="169">
        <v>51389</v>
      </c>
      <c r="AI21" s="170">
        <v>1.4717661556200599E-2</v>
      </c>
      <c r="AJ21" s="172">
        <f t="shared" si="0"/>
        <v>3.8640445010340585E-13</v>
      </c>
      <c r="AK21" s="80">
        <v>0.692108480008643</v>
      </c>
      <c r="AL21" s="161">
        <f t="shared" si="1"/>
        <v>1.5255977325878689E-7</v>
      </c>
    </row>
    <row r="22" spans="1:38" ht="11.25" customHeight="1" x14ac:dyDescent="0.2">
      <c r="A22" s="59" t="s">
        <v>25</v>
      </c>
      <c r="B22" s="60" t="s">
        <v>50</v>
      </c>
      <c r="C22" s="61" t="s">
        <v>6</v>
      </c>
      <c r="D22" s="61" t="s">
        <v>8</v>
      </c>
      <c r="E22" s="61" t="s">
        <v>7</v>
      </c>
      <c r="F22" s="61" t="s">
        <v>125</v>
      </c>
      <c r="G22" s="61" t="str">
        <f t="shared" si="10"/>
        <v>Euribor1M</v>
      </c>
      <c r="H22" s="59" t="str">
        <f t="shared" si="11"/>
        <v>EURAB1E18M_LCHQuote</v>
      </c>
      <c r="I22" s="154">
        <v>0</v>
      </c>
      <c r="J22" s="64"/>
      <c r="K22" s="64"/>
      <c r="L22" s="48"/>
      <c r="M22" s="10" t="str">
        <f t="shared" si="8"/>
        <v>Sw</v>
      </c>
      <c r="N22" s="94" t="str">
        <f t="shared" si="9"/>
        <v>--</v>
      </c>
      <c r="O22" s="94" t="str">
        <f t="shared" si="9"/>
        <v>--</v>
      </c>
      <c r="P22" s="146" t="str">
        <f>IFERROR(_xll.qlRateHelperQuoteName(N22,Trigger),"--")</f>
        <v>--</v>
      </c>
      <c r="Q22" s="98" t="str">
        <f>IFERROR(_xll.qlRateHelperQuoteValue($N22,Trigger),"--")</f>
        <v>--</v>
      </c>
      <c r="R22" s="141" t="b">
        <v>0</v>
      </c>
      <c r="S22" s="94">
        <v>10</v>
      </c>
      <c r="T22" s="94">
        <v>1</v>
      </c>
      <c r="U22" s="99" t="str">
        <f>IFERROR(_xll.qlRateHelperEarliestDate(N22,Trigger),"--")</f>
        <v>--</v>
      </c>
      <c r="V22" s="99" t="str">
        <f>IFERROR(_xll.qlRateHelperPillarDate(N22,Trigger),"--")</f>
        <v>--</v>
      </c>
      <c r="X22" s="4" t="str">
        <f t="shared" si="4"/>
        <v>BasSw</v>
      </c>
      <c r="Y22" s="4" t="str">
        <v>obj_00745</v>
      </c>
      <c r="Z22" s="4" t="str">
        <v>obj_00702</v>
      </c>
      <c r="AA22" s="4" t="str">
        <f>IFERROR(_xll.qlRateHelperQuoteName(Y22,Trigger),"")</f>
        <v>EUR1E6E30Y_LCHQuote</v>
      </c>
      <c r="AB22" s="70">
        <f>IFERROR(_xll.qlRateHelperRate(Y22,Trigger),"")</f>
        <v>1.4297499999999999E-2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42256</v>
      </c>
      <c r="AE22" s="5">
        <f>IFERROR(_xll.qlRateHelperPillarDate(Y22,Trigger),"")</f>
        <v>53216</v>
      </c>
      <c r="AF22" s="70">
        <v>1.4899944729133252E-2</v>
      </c>
      <c r="AG22" s="77">
        <v>0.63944577483622356</v>
      </c>
      <c r="AH22" s="169">
        <v>53216</v>
      </c>
      <c r="AI22" s="170">
        <v>1.48999447288077E-2</v>
      </c>
      <c r="AJ22" s="172">
        <f t="shared" si="0"/>
        <v>3.2555208528961543E-13</v>
      </c>
      <c r="AK22" s="80">
        <v>0.63944563388320597</v>
      </c>
      <c r="AL22" s="161">
        <f t="shared" si="1"/>
        <v>1.4095301759109446E-7</v>
      </c>
    </row>
    <row r="23" spans="1:38" ht="11.25" customHeight="1" x14ac:dyDescent="0.2">
      <c r="A23" s="59" t="s">
        <v>25</v>
      </c>
      <c r="B23" s="60" t="s">
        <v>51</v>
      </c>
      <c r="C23" s="61" t="s">
        <v>6</v>
      </c>
      <c r="D23" s="61" t="s">
        <v>8</v>
      </c>
      <c r="E23" s="61" t="s">
        <v>7</v>
      </c>
      <c r="F23" s="61" t="s">
        <v>125</v>
      </c>
      <c r="G23" s="61" t="str">
        <f t="shared" si="10"/>
        <v>Euribor1M</v>
      </c>
      <c r="H23" s="59" t="str">
        <f t="shared" si="11"/>
        <v>EURAB1E21M_LCHQuote</v>
      </c>
      <c r="I23" s="154">
        <v>0</v>
      </c>
      <c r="J23" s="64"/>
      <c r="K23" s="64"/>
      <c r="L23" s="48"/>
      <c r="M23" s="10" t="str">
        <f t="shared" si="8"/>
        <v>Sw</v>
      </c>
      <c r="N23" s="94" t="str">
        <f t="shared" si="9"/>
        <v>--</v>
      </c>
      <c r="O23" s="94" t="str">
        <f t="shared" si="9"/>
        <v>--</v>
      </c>
      <c r="P23" s="146" t="str">
        <f>IFERROR(_xll.qlRateHelperQuoteName(N23,Trigger),"--")</f>
        <v>--</v>
      </c>
      <c r="Q23" s="98" t="str">
        <f>IFERROR(_xll.qlRateHelperQuoteValue($N23,Trigger),"--")</f>
        <v>--</v>
      </c>
      <c r="R23" s="141" t="b">
        <v>0</v>
      </c>
      <c r="S23" s="94">
        <v>10</v>
      </c>
      <c r="T23" s="94">
        <v>1</v>
      </c>
      <c r="U23" s="99" t="str">
        <f>IFERROR(_xll.qlRateHelperEarliestDate(N23,Trigger),"--")</f>
        <v>--</v>
      </c>
      <c r="V23" s="99" t="str">
        <f>IFERROR(_xll.qlRateHelperPillarDate(N23,Trigger),"--")</f>
        <v>--</v>
      </c>
      <c r="X23" s="4" t="str">
        <f t="shared" si="4"/>
        <v>BasSw</v>
      </c>
      <c r="Y23" s="4" t="str">
        <v>obj_00755</v>
      </c>
      <c r="Z23" s="4" t="str">
        <v>obj_00730</v>
      </c>
      <c r="AA23" s="4" t="str">
        <f>IFERROR(_xll.qlRateHelperQuoteName(Y23,Trigger),"")</f>
        <v>EUR1E6E40Y_LCHQuote</v>
      </c>
      <c r="AB23" s="70">
        <f>IFERROR(_xll.qlRateHelperRate(Y23,Trigger),"")</f>
        <v>1.46275E-2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42256</v>
      </c>
      <c r="AE23" s="5">
        <f>IFERROR(_xll.qlRateHelperPillarDate(Y23,Trigger),"")</f>
        <v>56866</v>
      </c>
      <c r="AF23" s="70">
        <v>1.5206643135410123E-2</v>
      </c>
      <c r="AG23" s="77">
        <v>0.54435857788363728</v>
      </c>
      <c r="AH23" s="169">
        <v>56866</v>
      </c>
      <c r="AI23" s="170">
        <v>1.5206643135164699E-2</v>
      </c>
      <c r="AJ23" s="172">
        <f t="shared" si="0"/>
        <v>2.4542347321077074E-13</v>
      </c>
      <c r="AK23" s="80">
        <v>0.54435845789210802</v>
      </c>
      <c r="AL23" s="161">
        <f t="shared" si="1"/>
        <v>1.1999152926822632E-7</v>
      </c>
    </row>
    <row r="24" spans="1:38" ht="11.25" customHeight="1" x14ac:dyDescent="0.2">
      <c r="A24" s="59" t="s">
        <v>25</v>
      </c>
      <c r="B24" s="60" t="s">
        <v>52</v>
      </c>
      <c r="C24" s="61" t="s">
        <v>6</v>
      </c>
      <c r="D24" s="61" t="s">
        <v>8</v>
      </c>
      <c r="E24" s="61" t="s">
        <v>7</v>
      </c>
      <c r="F24" s="61" t="s">
        <v>125</v>
      </c>
      <c r="G24" s="61" t="str">
        <f t="shared" si="10"/>
        <v>Euribor1M</v>
      </c>
      <c r="H24" s="59" t="str">
        <f t="shared" si="11"/>
        <v>EURAB1E2Y_LCHQuote</v>
      </c>
      <c r="I24" s="154">
        <v>0</v>
      </c>
      <c r="J24" s="64"/>
      <c r="K24" s="64"/>
      <c r="L24" s="48"/>
      <c r="M24" s="10" t="str">
        <f t="shared" si="8"/>
        <v>Sw</v>
      </c>
      <c r="N24" s="94" t="str">
        <f t="shared" si="9"/>
        <v>--</v>
      </c>
      <c r="O24" s="94" t="str">
        <f t="shared" si="9"/>
        <v>--</v>
      </c>
      <c r="P24" s="146" t="str">
        <f>IFERROR(_xll.qlRateHelperQuoteName(N24,Trigger),"--")</f>
        <v>--</v>
      </c>
      <c r="Q24" s="98" t="str">
        <f>IFERROR(_xll.qlRateHelperQuoteValue($N24,Trigger),"--")</f>
        <v>--</v>
      </c>
      <c r="R24" s="141" t="b">
        <v>0</v>
      </c>
      <c r="S24" s="94">
        <v>10</v>
      </c>
      <c r="T24" s="94">
        <v>1</v>
      </c>
      <c r="U24" s="99" t="str">
        <f>IFERROR(_xll.qlRateHelperEarliestDate(N24,Trigger),"--")</f>
        <v>--</v>
      </c>
      <c r="V24" s="99" t="str">
        <f>IFERROR(_xll.qlRateHelperPillarDate(N24,Trigger),"--")</f>
        <v>--</v>
      </c>
      <c r="X24" s="4" t="str">
        <f t="shared" si="4"/>
        <v>BasSw</v>
      </c>
      <c r="Y24" s="4" t="str">
        <v>obj_0074b</v>
      </c>
      <c r="Z24" s="4" t="str">
        <v>obj_006e9</v>
      </c>
      <c r="AA24" s="4" t="str">
        <f>IFERROR(_xll.qlRateHelperQuoteName(Y24,Trigger),"")</f>
        <v>EUR1E6E50Y_LCHQuote</v>
      </c>
      <c r="AB24" s="70">
        <f>IFERROR(_xll.qlRateHelperRate(Y24,Trigger),"")</f>
        <v>1.43675E-2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42256</v>
      </c>
      <c r="AE24" s="5">
        <f>IFERROR(_xll.qlRateHelperPillarDate(Y24,Trigger),"")</f>
        <v>60519</v>
      </c>
      <c r="AF24" s="70">
        <v>1.4739486887779025E-2</v>
      </c>
      <c r="AG24" s="77">
        <v>0.47864317185973987</v>
      </c>
      <c r="AH24" s="169">
        <v>60519</v>
      </c>
      <c r="AI24" s="170">
        <v>1.47394868875619E-2</v>
      </c>
      <c r="AJ24" s="172">
        <f t="shared" si="0"/>
        <v>2.1712492914716108E-13</v>
      </c>
      <c r="AK24" s="80">
        <v>0.47864306635348902</v>
      </c>
      <c r="AL24" s="161">
        <f t="shared" si="1"/>
        <v>1.0550625084704279E-7</v>
      </c>
    </row>
    <row r="25" spans="1:38" ht="11.25" customHeight="1" x14ac:dyDescent="0.2">
      <c r="A25" s="59" t="s">
        <v>25</v>
      </c>
      <c r="B25" s="60" t="s">
        <v>53</v>
      </c>
      <c r="C25" s="61" t="s">
        <v>6</v>
      </c>
      <c r="D25" s="61" t="s">
        <v>8</v>
      </c>
      <c r="E25" s="61" t="s">
        <v>7</v>
      </c>
      <c r="F25" s="61" t="s">
        <v>125</v>
      </c>
      <c r="G25" s="61" t="str">
        <f t="shared" si="10"/>
        <v>Euribor1M</v>
      </c>
      <c r="H25" s="59" t="str">
        <f t="shared" si="11"/>
        <v>EURAB1E3Y_LCHQuote</v>
      </c>
      <c r="I25" s="154">
        <v>0</v>
      </c>
      <c r="J25" s="64"/>
      <c r="K25" s="64"/>
      <c r="L25" s="48"/>
      <c r="M25" s="10" t="str">
        <f t="shared" si="8"/>
        <v>Sw</v>
      </c>
      <c r="N25" s="94" t="str">
        <f t="shared" si="9"/>
        <v>--</v>
      </c>
      <c r="O25" s="94" t="str">
        <f t="shared" si="9"/>
        <v>--</v>
      </c>
      <c r="P25" s="146" t="str">
        <f>IFERROR(_xll.qlRateHelperQuoteName(N25,Trigger),"--")</f>
        <v>--</v>
      </c>
      <c r="Q25" s="98" t="str">
        <f>IFERROR(_xll.qlRateHelperQuoteValue($N25,Trigger),"--")</f>
        <v>--</v>
      </c>
      <c r="R25" s="141" t="b">
        <v>0</v>
      </c>
      <c r="S25" s="94">
        <v>10</v>
      </c>
      <c r="T25" s="94">
        <v>1</v>
      </c>
      <c r="U25" s="99" t="str">
        <f>IFERROR(_xll.qlRateHelperEarliestDate(N25,Trigger),"--")</f>
        <v>--</v>
      </c>
      <c r="V25" s="99" t="str">
        <f>IFERROR(_xll.qlRateHelperPillarDate(N25,Trigger),"--")</f>
        <v>--</v>
      </c>
      <c r="X25" s="4" t="str">
        <f t="shared" si="4"/>
        <v>BasSw</v>
      </c>
      <c r="Y25" s="4" t="str">
        <v>obj_00754</v>
      </c>
      <c r="Z25" s="4" t="str">
        <v>obj_00731</v>
      </c>
      <c r="AA25" s="4" t="str">
        <f>IFERROR(_xll.qlRateHelperQuoteName(Y25,Trigger),"")</f>
        <v>EUR1E6E60Y_LCHQuote</v>
      </c>
      <c r="AB25" s="70">
        <f>IFERROR(_xll.qlRateHelperRate(Y25,Trigger),"")</f>
        <v>1.4154999999999999E-2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42256</v>
      </c>
      <c r="AE25" s="5">
        <f>IFERROR(_xll.qlRateHelperPillarDate(Y25,Trigger),"")</f>
        <v>64171</v>
      </c>
      <c r="AF25" s="70">
        <v>1.4373163561495667E-2</v>
      </c>
      <c r="AG25" s="77">
        <v>0.42213252743826274</v>
      </c>
      <c r="AH25" s="169">
        <v>64171</v>
      </c>
      <c r="AI25" s="170">
        <v>1.43731635617025E-2</v>
      </c>
      <c r="AJ25" s="172">
        <f t="shared" si="0"/>
        <v>-2.0683281476419069E-13</v>
      </c>
      <c r="AK25" s="80">
        <v>0.42213243438766002</v>
      </c>
      <c r="AL25" s="161">
        <f t="shared" si="1"/>
        <v>9.3050602723021569E-8</v>
      </c>
    </row>
    <row r="26" spans="1:38" ht="11.25" customHeight="1" x14ac:dyDescent="0.2">
      <c r="A26" s="59" t="s">
        <v>25</v>
      </c>
      <c r="B26" s="60" t="s">
        <v>54</v>
      </c>
      <c r="C26" s="61" t="s">
        <v>6</v>
      </c>
      <c r="D26" s="61" t="s">
        <v>8</v>
      </c>
      <c r="E26" s="61" t="s">
        <v>7</v>
      </c>
      <c r="F26" s="61" t="s">
        <v>125</v>
      </c>
      <c r="G26" s="61" t="str">
        <f t="shared" si="10"/>
        <v>Euribor1M</v>
      </c>
      <c r="H26" s="59" t="str">
        <f t="shared" si="11"/>
        <v>EURAB1E4Y_LCHQuote</v>
      </c>
      <c r="I26" s="154">
        <v>0</v>
      </c>
      <c r="J26" s="64"/>
      <c r="K26" s="64"/>
      <c r="L26" s="48"/>
      <c r="M26" s="10" t="str">
        <f t="shared" si="8"/>
        <v>Sw</v>
      </c>
      <c r="N26" s="94" t="str">
        <f t="shared" si="9"/>
        <v>--</v>
      </c>
      <c r="O26" s="94" t="str">
        <f t="shared" si="9"/>
        <v>--</v>
      </c>
      <c r="P26" s="146" t="str">
        <f>IFERROR(_xll.qlRateHelperQuoteName(N26,Trigger),"--")</f>
        <v>--</v>
      </c>
      <c r="Q26" s="98" t="str">
        <f>IFERROR(_xll.qlRateHelperQuoteValue($N26,Trigger),"--")</f>
        <v>--</v>
      </c>
      <c r="R26" s="141" t="b">
        <v>0</v>
      </c>
      <c r="S26" s="94">
        <v>10</v>
      </c>
      <c r="T26" s="94">
        <v>1</v>
      </c>
      <c r="U26" s="99" t="str">
        <f>IFERROR(_xll.qlRateHelperEarliestDate(N26,Trigger),"--")</f>
        <v>--</v>
      </c>
      <c r="V26" s="99" t="str">
        <f>IFERROR(_xll.qlRateHelperPillarDate(N26,Trigger),"--")</f>
        <v>--</v>
      </c>
      <c r="X26" s="4" t="str">
        <f t="shared" si="4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9" t="e">
        <v>#N/A</v>
      </c>
      <c r="AI26" s="170" t="e">
        <v>#N/A</v>
      </c>
      <c r="AJ26" s="172" t="e">
        <f t="shared" si="0"/>
        <v>#N/A</v>
      </c>
      <c r="AK26" s="80" t="e">
        <v>#N/A</v>
      </c>
      <c r="AL26" s="161" t="e">
        <f t="shared" si="1"/>
        <v>#N/A</v>
      </c>
    </row>
    <row r="27" spans="1:38" ht="11.25" customHeight="1" x14ac:dyDescent="0.2">
      <c r="A27" s="59" t="s">
        <v>25</v>
      </c>
      <c r="B27" s="60" t="s">
        <v>55</v>
      </c>
      <c r="C27" s="61" t="s">
        <v>6</v>
      </c>
      <c r="D27" s="61" t="s">
        <v>8</v>
      </c>
      <c r="E27" s="61" t="s">
        <v>7</v>
      </c>
      <c r="F27" s="61" t="s">
        <v>125</v>
      </c>
      <c r="G27" s="61" t="str">
        <f t="shared" si="10"/>
        <v>Euribor1M</v>
      </c>
      <c r="H27" s="59" t="str">
        <f t="shared" si="11"/>
        <v>EURAB1E5Y_LCHQuote</v>
      </c>
      <c r="I27" s="154">
        <v>0</v>
      </c>
      <c r="J27" s="64"/>
      <c r="K27" s="64"/>
      <c r="L27" s="48"/>
      <c r="M27" s="10" t="str">
        <f t="shared" si="8"/>
        <v>Sw</v>
      </c>
      <c r="N27" s="94" t="str">
        <f t="shared" si="9"/>
        <v>--</v>
      </c>
      <c r="O27" s="94" t="str">
        <f t="shared" si="9"/>
        <v>--</v>
      </c>
      <c r="P27" s="146" t="str">
        <f>IFERROR(_xll.qlRateHelperQuoteName(N27,Trigger),"--")</f>
        <v>--</v>
      </c>
      <c r="Q27" s="98" t="str">
        <f>IFERROR(_xll.qlRateHelperQuoteValue($N27,Trigger),"--")</f>
        <v>--</v>
      </c>
      <c r="R27" s="141" t="b">
        <v>0</v>
      </c>
      <c r="S27" s="94">
        <v>10</v>
      </c>
      <c r="T27" s="94">
        <v>1</v>
      </c>
      <c r="U27" s="99" t="str">
        <f>IFERROR(_xll.qlRateHelperEarliestDate(N27,Trigger),"--")</f>
        <v>--</v>
      </c>
      <c r="V27" s="99" t="str">
        <f>IFERROR(_xll.qlRateHelperPillarDate(N27,Trigger),"--")</f>
        <v>--</v>
      </c>
      <c r="X27" s="4" t="str">
        <f t="shared" si="4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9" t="e">
        <v>#N/A</v>
      </c>
      <c r="AI27" s="170" t="e">
        <v>#N/A</v>
      </c>
      <c r="AJ27" s="172" t="e">
        <f t="shared" si="0"/>
        <v>#N/A</v>
      </c>
      <c r="AK27" s="80" t="e">
        <v>#N/A</v>
      </c>
      <c r="AL27" s="161" t="e">
        <f t="shared" si="1"/>
        <v>#N/A</v>
      </c>
    </row>
    <row r="28" spans="1:38" ht="11.25" customHeight="1" x14ac:dyDescent="0.2">
      <c r="A28" s="59" t="s">
        <v>25</v>
      </c>
      <c r="B28" s="60" t="s">
        <v>56</v>
      </c>
      <c r="C28" s="61" t="s">
        <v>6</v>
      </c>
      <c r="D28" s="61" t="s">
        <v>8</v>
      </c>
      <c r="E28" s="61" t="s">
        <v>7</v>
      </c>
      <c r="F28" s="61" t="s">
        <v>125</v>
      </c>
      <c r="G28" s="61" t="str">
        <f t="shared" si="10"/>
        <v>Euribor1M</v>
      </c>
      <c r="H28" s="59" t="str">
        <f t="shared" si="11"/>
        <v>EURAB1E6Y_LCHQuote</v>
      </c>
      <c r="I28" s="154">
        <v>0</v>
      </c>
      <c r="J28" s="64"/>
      <c r="K28" s="64"/>
      <c r="L28" s="48"/>
      <c r="M28" s="10" t="str">
        <f t="shared" si="8"/>
        <v>Sw</v>
      </c>
      <c r="N28" s="94" t="str">
        <f t="shared" si="9"/>
        <v>--</v>
      </c>
      <c r="O28" s="94" t="str">
        <f t="shared" si="9"/>
        <v>--</v>
      </c>
      <c r="P28" s="146" t="str">
        <f>IFERROR(_xll.qlRateHelperQuoteName(N28,Trigger),"--")</f>
        <v>--</v>
      </c>
      <c r="Q28" s="98" t="str">
        <f>IFERROR(_xll.qlRateHelperQuoteValue($N28,Trigger),"--")</f>
        <v>--</v>
      </c>
      <c r="R28" s="141" t="b">
        <v>0</v>
      </c>
      <c r="S28" s="94">
        <v>10</v>
      </c>
      <c r="T28" s="94">
        <v>1</v>
      </c>
      <c r="U28" s="99" t="str">
        <f>IFERROR(_xll.qlRateHelperEarliestDate(N28,Trigger),"--")</f>
        <v>--</v>
      </c>
      <c r="V28" s="99" t="str">
        <f>IFERROR(_xll.qlRateHelperPillarDate(N28,Trigger),"--")</f>
        <v>--</v>
      </c>
      <c r="X28" s="4" t="str">
        <f t="shared" si="4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0"/>
        <v>#N/A</v>
      </c>
      <c r="AK28" s="80" t="e">
        <v>#N/A</v>
      </c>
      <c r="AL28" s="161" t="e">
        <f t="shared" si="1"/>
        <v>#N/A</v>
      </c>
    </row>
    <row r="29" spans="1:38" ht="11.25" customHeight="1" x14ac:dyDescent="0.2">
      <c r="A29" s="59" t="s">
        <v>25</v>
      </c>
      <c r="B29" s="60" t="s">
        <v>57</v>
      </c>
      <c r="C29" s="61" t="s">
        <v>6</v>
      </c>
      <c r="D29" s="61" t="s">
        <v>8</v>
      </c>
      <c r="E29" s="61" t="s">
        <v>7</v>
      </c>
      <c r="F29" s="61" t="s">
        <v>125</v>
      </c>
      <c r="G29" s="61" t="str">
        <f t="shared" si="10"/>
        <v>Euribor1M</v>
      </c>
      <c r="H29" s="59" t="str">
        <f t="shared" si="11"/>
        <v>EURAB1E7Y_LCHQuote</v>
      </c>
      <c r="I29" s="154">
        <v>0</v>
      </c>
      <c r="J29" s="64"/>
      <c r="K29" s="64"/>
      <c r="L29" s="48"/>
      <c r="M29" s="10" t="str">
        <f t="shared" si="8"/>
        <v>Sw</v>
      </c>
      <c r="N29" s="94" t="str">
        <f t="shared" si="9"/>
        <v>--</v>
      </c>
      <c r="O29" s="94" t="str">
        <f t="shared" si="9"/>
        <v>--</v>
      </c>
      <c r="P29" s="146" t="str">
        <f>IFERROR(_xll.qlRateHelperQuoteName(N29,Trigger),"--")</f>
        <v>--</v>
      </c>
      <c r="Q29" s="98" t="str">
        <f>IFERROR(_xll.qlRateHelperQuoteValue($N29,Trigger),"--")</f>
        <v>--</v>
      </c>
      <c r="R29" s="141" t="b">
        <v>0</v>
      </c>
      <c r="S29" s="94">
        <v>10</v>
      </c>
      <c r="T29" s="94">
        <v>1</v>
      </c>
      <c r="U29" s="99" t="str">
        <f>IFERROR(_xll.qlRateHelperEarliestDate(N29,Trigger),"--")</f>
        <v>--</v>
      </c>
      <c r="V29" s="99" t="str">
        <f>IFERROR(_xll.qlRateHelperPillarDate(N29,Trigger),"--")</f>
        <v>--</v>
      </c>
      <c r="X29" s="4" t="str">
        <f t="shared" si="4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0"/>
        <v>#N/A</v>
      </c>
      <c r="AK29" s="80" t="e">
        <v>#N/A</v>
      </c>
      <c r="AL29" s="161" t="e">
        <f t="shared" si="1"/>
        <v>#N/A</v>
      </c>
    </row>
    <row r="30" spans="1:38" ht="11.25" customHeight="1" x14ac:dyDescent="0.2">
      <c r="A30" s="59" t="s">
        <v>25</v>
      </c>
      <c r="B30" s="60" t="s">
        <v>58</v>
      </c>
      <c r="C30" s="61" t="s">
        <v>6</v>
      </c>
      <c r="D30" s="61" t="s">
        <v>8</v>
      </c>
      <c r="E30" s="61" t="s">
        <v>7</v>
      </c>
      <c r="F30" s="61" t="s">
        <v>125</v>
      </c>
      <c r="G30" s="61" t="str">
        <f t="shared" si="10"/>
        <v>Euribor1M</v>
      </c>
      <c r="H30" s="59" t="str">
        <f t="shared" si="11"/>
        <v>EURAB1E8Y_LCHQuote</v>
      </c>
      <c r="I30" s="154">
        <v>0</v>
      </c>
      <c r="J30" s="64"/>
      <c r="K30" s="64"/>
      <c r="L30" s="48"/>
      <c r="M30" s="10" t="str">
        <f t="shared" si="8"/>
        <v>Sw</v>
      </c>
      <c r="N30" s="94" t="str">
        <f t="shared" si="9"/>
        <v>--</v>
      </c>
      <c r="O30" s="94" t="str">
        <f t="shared" si="9"/>
        <v>--</v>
      </c>
      <c r="P30" s="146" t="str">
        <f>IFERROR(_xll.qlRateHelperQuoteName(N30,Trigger),"--")</f>
        <v>--</v>
      </c>
      <c r="Q30" s="98" t="str">
        <f>IFERROR(_xll.qlRateHelperQuoteValue($N30,Trigger),"--")</f>
        <v>--</v>
      </c>
      <c r="R30" s="141" t="b">
        <v>0</v>
      </c>
      <c r="S30" s="94">
        <v>10</v>
      </c>
      <c r="T30" s="94">
        <v>1</v>
      </c>
      <c r="U30" s="99" t="str">
        <f>IFERROR(_xll.qlRateHelperEarliestDate(N30,Trigger),"--")</f>
        <v>--</v>
      </c>
      <c r="V30" s="99" t="str">
        <f>IFERROR(_xll.qlRateHelperPillarDate(N30,Trigger),"--")</f>
        <v>--</v>
      </c>
      <c r="X30" s="4" t="str">
        <f t="shared" si="4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0"/>
        <v>#N/A</v>
      </c>
      <c r="AK30" s="80" t="e">
        <v>#N/A</v>
      </c>
      <c r="AL30" s="161" t="e">
        <f t="shared" si="1"/>
        <v>#N/A</v>
      </c>
    </row>
    <row r="31" spans="1:38" ht="11.25" customHeight="1" x14ac:dyDescent="0.2">
      <c r="A31" s="59" t="s">
        <v>25</v>
      </c>
      <c r="B31" s="60" t="s">
        <v>59</v>
      </c>
      <c r="C31" s="61" t="s">
        <v>6</v>
      </c>
      <c r="D31" s="61" t="s">
        <v>8</v>
      </c>
      <c r="E31" s="61" t="s">
        <v>7</v>
      </c>
      <c r="F31" s="61" t="s">
        <v>125</v>
      </c>
      <c r="G31" s="61" t="str">
        <f t="shared" si="10"/>
        <v>Euribor1M</v>
      </c>
      <c r="H31" s="59" t="str">
        <f t="shared" si="11"/>
        <v>EURAB1E9Y_LCHQuote</v>
      </c>
      <c r="I31" s="154">
        <v>0</v>
      </c>
      <c r="J31" s="64"/>
      <c r="K31" s="64"/>
      <c r="L31" s="48"/>
      <c r="M31" s="10" t="str">
        <f t="shared" si="8"/>
        <v>Sw</v>
      </c>
      <c r="N31" s="94" t="str">
        <f t="shared" si="9"/>
        <v>--</v>
      </c>
      <c r="O31" s="94" t="str">
        <f t="shared" si="9"/>
        <v>--</v>
      </c>
      <c r="P31" s="146" t="str">
        <f>IFERROR(_xll.qlRateHelperQuoteName(N31,Trigger),"--")</f>
        <v>--</v>
      </c>
      <c r="Q31" s="98" t="str">
        <f>IFERROR(_xll.qlRateHelperQuoteValue($N31,Trigger),"--")</f>
        <v>--</v>
      </c>
      <c r="R31" s="141" t="b">
        <v>0</v>
      </c>
      <c r="S31" s="94">
        <v>10</v>
      </c>
      <c r="T31" s="94">
        <v>1</v>
      </c>
      <c r="U31" s="99" t="str">
        <f>IFERROR(_xll.qlRateHelperEarliestDate(N31,Trigger),"--")</f>
        <v>--</v>
      </c>
      <c r="V31" s="99" t="str">
        <f>IFERROR(_xll.qlRateHelperPillarDate(N31,Trigger),"--")</f>
        <v>--</v>
      </c>
      <c r="X31" s="4" t="str">
        <f t="shared" si="4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0"/>
        <v>#N/A</v>
      </c>
      <c r="AK31" s="80" t="e">
        <v>#N/A</v>
      </c>
      <c r="AL31" s="161" t="e">
        <f t="shared" si="1"/>
        <v>#N/A</v>
      </c>
    </row>
    <row r="32" spans="1:38" ht="11.25" customHeight="1" x14ac:dyDescent="0.2">
      <c r="A32" s="59" t="s">
        <v>25</v>
      </c>
      <c r="B32" s="60" t="s">
        <v>60</v>
      </c>
      <c r="C32" s="61" t="s">
        <v>6</v>
      </c>
      <c r="D32" s="61" t="s">
        <v>8</v>
      </c>
      <c r="E32" s="61" t="s">
        <v>7</v>
      </c>
      <c r="F32" s="61" t="s">
        <v>125</v>
      </c>
      <c r="G32" s="61" t="str">
        <f t="shared" si="10"/>
        <v>Euribor1M</v>
      </c>
      <c r="H32" s="59" t="str">
        <f t="shared" si="11"/>
        <v>EURAB1E10Y_LCHQuote</v>
      </c>
      <c r="I32" s="154">
        <v>0</v>
      </c>
      <c r="J32" s="64"/>
      <c r="K32" s="64"/>
      <c r="L32" s="48"/>
      <c r="M32" s="10" t="str">
        <f t="shared" si="8"/>
        <v>Sw</v>
      </c>
      <c r="N32" s="94" t="str">
        <f t="shared" si="9"/>
        <v>--</v>
      </c>
      <c r="O32" s="94" t="str">
        <f t="shared" si="9"/>
        <v>--</v>
      </c>
      <c r="P32" s="146" t="str">
        <f>IFERROR(_xll.qlRateHelperQuoteName(N32,Trigger),"--")</f>
        <v>--</v>
      </c>
      <c r="Q32" s="98" t="str">
        <f>IFERROR(_xll.qlRateHelperQuoteValue($N32,Trigger),"--")</f>
        <v>--</v>
      </c>
      <c r="R32" s="141" t="b">
        <v>0</v>
      </c>
      <c r="S32" s="94">
        <v>10</v>
      </c>
      <c r="T32" s="94">
        <v>1</v>
      </c>
      <c r="U32" s="99" t="str">
        <f>IFERROR(_xll.qlRateHelperEarliestDate(N32,Trigger),"--")</f>
        <v>--</v>
      </c>
      <c r="V32" s="99" t="str">
        <f>IFERROR(_xll.qlRateHelperPillarDate(N32,Trigger),"--")</f>
        <v>--</v>
      </c>
      <c r="X32" s="4" t="str">
        <f t="shared" si="4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0"/>
        <v>#N/A</v>
      </c>
      <c r="AK32" s="80" t="e">
        <v>#N/A</v>
      </c>
      <c r="AL32" s="161" t="e">
        <f t="shared" si="1"/>
        <v>#N/A</v>
      </c>
    </row>
    <row r="33" spans="1:38" ht="11.25" customHeight="1" x14ac:dyDescent="0.2">
      <c r="A33" s="59" t="s">
        <v>25</v>
      </c>
      <c r="B33" s="60" t="s">
        <v>98</v>
      </c>
      <c r="C33" s="61" t="s">
        <v>6</v>
      </c>
      <c r="D33" s="61" t="s">
        <v>8</v>
      </c>
      <c r="E33" s="61" t="s">
        <v>7</v>
      </c>
      <c r="F33" s="61" t="s">
        <v>125</v>
      </c>
      <c r="G33" s="61" t="str">
        <f t="shared" si="10"/>
        <v>Euribor1M</v>
      </c>
      <c r="H33" s="59" t="str">
        <f t="shared" si="11"/>
        <v>EURAB1E11Y_LCHQuote</v>
      </c>
      <c r="I33" s="154">
        <v>0</v>
      </c>
      <c r="J33" s="64"/>
      <c r="K33" s="64"/>
      <c r="L33" s="48"/>
      <c r="M33" s="10" t="str">
        <f t="shared" si="8"/>
        <v>Sw</v>
      </c>
      <c r="N33" s="94" t="str">
        <f t="shared" si="9"/>
        <v>--</v>
      </c>
      <c r="O33" s="94" t="str">
        <f t="shared" si="9"/>
        <v>--</v>
      </c>
      <c r="P33" s="146" t="str">
        <f>IFERROR(_xll.qlRateHelperQuoteName(N33,Trigger),"--")</f>
        <v>--</v>
      </c>
      <c r="Q33" s="98" t="str">
        <f>IFERROR(_xll.qlRateHelperQuoteValue($N33,Trigger),"--")</f>
        <v>--</v>
      </c>
      <c r="R33" s="141" t="b">
        <v>0</v>
      </c>
      <c r="S33" s="94">
        <v>10</v>
      </c>
      <c r="T33" s="94">
        <v>1</v>
      </c>
      <c r="U33" s="99" t="str">
        <f>IFERROR(_xll.qlRateHelperEarliestDate(N33,Trigger),"--")</f>
        <v>--</v>
      </c>
      <c r="V33" s="99" t="str">
        <f>IFERROR(_xll.qlRateHelperPillarDate(N33,Trigger),"--")</f>
        <v>--</v>
      </c>
      <c r="X33" s="4" t="str">
        <f t="shared" si="4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0"/>
        <v>#N/A</v>
      </c>
      <c r="AK33" s="80" t="e">
        <v>#N/A</v>
      </c>
      <c r="AL33" s="161" t="e">
        <f t="shared" si="1"/>
        <v>#N/A</v>
      </c>
    </row>
    <row r="34" spans="1:38" ht="11.25" customHeight="1" x14ac:dyDescent="0.2">
      <c r="A34" s="59" t="s">
        <v>25</v>
      </c>
      <c r="B34" s="60" t="s">
        <v>61</v>
      </c>
      <c r="C34" s="61" t="s">
        <v>6</v>
      </c>
      <c r="D34" s="61" t="s">
        <v>8</v>
      </c>
      <c r="E34" s="61" t="s">
        <v>7</v>
      </c>
      <c r="F34" s="61" t="s">
        <v>125</v>
      </c>
      <c r="G34" s="61" t="str">
        <f t="shared" si="10"/>
        <v>Euribor1M</v>
      </c>
      <c r="H34" s="59" t="str">
        <f t="shared" si="11"/>
        <v>EURAB1E12Y_LCHQuote</v>
      </c>
      <c r="I34" s="154">
        <v>0</v>
      </c>
      <c r="J34" s="64"/>
      <c r="K34" s="64"/>
      <c r="L34" s="48"/>
      <c r="M34" s="10" t="str">
        <f t="shared" si="8"/>
        <v>Sw</v>
      </c>
      <c r="N34" s="94" t="str">
        <f t="shared" si="9"/>
        <v>--</v>
      </c>
      <c r="O34" s="94" t="str">
        <f t="shared" si="9"/>
        <v>--</v>
      </c>
      <c r="P34" s="146" t="str">
        <f>IFERROR(_xll.qlRateHelperQuoteName(N34,Trigger),"--")</f>
        <v>--</v>
      </c>
      <c r="Q34" s="98" t="str">
        <f>IFERROR(_xll.qlRateHelperQuoteValue($N34,Trigger),"--")</f>
        <v>--</v>
      </c>
      <c r="R34" s="141" t="b">
        <v>0</v>
      </c>
      <c r="S34" s="94">
        <v>10</v>
      </c>
      <c r="T34" s="94">
        <v>1</v>
      </c>
      <c r="U34" s="99" t="str">
        <f>IFERROR(_xll.qlRateHelperEarliestDate(N34,Trigger),"--")</f>
        <v>--</v>
      </c>
      <c r="V34" s="99" t="str">
        <f>IFERROR(_xll.qlRateHelperPillarDate(N34,Trigger),"--")</f>
        <v>--</v>
      </c>
      <c r="X34" s="4" t="str">
        <f t="shared" si="4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0"/>
        <v>#N/A</v>
      </c>
      <c r="AK34" s="80" t="e">
        <v>#N/A</v>
      </c>
      <c r="AL34" s="161" t="e">
        <f t="shared" si="1"/>
        <v>#N/A</v>
      </c>
    </row>
    <row r="35" spans="1:38" ht="11.25" customHeight="1" x14ac:dyDescent="0.2">
      <c r="A35" s="59" t="s">
        <v>25</v>
      </c>
      <c r="B35" s="60" t="s">
        <v>99</v>
      </c>
      <c r="C35" s="61" t="s">
        <v>6</v>
      </c>
      <c r="D35" s="61" t="s">
        <v>8</v>
      </c>
      <c r="E35" s="61" t="s">
        <v>7</v>
      </c>
      <c r="F35" s="61" t="s">
        <v>125</v>
      </c>
      <c r="G35" s="61" t="str">
        <f t="shared" si="10"/>
        <v>Euribor1M</v>
      </c>
      <c r="H35" s="59" t="str">
        <f t="shared" si="11"/>
        <v>EURAB1E13Y_LCHQuote</v>
      </c>
      <c r="I35" s="154">
        <v>0</v>
      </c>
      <c r="J35" s="64"/>
      <c r="K35" s="64"/>
      <c r="L35" s="48"/>
      <c r="M35" s="10" t="str">
        <f t="shared" si="8"/>
        <v>Sw</v>
      </c>
      <c r="N35" s="94" t="str">
        <f t="shared" si="9"/>
        <v>--</v>
      </c>
      <c r="O35" s="94" t="str">
        <f t="shared" si="9"/>
        <v>--</v>
      </c>
      <c r="P35" s="146" t="str">
        <f>IFERROR(_xll.qlRateHelperQuoteName(N35,Trigger),"--")</f>
        <v>--</v>
      </c>
      <c r="Q35" s="98" t="str">
        <f>IFERROR(_xll.qlRateHelperQuoteValue($N35,Trigger),"--")</f>
        <v>--</v>
      </c>
      <c r="R35" s="141" t="b">
        <v>0</v>
      </c>
      <c r="S35" s="94">
        <v>10</v>
      </c>
      <c r="T35" s="94">
        <v>1</v>
      </c>
      <c r="U35" s="99" t="str">
        <f>IFERROR(_xll.qlRateHelperEarliestDate(N35,Trigger),"--")</f>
        <v>--</v>
      </c>
      <c r="V35" s="99" t="str">
        <f>IFERROR(_xll.qlRateHelperPillarDate(N35,Trigger),"--")</f>
        <v>--</v>
      </c>
      <c r="X35" s="4" t="str">
        <f t="shared" si="4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ref="AJ35:AJ66" si="12">AF35-AI35</f>
        <v>#N/A</v>
      </c>
      <c r="AK35" s="80" t="e">
        <v>#N/A</v>
      </c>
      <c r="AL35" s="161" t="e">
        <f t="shared" ref="AL35:AL66" si="13">AG35-AK35</f>
        <v>#N/A</v>
      </c>
    </row>
    <row r="36" spans="1:38" ht="11.25" customHeight="1" x14ac:dyDescent="0.2">
      <c r="A36" s="59" t="s">
        <v>25</v>
      </c>
      <c r="B36" s="60" t="s">
        <v>100</v>
      </c>
      <c r="C36" s="61" t="s">
        <v>6</v>
      </c>
      <c r="D36" s="61" t="s">
        <v>8</v>
      </c>
      <c r="E36" s="61" t="s">
        <v>7</v>
      </c>
      <c r="F36" s="61" t="s">
        <v>125</v>
      </c>
      <c r="G36" s="61" t="str">
        <f t="shared" si="10"/>
        <v>Euribor1M</v>
      </c>
      <c r="H36" s="59" t="str">
        <f t="shared" si="11"/>
        <v>EURAB1E14Y_LCHQuote</v>
      </c>
      <c r="I36" s="154">
        <v>0</v>
      </c>
      <c r="J36" s="64"/>
      <c r="K36" s="64"/>
      <c r="L36" s="48"/>
      <c r="M36" s="10" t="str">
        <f t="shared" si="8"/>
        <v>Sw</v>
      </c>
      <c r="N36" s="94" t="str">
        <f t="shared" si="9"/>
        <v>--</v>
      </c>
      <c r="O36" s="94" t="str">
        <f t="shared" si="9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4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2"/>
        <v>#N/A</v>
      </c>
      <c r="AK36" s="80" t="e">
        <v>#N/A</v>
      </c>
      <c r="AL36" s="161" t="e">
        <f t="shared" si="13"/>
        <v>#N/A</v>
      </c>
    </row>
    <row r="37" spans="1:38" ht="11.25" customHeight="1" x14ac:dyDescent="0.2">
      <c r="A37" s="59" t="s">
        <v>25</v>
      </c>
      <c r="B37" s="60" t="s">
        <v>62</v>
      </c>
      <c r="C37" s="61" t="s">
        <v>6</v>
      </c>
      <c r="D37" s="61" t="s">
        <v>8</v>
      </c>
      <c r="E37" s="61" t="s">
        <v>7</v>
      </c>
      <c r="F37" s="61" t="s">
        <v>125</v>
      </c>
      <c r="G37" s="61" t="str">
        <f t="shared" si="10"/>
        <v>Euribor1M</v>
      </c>
      <c r="H37" s="59" t="str">
        <f t="shared" si="11"/>
        <v>EURAB1E15Y_LCHQuote</v>
      </c>
      <c r="I37" s="154">
        <v>0</v>
      </c>
      <c r="J37" s="64"/>
      <c r="K37" s="64"/>
      <c r="L37" s="48"/>
      <c r="M37" s="10" t="str">
        <f t="shared" si="8"/>
        <v>Sw</v>
      </c>
      <c r="N37" s="94" t="str">
        <f t="shared" si="9"/>
        <v>--</v>
      </c>
      <c r="O37" s="94" t="str">
        <f t="shared" si="9"/>
        <v>--</v>
      </c>
      <c r="P37" s="146" t="str">
        <f>IFERROR(_xll.qlRateHelperQuoteName(N37,Trigger),"--")</f>
        <v>--</v>
      </c>
      <c r="Q37" s="98" t="str">
        <f>IFERROR(_xll.qlRateHelperQuoteValue($N37,Trigger),"--")</f>
        <v>--</v>
      </c>
      <c r="R37" s="141" t="b">
        <v>0</v>
      </c>
      <c r="S37" s="94">
        <v>10</v>
      </c>
      <c r="T37" s="94">
        <v>1</v>
      </c>
      <c r="U37" s="99" t="str">
        <f>IFERROR(_xll.qlRateHelperEarliestDate(N37,Trigger),"--")</f>
        <v>--</v>
      </c>
      <c r="V37" s="99" t="str">
        <f>IFERROR(_xll.qlRateHelperPillarDate(N37,Trigger),"--")</f>
        <v>--</v>
      </c>
      <c r="X37" s="4" t="str">
        <f t="shared" si="4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2"/>
        <v>#N/A</v>
      </c>
      <c r="AK37" s="80" t="e">
        <v>#N/A</v>
      </c>
      <c r="AL37" s="161" t="e">
        <f t="shared" si="13"/>
        <v>#N/A</v>
      </c>
    </row>
    <row r="38" spans="1:38" ht="11.25" customHeight="1" x14ac:dyDescent="0.2">
      <c r="A38" s="59" t="s">
        <v>25</v>
      </c>
      <c r="B38" s="60" t="s">
        <v>101</v>
      </c>
      <c r="C38" s="61" t="s">
        <v>6</v>
      </c>
      <c r="D38" s="61" t="s">
        <v>8</v>
      </c>
      <c r="E38" s="61" t="s">
        <v>7</v>
      </c>
      <c r="F38" s="61" t="s">
        <v>125</v>
      </c>
      <c r="G38" s="61" t="str">
        <f t="shared" si="10"/>
        <v>Euribor1M</v>
      </c>
      <c r="H38" s="59" t="str">
        <f t="shared" si="11"/>
        <v>EURAB1E16Y_LCHQuote</v>
      </c>
      <c r="I38" s="154">
        <v>0</v>
      </c>
      <c r="J38" s="64"/>
      <c r="K38" s="64"/>
      <c r="L38" s="48"/>
      <c r="M38" s="10" t="str">
        <f t="shared" si="8"/>
        <v>Sw</v>
      </c>
      <c r="N38" s="94" t="str">
        <f t="shared" si="9"/>
        <v>--</v>
      </c>
      <c r="O38" s="94" t="str">
        <f t="shared" si="9"/>
        <v>--</v>
      </c>
      <c r="P38" s="146" t="str">
        <f>IFERROR(_xll.qlRateHelperQuoteName(N38,Trigger),"--")</f>
        <v>--</v>
      </c>
      <c r="Q38" s="98" t="str">
        <f>IFERROR(_xll.qlRateHelperQuoteValue($N38,Trigger),"--")</f>
        <v>--</v>
      </c>
      <c r="R38" s="141" t="b">
        <v>0</v>
      </c>
      <c r="S38" s="94">
        <v>10</v>
      </c>
      <c r="T38" s="94">
        <v>1</v>
      </c>
      <c r="U38" s="99" t="str">
        <f>IFERROR(_xll.qlRateHelperEarliestDate(N38,Trigger),"--")</f>
        <v>--</v>
      </c>
      <c r="V38" s="99" t="str">
        <f>IFERROR(_xll.qlRateHelperPillarDate(N38,Trigger),"--")</f>
        <v>--</v>
      </c>
      <c r="X38" s="4" t="str">
        <f t="shared" si="4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2"/>
        <v>#N/A</v>
      </c>
      <c r="AK38" s="80" t="e">
        <v>#N/A</v>
      </c>
      <c r="AL38" s="161" t="e">
        <f t="shared" si="13"/>
        <v>#N/A</v>
      </c>
    </row>
    <row r="39" spans="1:38" ht="11.25" customHeight="1" x14ac:dyDescent="0.2">
      <c r="A39" s="59" t="s">
        <v>25</v>
      </c>
      <c r="B39" s="60" t="s">
        <v>102</v>
      </c>
      <c r="C39" s="61" t="s">
        <v>6</v>
      </c>
      <c r="D39" s="61" t="s">
        <v>8</v>
      </c>
      <c r="E39" s="61" t="s">
        <v>7</v>
      </c>
      <c r="F39" s="61" t="s">
        <v>125</v>
      </c>
      <c r="G39" s="61" t="str">
        <f t="shared" si="10"/>
        <v>Euribor1M</v>
      </c>
      <c r="H39" s="59" t="str">
        <f t="shared" si="11"/>
        <v>EURAB1E17Y_LCHQuote</v>
      </c>
      <c r="I39" s="154">
        <v>0</v>
      </c>
      <c r="J39" s="64"/>
      <c r="K39" s="64"/>
      <c r="L39" s="48"/>
      <c r="M39" s="10" t="str">
        <f t="shared" si="8"/>
        <v>Sw</v>
      </c>
      <c r="N39" s="94" t="str">
        <f t="shared" si="9"/>
        <v>--</v>
      </c>
      <c r="O39" s="94" t="str">
        <f t="shared" si="9"/>
        <v>--</v>
      </c>
      <c r="P39" s="146" t="str">
        <f>IFERROR(_xll.qlRateHelperQuoteName(N39,Trigger),"--")</f>
        <v>--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 t="str">
        <f>IFERROR(_xll.qlRateHelperEarliestDate(N39,Trigger),"--")</f>
        <v>--</v>
      </c>
      <c r="V39" s="99" t="str">
        <f>IFERROR(_xll.qlRateHelperPillarDate(N39,Trigger),"--")</f>
        <v>--</v>
      </c>
      <c r="X39" s="4" t="str">
        <f t="shared" si="4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2"/>
        <v>#N/A</v>
      </c>
      <c r="AK39" s="80" t="e">
        <v>#N/A</v>
      </c>
      <c r="AL39" s="161" t="e">
        <f t="shared" si="13"/>
        <v>#N/A</v>
      </c>
    </row>
    <row r="40" spans="1:38" ht="11.25" customHeight="1" x14ac:dyDescent="0.2">
      <c r="A40" s="59" t="s">
        <v>25</v>
      </c>
      <c r="B40" s="60" t="s">
        <v>103</v>
      </c>
      <c r="C40" s="61" t="s">
        <v>6</v>
      </c>
      <c r="D40" s="61" t="s">
        <v>8</v>
      </c>
      <c r="E40" s="61" t="s">
        <v>7</v>
      </c>
      <c r="F40" s="61" t="s">
        <v>125</v>
      </c>
      <c r="G40" s="61" t="str">
        <f t="shared" si="10"/>
        <v>Euribor1M</v>
      </c>
      <c r="H40" s="59" t="str">
        <f t="shared" si="11"/>
        <v>EURAB1E18Y_LCHQuote</v>
      </c>
      <c r="I40" s="154">
        <v>0</v>
      </c>
      <c r="J40" s="64"/>
      <c r="K40" s="64"/>
      <c r="L40" s="48"/>
      <c r="M40" s="10" t="str">
        <f t="shared" si="8"/>
        <v>Sw</v>
      </c>
      <c r="N40" s="94" t="str">
        <f t="shared" si="9"/>
        <v>--</v>
      </c>
      <c r="O40" s="94" t="str">
        <f t="shared" si="9"/>
        <v>--</v>
      </c>
      <c r="P40" s="146" t="str">
        <f>IFERROR(_xll.qlRateHelperQuoteName(N40,Trigger),"--")</f>
        <v>--</v>
      </c>
      <c r="Q40" s="98" t="str">
        <f>IFERROR(_xll.qlRateHelperQuoteValue($N40,Trigger),"--")</f>
        <v>--</v>
      </c>
      <c r="R40" s="141" t="b">
        <v>0</v>
      </c>
      <c r="S40" s="94">
        <v>10</v>
      </c>
      <c r="T40" s="94">
        <v>1</v>
      </c>
      <c r="U40" s="99" t="str">
        <f>IFERROR(_xll.qlRateHelperEarliestDate(N40,Trigger),"--")</f>
        <v>--</v>
      </c>
      <c r="V40" s="99" t="str">
        <f>IFERROR(_xll.qlRateHelperPillarDate(N40,Trigger),"--")</f>
        <v>--</v>
      </c>
      <c r="X40" s="4" t="str">
        <f t="shared" si="4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2"/>
        <v>#N/A</v>
      </c>
      <c r="AK40" s="80" t="e">
        <v>#N/A</v>
      </c>
      <c r="AL40" s="161" t="e">
        <f t="shared" si="13"/>
        <v>#N/A</v>
      </c>
    </row>
    <row r="41" spans="1:38" ht="11.25" customHeight="1" x14ac:dyDescent="0.2">
      <c r="A41" s="59" t="s">
        <v>25</v>
      </c>
      <c r="B41" s="60" t="s">
        <v>104</v>
      </c>
      <c r="C41" s="61" t="s">
        <v>6</v>
      </c>
      <c r="D41" s="61" t="s">
        <v>8</v>
      </c>
      <c r="E41" s="61" t="s">
        <v>7</v>
      </c>
      <c r="F41" s="61" t="s">
        <v>125</v>
      </c>
      <c r="G41" s="61" t="str">
        <f t="shared" si="10"/>
        <v>Euribor1M</v>
      </c>
      <c r="H41" s="59" t="str">
        <f t="shared" si="11"/>
        <v>EURAB1E19Y_LCHQuote</v>
      </c>
      <c r="I41" s="154">
        <v>0</v>
      </c>
      <c r="J41" s="64"/>
      <c r="K41" s="64"/>
      <c r="M41" s="10" t="str">
        <f t="shared" si="8"/>
        <v>Sw</v>
      </c>
      <c r="N41" s="94" t="str">
        <f t="shared" si="9"/>
        <v>--</v>
      </c>
      <c r="O41" s="94" t="str">
        <f t="shared" si="9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4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2"/>
        <v>#N/A</v>
      </c>
      <c r="AK41" s="80" t="e">
        <v>#N/A</v>
      </c>
      <c r="AL41" s="161" t="e">
        <f t="shared" si="13"/>
        <v>#N/A</v>
      </c>
    </row>
    <row r="42" spans="1:38" ht="11.25" customHeight="1" x14ac:dyDescent="0.2">
      <c r="A42" s="59" t="s">
        <v>25</v>
      </c>
      <c r="B42" s="60" t="s">
        <v>63</v>
      </c>
      <c r="C42" s="61" t="s">
        <v>6</v>
      </c>
      <c r="D42" s="61" t="s">
        <v>8</v>
      </c>
      <c r="E42" s="61" t="s">
        <v>7</v>
      </c>
      <c r="F42" s="61" t="s">
        <v>125</v>
      </c>
      <c r="G42" s="61" t="str">
        <f t="shared" si="10"/>
        <v>Euribor1M</v>
      </c>
      <c r="H42" s="59" t="str">
        <f t="shared" si="11"/>
        <v>EURAB1E20Y_LCHQuote</v>
      </c>
      <c r="I42" s="154">
        <v>0</v>
      </c>
      <c r="J42" s="64"/>
      <c r="K42" s="64"/>
      <c r="M42" s="10" t="str">
        <f t="shared" si="8"/>
        <v>Sw</v>
      </c>
      <c r="N42" s="94" t="str">
        <f t="shared" si="9"/>
        <v>--</v>
      </c>
      <c r="O42" s="94" t="str">
        <f t="shared" si="9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4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2"/>
        <v>#N/A</v>
      </c>
      <c r="AK42" s="80" t="e">
        <v>#N/A</v>
      </c>
      <c r="AL42" s="161" t="e">
        <f t="shared" si="13"/>
        <v>#N/A</v>
      </c>
    </row>
    <row r="43" spans="1:38" ht="11.25" customHeight="1" x14ac:dyDescent="0.2">
      <c r="A43" s="59" t="s">
        <v>25</v>
      </c>
      <c r="B43" s="60" t="s">
        <v>105</v>
      </c>
      <c r="C43" s="61" t="s">
        <v>6</v>
      </c>
      <c r="D43" s="61" t="s">
        <v>8</v>
      </c>
      <c r="E43" s="61" t="s">
        <v>7</v>
      </c>
      <c r="F43" s="61" t="s">
        <v>125</v>
      </c>
      <c r="G43" s="61" t="str">
        <f t="shared" si="10"/>
        <v>Euribor1M</v>
      </c>
      <c r="H43" s="59" t="str">
        <f t="shared" si="11"/>
        <v>EURAB1E21Y_LCHQuote</v>
      </c>
      <c r="I43" s="154">
        <v>0</v>
      </c>
      <c r="J43" s="64"/>
      <c r="K43" s="64"/>
      <c r="M43" s="10" t="str">
        <f t="shared" si="8"/>
        <v>Sw</v>
      </c>
      <c r="N43" s="94" t="str">
        <f t="shared" si="9"/>
        <v>--</v>
      </c>
      <c r="O43" s="94" t="str">
        <f t="shared" si="9"/>
        <v>--</v>
      </c>
      <c r="P43" s="146" t="str">
        <f>IFERROR(_xll.qlRateHelperQuoteName(N43,Trigger),"--")</f>
        <v>--</v>
      </c>
      <c r="Q43" s="98" t="str">
        <f>IFERROR(_xll.qlRateHelperQuoteValue($N43,Trigger),"--")</f>
        <v>--</v>
      </c>
      <c r="R43" s="141" t="b">
        <v>0</v>
      </c>
      <c r="S43" s="94">
        <v>10</v>
      </c>
      <c r="T43" s="94">
        <v>1</v>
      </c>
      <c r="U43" s="99" t="str">
        <f>IFERROR(_xll.qlRateHelperEarliestDate(N43,Trigger),"--")</f>
        <v>--</v>
      </c>
      <c r="V43" s="99" t="str">
        <f>IFERROR(_xll.qlRateHelperPillarDate(N43,Trigger),"--")</f>
        <v>--</v>
      </c>
      <c r="X43" s="4" t="str">
        <f t="shared" si="4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2"/>
        <v>#N/A</v>
      </c>
      <c r="AK43" s="80" t="e">
        <v>#N/A</v>
      </c>
      <c r="AL43" s="161" t="e">
        <f t="shared" si="13"/>
        <v>#N/A</v>
      </c>
    </row>
    <row r="44" spans="1:38" ht="11.25" customHeight="1" x14ac:dyDescent="0.2">
      <c r="A44" s="59" t="s">
        <v>25</v>
      </c>
      <c r="B44" s="60" t="s">
        <v>106</v>
      </c>
      <c r="C44" s="61" t="s">
        <v>6</v>
      </c>
      <c r="D44" s="61" t="s">
        <v>8</v>
      </c>
      <c r="E44" s="61" t="s">
        <v>7</v>
      </c>
      <c r="F44" s="61" t="s">
        <v>125</v>
      </c>
      <c r="G44" s="61" t="str">
        <f t="shared" si="10"/>
        <v>Euribor1M</v>
      </c>
      <c r="H44" s="59" t="str">
        <f t="shared" si="11"/>
        <v>EURAB1E22Y_LCHQuote</v>
      </c>
      <c r="I44" s="154">
        <v>0</v>
      </c>
      <c r="J44" s="64"/>
      <c r="K44" s="64"/>
      <c r="M44" s="10" t="str">
        <f t="shared" si="8"/>
        <v>Sw</v>
      </c>
      <c r="N44" s="94" t="str">
        <f t="shared" si="9"/>
        <v>--</v>
      </c>
      <c r="O44" s="94" t="str">
        <f t="shared" si="9"/>
        <v>--</v>
      </c>
      <c r="P44" s="146" t="str">
        <f>IFERROR(_xll.qlRateHelperQuoteName(N44,Trigger),"--")</f>
        <v>--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 t="str">
        <f>IFERROR(_xll.qlRateHelperEarliestDate(N44,Trigger),"--")</f>
        <v>--</v>
      </c>
      <c r="V44" s="99" t="str">
        <f>IFERROR(_xll.qlRateHelperPillarDate(N44,Trigger),"--")</f>
        <v>--</v>
      </c>
      <c r="X44" s="4" t="str">
        <f t="shared" si="4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2"/>
        <v>#N/A</v>
      </c>
      <c r="AK44" s="80" t="e">
        <v>#N/A</v>
      </c>
      <c r="AL44" s="161" t="e">
        <f t="shared" si="13"/>
        <v>#N/A</v>
      </c>
    </row>
    <row r="45" spans="1:38" ht="11.25" customHeight="1" x14ac:dyDescent="0.2">
      <c r="A45" s="59" t="s">
        <v>25</v>
      </c>
      <c r="B45" s="60" t="s">
        <v>107</v>
      </c>
      <c r="C45" s="61" t="s">
        <v>6</v>
      </c>
      <c r="D45" s="61" t="s">
        <v>8</v>
      </c>
      <c r="E45" s="61" t="s">
        <v>7</v>
      </c>
      <c r="F45" s="61" t="s">
        <v>125</v>
      </c>
      <c r="G45" s="61" t="str">
        <f t="shared" si="10"/>
        <v>Euribor1M</v>
      </c>
      <c r="H45" s="59" t="str">
        <f t="shared" si="11"/>
        <v>EURAB1E23Y_LCHQuote</v>
      </c>
      <c r="I45" s="154">
        <v>0</v>
      </c>
      <c r="J45" s="64"/>
      <c r="K45" s="64"/>
      <c r="M45" s="10" t="str">
        <f t="shared" si="8"/>
        <v>Sw</v>
      </c>
      <c r="N45" s="94" t="str">
        <f t="shared" si="9"/>
        <v>--</v>
      </c>
      <c r="O45" s="94" t="str">
        <f t="shared" si="9"/>
        <v>--</v>
      </c>
      <c r="P45" s="146" t="str">
        <f>IFERROR(_xll.qlRateHelperQuoteName(N45,Trigger),"--")</f>
        <v>--</v>
      </c>
      <c r="Q45" s="98" t="str">
        <f>IFERROR(_xll.qlRateHelperQuoteValue($N45,Trigger),"--")</f>
        <v>--</v>
      </c>
      <c r="R45" s="141" t="b">
        <v>0</v>
      </c>
      <c r="S45" s="94">
        <v>10</v>
      </c>
      <c r="T45" s="94">
        <v>1</v>
      </c>
      <c r="U45" s="99" t="str">
        <f>IFERROR(_xll.qlRateHelperEarliestDate(N45,Trigger),"--")</f>
        <v>--</v>
      </c>
      <c r="V45" s="99" t="str">
        <f>IFERROR(_xll.qlRateHelperPillarDate(N45,Trigger),"--")</f>
        <v>--</v>
      </c>
      <c r="X45" s="4" t="str">
        <f t="shared" si="4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2"/>
        <v>#N/A</v>
      </c>
      <c r="AK45" s="80" t="e">
        <v>#N/A</v>
      </c>
      <c r="AL45" s="161" t="e">
        <f t="shared" si="13"/>
        <v>#N/A</v>
      </c>
    </row>
    <row r="46" spans="1:38" ht="11.25" customHeight="1" x14ac:dyDescent="0.2">
      <c r="A46" s="59" t="s">
        <v>25</v>
      </c>
      <c r="B46" s="60" t="s">
        <v>108</v>
      </c>
      <c r="C46" s="61" t="s">
        <v>6</v>
      </c>
      <c r="D46" s="61" t="s">
        <v>8</v>
      </c>
      <c r="E46" s="61" t="s">
        <v>7</v>
      </c>
      <c r="F46" s="61" t="s">
        <v>125</v>
      </c>
      <c r="G46" s="61" t="str">
        <f t="shared" si="10"/>
        <v>Euribor1M</v>
      </c>
      <c r="H46" s="59" t="str">
        <f t="shared" si="11"/>
        <v>EURAB1E24Y_LCHQuote</v>
      </c>
      <c r="I46" s="154">
        <v>0</v>
      </c>
      <c r="J46" s="64"/>
      <c r="K46" s="64"/>
      <c r="M46" s="10" t="str">
        <f t="shared" si="8"/>
        <v>Sw</v>
      </c>
      <c r="N46" s="94" t="str">
        <f t="shared" si="9"/>
        <v>--</v>
      </c>
      <c r="O46" s="94" t="str">
        <f t="shared" si="9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4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2"/>
        <v>#N/A</v>
      </c>
      <c r="AK46" s="80" t="e">
        <v>#N/A</v>
      </c>
      <c r="AL46" s="161" t="e">
        <f t="shared" si="13"/>
        <v>#N/A</v>
      </c>
    </row>
    <row r="47" spans="1:38" ht="11.25" customHeight="1" x14ac:dyDescent="0.2">
      <c r="A47" s="59" t="s">
        <v>25</v>
      </c>
      <c r="B47" s="60" t="s">
        <v>64</v>
      </c>
      <c r="C47" s="61" t="s">
        <v>6</v>
      </c>
      <c r="D47" s="61" t="s">
        <v>8</v>
      </c>
      <c r="E47" s="61" t="s">
        <v>7</v>
      </c>
      <c r="F47" s="61" t="s">
        <v>125</v>
      </c>
      <c r="G47" s="61" t="str">
        <f t="shared" si="10"/>
        <v>Euribor1M</v>
      </c>
      <c r="H47" s="59" t="str">
        <f t="shared" si="11"/>
        <v>EURAB1E25Y_LCHQuote</v>
      </c>
      <c r="I47" s="154">
        <v>0</v>
      </c>
      <c r="J47" s="64"/>
      <c r="K47" s="64"/>
      <c r="M47" s="10" t="str">
        <f t="shared" si="8"/>
        <v>Sw</v>
      </c>
      <c r="N47" s="94" t="str">
        <f t="shared" si="9"/>
        <v>--</v>
      </c>
      <c r="O47" s="94" t="str">
        <f t="shared" si="9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4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2"/>
        <v>#N/A</v>
      </c>
      <c r="AK47" s="80" t="e">
        <v>#N/A</v>
      </c>
      <c r="AL47" s="161" t="e">
        <f t="shared" si="13"/>
        <v>#N/A</v>
      </c>
    </row>
    <row r="48" spans="1:38" ht="11.25" customHeight="1" x14ac:dyDescent="0.2">
      <c r="A48" s="59" t="s">
        <v>25</v>
      </c>
      <c r="B48" s="60" t="s">
        <v>109</v>
      </c>
      <c r="C48" s="61" t="s">
        <v>6</v>
      </c>
      <c r="D48" s="61" t="s">
        <v>8</v>
      </c>
      <c r="E48" s="61" t="s">
        <v>7</v>
      </c>
      <c r="F48" s="61" t="s">
        <v>125</v>
      </c>
      <c r="G48" s="61" t="str">
        <f t="shared" si="10"/>
        <v>Euribor1M</v>
      </c>
      <c r="H48" s="59" t="str">
        <f t="shared" si="11"/>
        <v>EURAB1E26Y_LCHQuote</v>
      </c>
      <c r="I48" s="154">
        <v>0</v>
      </c>
      <c r="J48" s="64"/>
      <c r="K48" s="64"/>
      <c r="M48" s="10" t="str">
        <f t="shared" si="8"/>
        <v>Sw</v>
      </c>
      <c r="N48" s="94" t="str">
        <f t="shared" si="9"/>
        <v>--</v>
      </c>
      <c r="O48" s="94" t="str">
        <f t="shared" si="9"/>
        <v>--</v>
      </c>
      <c r="P48" s="146" t="str">
        <f>IFERROR(_xll.qlRateHelperQuoteName(N48,Trigger),"--")</f>
        <v>--</v>
      </c>
      <c r="Q48" s="98" t="str">
        <f>IFERROR(_xll.qlRateHelperQuoteValue($N48,Trigger),"--")</f>
        <v>--</v>
      </c>
      <c r="R48" s="141" t="b">
        <v>0</v>
      </c>
      <c r="S48" s="94">
        <v>10</v>
      </c>
      <c r="T48" s="94">
        <v>1</v>
      </c>
      <c r="U48" s="99" t="str">
        <f>IFERROR(_xll.qlRateHelperEarliestDate(N48,Trigger),"--")</f>
        <v>--</v>
      </c>
      <c r="V48" s="99" t="str">
        <f>IFERROR(_xll.qlRateHelperPillarDate(N48,Trigger),"--")</f>
        <v>--</v>
      </c>
      <c r="X48" s="4" t="str">
        <f t="shared" si="4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2"/>
        <v>#N/A</v>
      </c>
      <c r="AK48" s="80" t="e">
        <v>#N/A</v>
      </c>
      <c r="AL48" s="161" t="e">
        <f t="shared" si="13"/>
        <v>#N/A</v>
      </c>
    </row>
    <row r="49" spans="1:38" ht="11.25" customHeight="1" x14ac:dyDescent="0.2">
      <c r="A49" s="59" t="s">
        <v>25</v>
      </c>
      <c r="B49" s="60" t="s">
        <v>65</v>
      </c>
      <c r="C49" s="61" t="s">
        <v>6</v>
      </c>
      <c r="D49" s="61" t="s">
        <v>8</v>
      </c>
      <c r="E49" s="61" t="s">
        <v>7</v>
      </c>
      <c r="F49" s="61" t="s">
        <v>125</v>
      </c>
      <c r="G49" s="61" t="str">
        <f t="shared" si="10"/>
        <v>Euribor1M</v>
      </c>
      <c r="H49" s="59" t="str">
        <f t="shared" si="11"/>
        <v>EURAB1E27Y_LCHQuote</v>
      </c>
      <c r="I49" s="154">
        <v>0</v>
      </c>
      <c r="J49" s="64"/>
      <c r="K49" s="64"/>
      <c r="M49" s="10" t="str">
        <f t="shared" si="8"/>
        <v>Sw</v>
      </c>
      <c r="N49" s="94" t="str">
        <f t="shared" si="9"/>
        <v>--</v>
      </c>
      <c r="O49" s="94" t="str">
        <f t="shared" si="9"/>
        <v>--</v>
      </c>
      <c r="P49" s="146" t="str">
        <f>IFERROR(_xll.qlRateHelperQuoteName(N49,Trigger),"--")</f>
        <v>--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 t="str">
        <f>IFERROR(_xll.qlRateHelperEarliestDate(N49,Trigger),"--")</f>
        <v>--</v>
      </c>
      <c r="V49" s="99" t="str">
        <f>IFERROR(_xll.qlRateHelperPillarDate(N49,Trigger),"--")</f>
        <v>--</v>
      </c>
      <c r="X49" s="4" t="str">
        <f t="shared" si="4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2"/>
        <v>#N/A</v>
      </c>
      <c r="AK49" s="80" t="e">
        <v>#N/A</v>
      </c>
      <c r="AL49" s="161" t="e">
        <f t="shared" si="13"/>
        <v>#N/A</v>
      </c>
    </row>
    <row r="50" spans="1:38" ht="11.25" customHeight="1" x14ac:dyDescent="0.2">
      <c r="A50" s="59" t="s">
        <v>25</v>
      </c>
      <c r="B50" s="60" t="s">
        <v>110</v>
      </c>
      <c r="C50" s="61" t="s">
        <v>6</v>
      </c>
      <c r="D50" s="61" t="s">
        <v>8</v>
      </c>
      <c r="E50" s="61" t="s">
        <v>7</v>
      </c>
      <c r="F50" s="61" t="s">
        <v>125</v>
      </c>
      <c r="G50" s="61" t="str">
        <f t="shared" si="10"/>
        <v>Euribor1M</v>
      </c>
      <c r="H50" s="59" t="str">
        <f t="shared" si="11"/>
        <v>EURAB1E28Y_LCHQuote</v>
      </c>
      <c r="I50" s="154">
        <v>0</v>
      </c>
      <c r="J50" s="64"/>
      <c r="K50" s="64"/>
      <c r="M50" s="10" t="str">
        <f t="shared" si="8"/>
        <v>Sw</v>
      </c>
      <c r="N50" s="94" t="str">
        <f t="shared" si="9"/>
        <v>--</v>
      </c>
      <c r="O50" s="94" t="str">
        <f t="shared" si="9"/>
        <v>--</v>
      </c>
      <c r="P50" s="146" t="str">
        <f>IFERROR(_xll.qlRateHelperQuoteName(N50,Trigger),"--")</f>
        <v>--</v>
      </c>
      <c r="Q50" s="98" t="str">
        <f>IFERROR(_xll.qlRateHelperQuoteValue($N50,Trigger),"--")</f>
        <v>--</v>
      </c>
      <c r="R50" s="141" t="b">
        <v>0</v>
      </c>
      <c r="S50" s="94">
        <v>10</v>
      </c>
      <c r="T50" s="94">
        <v>1</v>
      </c>
      <c r="U50" s="99" t="str">
        <f>IFERROR(_xll.qlRateHelperEarliestDate(N50,Trigger),"--")</f>
        <v>--</v>
      </c>
      <c r="V50" s="99" t="str">
        <f>IFERROR(_xll.qlRateHelperPillarDate(N50,Trigger),"--")</f>
        <v>--</v>
      </c>
      <c r="X50" s="4" t="str">
        <f t="shared" si="4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2"/>
        <v>#N/A</v>
      </c>
      <c r="AK50" s="80" t="e">
        <v>#N/A</v>
      </c>
      <c r="AL50" s="161" t="e">
        <f t="shared" si="13"/>
        <v>#N/A</v>
      </c>
    </row>
    <row r="51" spans="1:38" ht="11.25" customHeight="1" x14ac:dyDescent="0.2">
      <c r="A51" s="59" t="s">
        <v>25</v>
      </c>
      <c r="B51" s="60" t="s">
        <v>111</v>
      </c>
      <c r="C51" s="61" t="s">
        <v>6</v>
      </c>
      <c r="D51" s="61" t="s">
        <v>8</v>
      </c>
      <c r="E51" s="61" t="s">
        <v>7</v>
      </c>
      <c r="F51" s="61" t="s">
        <v>125</v>
      </c>
      <c r="G51" s="61" t="str">
        <f t="shared" si="10"/>
        <v>Euribor1M</v>
      </c>
      <c r="H51" s="59" t="str">
        <f t="shared" si="11"/>
        <v>EURAB1E29Y_LCHQuote</v>
      </c>
      <c r="I51" s="154">
        <v>0</v>
      </c>
      <c r="J51" s="64"/>
      <c r="K51" s="64"/>
      <c r="M51" s="10" t="str">
        <f t="shared" si="8"/>
        <v>Sw</v>
      </c>
      <c r="N51" s="94" t="str">
        <f t="shared" si="9"/>
        <v>--</v>
      </c>
      <c r="O51" s="94" t="str">
        <f t="shared" si="9"/>
        <v>--</v>
      </c>
      <c r="P51" s="146" t="str">
        <f>IFERROR(_xll.qlRateHelperQuoteName(N51,Trigger),"--")</f>
        <v>--</v>
      </c>
      <c r="Q51" s="98" t="str">
        <f>IFERROR(_xll.qlRateHelperQuoteValue($N51,Trigger),"--")</f>
        <v>--</v>
      </c>
      <c r="R51" s="141" t="b">
        <v>0</v>
      </c>
      <c r="S51" s="94">
        <v>10</v>
      </c>
      <c r="T51" s="94">
        <v>1</v>
      </c>
      <c r="U51" s="99" t="str">
        <f>IFERROR(_xll.qlRateHelperEarliestDate(N51,Trigger),"--")</f>
        <v>--</v>
      </c>
      <c r="V51" s="99" t="str">
        <f>IFERROR(_xll.qlRateHelperPillarDate(N51,Trigger),"--")</f>
        <v>--</v>
      </c>
      <c r="X51" s="4" t="str">
        <f t="shared" si="4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2"/>
        <v>#N/A</v>
      </c>
      <c r="AK51" s="80" t="e">
        <v>#N/A</v>
      </c>
      <c r="AL51" s="161" t="e">
        <f t="shared" si="13"/>
        <v>#N/A</v>
      </c>
    </row>
    <row r="52" spans="1:38" ht="11.25" customHeight="1" x14ac:dyDescent="0.2">
      <c r="A52" s="59" t="s">
        <v>25</v>
      </c>
      <c r="B52" s="60" t="s">
        <v>66</v>
      </c>
      <c r="C52" s="61" t="s">
        <v>6</v>
      </c>
      <c r="D52" s="61" t="s">
        <v>8</v>
      </c>
      <c r="E52" s="61" t="s">
        <v>7</v>
      </c>
      <c r="F52" s="61" t="s">
        <v>125</v>
      </c>
      <c r="G52" s="61" t="str">
        <f t="shared" si="10"/>
        <v>Euribor1M</v>
      </c>
      <c r="H52" s="59" t="str">
        <f t="shared" si="11"/>
        <v>EURAB1E30Y_LCHQuote</v>
      </c>
      <c r="I52" s="154">
        <v>0</v>
      </c>
      <c r="J52" s="64"/>
      <c r="K52" s="64"/>
      <c r="M52" s="10" t="str">
        <f t="shared" si="8"/>
        <v>Sw</v>
      </c>
      <c r="N52" s="94" t="str">
        <f t="shared" si="9"/>
        <v>--</v>
      </c>
      <c r="O52" s="94" t="str">
        <f t="shared" si="9"/>
        <v>--</v>
      </c>
      <c r="P52" s="146" t="str">
        <f>IFERROR(_xll.qlRateHelperQuoteName(N52,Trigger),"--")</f>
        <v>--</v>
      </c>
      <c r="Q52" s="98" t="str">
        <f>IFERROR(_xll.qlRateHelperQuoteValue($N52,Trigger),"--")</f>
        <v>--</v>
      </c>
      <c r="R52" s="141" t="b">
        <v>0</v>
      </c>
      <c r="S52" s="94">
        <v>10</v>
      </c>
      <c r="T52" s="94">
        <v>1</v>
      </c>
      <c r="U52" s="99" t="str">
        <f>IFERROR(_xll.qlRateHelperEarliestDate(N52,Trigger),"--")</f>
        <v>--</v>
      </c>
      <c r="V52" s="99" t="str">
        <f>IFERROR(_xll.qlRateHelperPillarDate(N52,Trigger),"--")</f>
        <v>--</v>
      </c>
      <c r="X52" s="4" t="str">
        <f t="shared" si="4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9" t="e">
        <v>#N/A</v>
      </c>
      <c r="AI52" s="170" t="e">
        <v>#N/A</v>
      </c>
      <c r="AJ52" s="172" t="e">
        <f t="shared" si="12"/>
        <v>#N/A</v>
      </c>
      <c r="AK52" s="80" t="e">
        <v>#N/A</v>
      </c>
      <c r="AL52" s="161" t="e">
        <f t="shared" si="13"/>
        <v>#N/A</v>
      </c>
    </row>
    <row r="53" spans="1:38" ht="11.25" customHeight="1" x14ac:dyDescent="0.2">
      <c r="A53" s="59" t="s">
        <v>25</v>
      </c>
      <c r="B53" s="60" t="s">
        <v>67</v>
      </c>
      <c r="C53" s="61" t="s">
        <v>6</v>
      </c>
      <c r="D53" s="61" t="s">
        <v>8</v>
      </c>
      <c r="E53" s="61" t="s">
        <v>7</v>
      </c>
      <c r="F53" s="61" t="s">
        <v>125</v>
      </c>
      <c r="G53" s="61" t="str">
        <f t="shared" si="10"/>
        <v>Euribor1M</v>
      </c>
      <c r="H53" s="59" t="str">
        <f t="shared" si="11"/>
        <v>EURAB1E35Y_LCHQuote</v>
      </c>
      <c r="I53" s="154">
        <v>0</v>
      </c>
      <c r="J53" s="64"/>
      <c r="K53" s="64"/>
      <c r="M53" s="68" t="str">
        <f t="shared" ref="M53" si="14">A59</f>
        <v>BasSw</v>
      </c>
      <c r="N53" s="131" t="str">
        <f t="shared" ref="N53:O53" si="15">IF(ISBLANK(J59),"--",J59)</f>
        <v>--</v>
      </c>
      <c r="O53" s="131" t="str">
        <f t="shared" si="15"/>
        <v>--</v>
      </c>
      <c r="P53" s="145" t="str">
        <f>IFERROR(_xll.qlRateHelperQuoteName(N53,Trigger),"--")</f>
        <v>--</v>
      </c>
      <c r="Q53" s="133" t="str">
        <f>IFERROR(_xll.qlRateHelperQuoteValue($N53,Trigger),"--")</f>
        <v>--</v>
      </c>
      <c r="R53" s="137" t="b">
        <v>0</v>
      </c>
      <c r="S53" s="131">
        <v>10</v>
      </c>
      <c r="T53" s="131">
        <v>1</v>
      </c>
      <c r="U53" s="134" t="str">
        <f>IFERROR(_xll.qlRateHelperEarliestDate(N53,Trigger),"--")</f>
        <v>--</v>
      </c>
      <c r="V53" s="134" t="str">
        <f>IFERROR(_xll.qlRateHelperPillarDate(N53,Trigger),"--")</f>
        <v>--</v>
      </c>
      <c r="X53" s="4" t="str">
        <f t="shared" si="4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9" t="e">
        <v>#N/A</v>
      </c>
      <c r="AI53" s="170" t="e">
        <v>#N/A</v>
      </c>
      <c r="AJ53" s="172" t="e">
        <f t="shared" si="12"/>
        <v>#N/A</v>
      </c>
      <c r="AK53" s="80" t="e">
        <v>#N/A</v>
      </c>
      <c r="AL53" s="161" t="e">
        <f t="shared" si="13"/>
        <v>#N/A</v>
      </c>
    </row>
    <row r="54" spans="1:38" ht="11.25" customHeight="1" x14ac:dyDescent="0.2">
      <c r="A54" s="59" t="s">
        <v>25</v>
      </c>
      <c r="B54" s="60" t="s">
        <v>68</v>
      </c>
      <c r="C54" s="61" t="s">
        <v>6</v>
      </c>
      <c r="D54" s="61" t="s">
        <v>8</v>
      </c>
      <c r="E54" s="61" t="s">
        <v>7</v>
      </c>
      <c r="F54" s="61" t="s">
        <v>125</v>
      </c>
      <c r="G54" s="61" t="str">
        <f t="shared" si="10"/>
        <v>Euribor1M</v>
      </c>
      <c r="H54" s="59" t="str">
        <f t="shared" si="11"/>
        <v>EURAB1E40Y_LCHQuote</v>
      </c>
      <c r="I54" s="154">
        <v>0</v>
      </c>
      <c r="J54" s="64"/>
      <c r="K54" s="64"/>
      <c r="M54" s="10" t="str">
        <f t="shared" ref="M54:M90" si="16">A60</f>
        <v>BasSw</v>
      </c>
      <c r="N54" s="94" t="str">
        <f t="shared" ref="N54:N90" si="17">IF(ISBLANK(J60),"--",J60)</f>
        <v>--</v>
      </c>
      <c r="O54" s="94" t="str">
        <f t="shared" ref="O54:O90" si="18">IF(ISBLANK(K60),"--",K60)</f>
        <v>--</v>
      </c>
      <c r="P54" s="146" t="str">
        <f>IFERROR(_xll.qlRateHelperQuoteName(N54,Trigger),"--")</f>
        <v>--</v>
      </c>
      <c r="Q54" s="98" t="str">
        <f>IFERROR(_xll.qlRateHelperQuoteValue($N54,Trigger),"--")</f>
        <v>--</v>
      </c>
      <c r="R54" s="141" t="b">
        <v>0</v>
      </c>
      <c r="S54" s="94">
        <v>10</v>
      </c>
      <c r="T54" s="94">
        <v>1</v>
      </c>
      <c r="U54" s="99" t="str">
        <f>IFERROR(_xll.qlRateHelperEarliestDate(N54,Trigger),"--")</f>
        <v>--</v>
      </c>
      <c r="V54" s="99" t="str">
        <f>IFERROR(_xll.qlRateHelperPillarDate(N54,Trigger),"--")</f>
        <v>--</v>
      </c>
      <c r="X54" s="4" t="str">
        <f t="shared" si="4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9" t="e">
        <v>#N/A</v>
      </c>
      <c r="AI54" s="170" t="e">
        <v>#N/A</v>
      </c>
      <c r="AJ54" s="172" t="e">
        <f t="shared" si="12"/>
        <v>#N/A</v>
      </c>
      <c r="AK54" s="80" t="e">
        <v>#N/A</v>
      </c>
      <c r="AL54" s="161" t="e">
        <f t="shared" si="13"/>
        <v>#N/A</v>
      </c>
    </row>
    <row r="55" spans="1:38" ht="11.25" customHeight="1" x14ac:dyDescent="0.2">
      <c r="A55" s="59" t="s">
        <v>25</v>
      </c>
      <c r="B55" s="60" t="s">
        <v>69</v>
      </c>
      <c r="C55" s="61" t="s">
        <v>6</v>
      </c>
      <c r="D55" s="61" t="s">
        <v>8</v>
      </c>
      <c r="E55" s="61" t="s">
        <v>7</v>
      </c>
      <c r="F55" s="61" t="s">
        <v>125</v>
      </c>
      <c r="G55" s="61" t="str">
        <f t="shared" si="10"/>
        <v>Euribor1M</v>
      </c>
      <c r="H55" s="59" t="str">
        <f t="shared" si="11"/>
        <v>EURAB1E50Y_LCHQuote</v>
      </c>
      <c r="I55" s="154">
        <v>0</v>
      </c>
      <c r="J55" s="64"/>
      <c r="K55" s="64"/>
      <c r="M55" s="10" t="str">
        <f t="shared" si="16"/>
        <v>BasSw</v>
      </c>
      <c r="N55" s="94" t="str">
        <f t="shared" si="17"/>
        <v>--</v>
      </c>
      <c r="O55" s="94" t="str">
        <f t="shared" si="18"/>
        <v>--</v>
      </c>
      <c r="P55" s="146" t="str">
        <f>IFERROR(_xll.qlRateHelperQuoteName(N55,Trigger),"--")</f>
        <v>--</v>
      </c>
      <c r="Q55" s="98" t="str">
        <f>IFERROR(_xll.qlRateHelperQuoteValue($N55,Trigger),"--")</f>
        <v>--</v>
      </c>
      <c r="R55" s="141" t="b">
        <v>0</v>
      </c>
      <c r="S55" s="94">
        <v>10</v>
      </c>
      <c r="T55" s="94">
        <v>1</v>
      </c>
      <c r="U55" s="99" t="str">
        <f>IFERROR(_xll.qlRateHelperEarliestDate(N55,Trigger),"--")</f>
        <v>--</v>
      </c>
      <c r="V55" s="99" t="str">
        <f>IFERROR(_xll.qlRateHelperPillarDate(N55,Trigger),"--")</f>
        <v>--</v>
      </c>
      <c r="X55" s="4" t="str">
        <f t="shared" si="4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9" t="e">
        <v>#N/A</v>
      </c>
      <c r="AI55" s="170" t="e">
        <v>#N/A</v>
      </c>
      <c r="AJ55" s="172" t="e">
        <f t="shared" si="12"/>
        <v>#N/A</v>
      </c>
      <c r="AK55" s="80" t="e">
        <v>#N/A</v>
      </c>
      <c r="AL55" s="161" t="e">
        <f t="shared" si="13"/>
        <v>#N/A</v>
      </c>
    </row>
    <row r="56" spans="1:38" ht="11.25" customHeight="1" x14ac:dyDescent="0.2">
      <c r="A56" s="1" t="s">
        <v>25</v>
      </c>
      <c r="B56" s="8" t="s">
        <v>112</v>
      </c>
      <c r="C56" s="7" t="s">
        <v>6</v>
      </c>
      <c r="D56" s="7" t="s">
        <v>8</v>
      </c>
      <c r="E56" s="7" t="s">
        <v>7</v>
      </c>
      <c r="F56" s="7" t="s">
        <v>125</v>
      </c>
      <c r="G56" s="7" t="str">
        <f t="shared" si="10"/>
        <v>Euribor1M</v>
      </c>
      <c r="H56" s="1" t="str">
        <f t="shared" si="11"/>
        <v>EURAB1E60Y_LCHQuote</v>
      </c>
      <c r="I56" s="155">
        <v>0</v>
      </c>
      <c r="J56" s="3"/>
      <c r="K56" s="3"/>
      <c r="M56" s="10" t="str">
        <f t="shared" si="16"/>
        <v>BasSw</v>
      </c>
      <c r="N56" s="94" t="str">
        <f t="shared" si="17"/>
        <v>--</v>
      </c>
      <c r="O56" s="94" t="str">
        <f t="shared" si="18"/>
        <v>--</v>
      </c>
      <c r="P56" s="146" t="str">
        <f>IFERROR(_xll.qlRateHelperQuoteName(N56,Trigger),"--")</f>
        <v>--</v>
      </c>
      <c r="Q56" s="98" t="str">
        <f>IFERROR(_xll.qlRateHelperQuoteValue($N56,Trigger),"--")</f>
        <v>--</v>
      </c>
      <c r="R56" s="141" t="b">
        <v>0</v>
      </c>
      <c r="S56" s="94">
        <v>10</v>
      </c>
      <c r="T56" s="94">
        <v>1</v>
      </c>
      <c r="U56" s="99" t="str">
        <f>IFERROR(_xll.qlRateHelperEarliestDate(N56,Trigger),"--")</f>
        <v>--</v>
      </c>
      <c r="V56" s="99" t="str">
        <f>IFERROR(_xll.qlRateHelperPillarDate(N56,Trigger),"--")</f>
        <v>--</v>
      </c>
      <c r="X56" s="4" t="str">
        <f t="shared" si="4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9" t="e">
        <v>#N/A</v>
      </c>
      <c r="AI56" s="170" t="e">
        <v>#N/A</v>
      </c>
      <c r="AJ56" s="172" t="e">
        <f t="shared" si="12"/>
        <v>#N/A</v>
      </c>
      <c r="AK56" s="80" t="e">
        <v>#N/A</v>
      </c>
      <c r="AL56" s="161" t="e">
        <f t="shared" si="13"/>
        <v>#N/A</v>
      </c>
    </row>
    <row r="57" spans="1:38" ht="11.25" customHeight="1" x14ac:dyDescent="0.2">
      <c r="G57" s="50" t="s">
        <v>126</v>
      </c>
      <c r="H57" s="103" t="s">
        <v>130</v>
      </c>
      <c r="M57" s="10" t="str">
        <f t="shared" si="16"/>
        <v>BasSw</v>
      </c>
      <c r="N57" s="94" t="str">
        <f t="shared" si="17"/>
        <v>--</v>
      </c>
      <c r="O57" s="94" t="str">
        <f t="shared" si="18"/>
        <v>--</v>
      </c>
      <c r="P57" s="146" t="str">
        <f>IFERROR(_xll.qlRateHelperQuoteName(N57,Trigger),"--")</f>
        <v>--</v>
      </c>
      <c r="Q57" s="98" t="str">
        <f>IFERROR(_xll.qlRateHelperQuoteValue($N57,Trigger),"--")</f>
        <v>--</v>
      </c>
      <c r="R57" s="141" t="b">
        <v>0</v>
      </c>
      <c r="S57" s="94">
        <v>10</v>
      </c>
      <c r="T57" s="94">
        <v>1</v>
      </c>
      <c r="U57" s="99" t="str">
        <f>IFERROR(_xll.qlRateHelperEarliestDate(N57,Trigger),"--")</f>
        <v>--</v>
      </c>
      <c r="V57" s="99" t="str">
        <f>IFERROR(_xll.qlRateHelperPillarDate(N57,Trigger),"--")</f>
        <v>--</v>
      </c>
      <c r="X57" s="4" t="str">
        <f t="shared" si="4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9" t="e">
        <v>#N/A</v>
      </c>
      <c r="AI57" s="170" t="e">
        <v>#N/A</v>
      </c>
      <c r="AJ57" s="172" t="e">
        <f t="shared" si="12"/>
        <v>#N/A</v>
      </c>
      <c r="AK57" s="80" t="e">
        <v>#N/A</v>
      </c>
      <c r="AL57" s="161" t="e">
        <f t="shared" si="13"/>
        <v>#N/A</v>
      </c>
    </row>
    <row r="58" spans="1:38" ht="11.25" customHeight="1" x14ac:dyDescent="0.2">
      <c r="A58" s="65" t="s">
        <v>9</v>
      </c>
      <c r="B58" s="65" t="s">
        <v>29</v>
      </c>
      <c r="C58" s="65" t="s">
        <v>114</v>
      </c>
      <c r="D58" s="65" t="s">
        <v>5</v>
      </c>
      <c r="E58" s="65" t="s">
        <v>34</v>
      </c>
      <c r="F58" s="65" t="s">
        <v>115</v>
      </c>
      <c r="G58" s="65" t="s">
        <v>4</v>
      </c>
      <c r="H58" s="65" t="s">
        <v>1</v>
      </c>
      <c r="I58" s="65" t="s">
        <v>113</v>
      </c>
      <c r="J58" s="65" t="s">
        <v>150</v>
      </c>
      <c r="K58" s="65" t="s">
        <v>151</v>
      </c>
      <c r="M58" s="10" t="str">
        <f t="shared" si="16"/>
        <v>BasSw</v>
      </c>
      <c r="N58" s="94" t="str">
        <f t="shared" si="17"/>
        <v>obj_00744#0001</v>
      </c>
      <c r="O58" s="94" t="str">
        <f t="shared" si="18"/>
        <v>obj_006ff#0001</v>
      </c>
      <c r="P58" s="146" t="str">
        <f>IFERROR(_xll.qlRateHelperQuoteName(N58,Trigger),"--")</f>
        <v>EUR1E6E2Y_LCHQuote</v>
      </c>
      <c r="Q58" s="98">
        <f>IFERROR(_xll.qlRateHelperQuoteValue($N58,Trigger),"--")</f>
        <v>-9.4324999999999997E-4</v>
      </c>
      <c r="R58" s="141" t="b">
        <v>1</v>
      </c>
      <c r="S58" s="94">
        <v>10</v>
      </c>
      <c r="T58" s="94">
        <v>1</v>
      </c>
      <c r="U58" s="99">
        <f>IFERROR(_xll.qlRateHelperEarliestDate(N58,Trigger),"--")</f>
        <v>42256</v>
      </c>
      <c r="V58" s="99">
        <f>IFERROR(_xll.qlRateHelperPillarDate(N58,Trigger),"--")</f>
        <v>42989</v>
      </c>
      <c r="X58" s="4" t="str">
        <f t="shared" si="4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9" t="e">
        <v>#N/A</v>
      </c>
      <c r="AI58" s="170" t="e">
        <v>#N/A</v>
      </c>
      <c r="AJ58" s="172" t="e">
        <f t="shared" si="12"/>
        <v>#N/A</v>
      </c>
      <c r="AK58" s="80" t="e">
        <v>#N/A</v>
      </c>
      <c r="AL58" s="161" t="e">
        <f t="shared" si="13"/>
        <v>#N/A</v>
      </c>
    </row>
    <row r="59" spans="1:38" ht="11.25" customHeight="1" x14ac:dyDescent="0.2">
      <c r="A59" s="59" t="s">
        <v>118</v>
      </c>
      <c r="B59" s="60" t="s">
        <v>3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ref="G59:G96" si="19">PROPER(Currency)&amp;FamilyName&amp;Tenor</f>
        <v>Euribor1M</v>
      </c>
      <c r="H59" s="59" t="str">
        <f t="shared" ref="H59:H96" si="20">IF(LCHQuoteOverwrite,Currency&amp;"1E6E"&amp;B59&amp;LCHQuoteSuffix,Currency&amp;$G$57&amp;$H$57&amp;"BASIS"&amp;B59&amp;QuoteSuffix)</f>
        <v>EUR1E6E6M_LCHQuote</v>
      </c>
      <c r="I59" s="154">
        <v>0</v>
      </c>
      <c r="J59" s="64"/>
      <c r="K59" s="64"/>
      <c r="M59" s="10" t="str">
        <f t="shared" si="16"/>
        <v>BasSw</v>
      </c>
      <c r="N59" s="94" t="str">
        <f t="shared" si="17"/>
        <v>obj_0074c#0001</v>
      </c>
      <c r="O59" s="94" t="str">
        <f t="shared" si="18"/>
        <v>obj_0070a#0001</v>
      </c>
      <c r="P59" s="146" t="str">
        <f>IFERROR(_xll.qlRateHelperQuoteName(N59,Trigger),"--")</f>
        <v>EUR1E6E3Y_LCHQuote</v>
      </c>
      <c r="Q59" s="98">
        <f>IFERROR(_xll.qlRateHelperQuoteValue($N59,Trigger),"--")</f>
        <v>-3.9100000000000002E-4</v>
      </c>
      <c r="R59" s="141" t="b">
        <v>1</v>
      </c>
      <c r="S59" s="94">
        <v>10</v>
      </c>
      <c r="T59" s="94">
        <v>1</v>
      </c>
      <c r="U59" s="99">
        <f>IFERROR(_xll.qlRateHelperEarliestDate(N59,Trigger),"--")</f>
        <v>42256</v>
      </c>
      <c r="V59" s="99">
        <f>IFERROR(_xll.qlRateHelperPillarDate(N59,Trigger),"--")</f>
        <v>43353</v>
      </c>
      <c r="X59" s="4" t="str">
        <f t="shared" si="4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9" t="e">
        <v>#N/A</v>
      </c>
      <c r="AI59" s="170" t="e">
        <v>#N/A</v>
      </c>
      <c r="AJ59" s="172" t="e">
        <f t="shared" si="12"/>
        <v>#N/A</v>
      </c>
      <c r="AK59" s="80" t="e">
        <v>#N/A</v>
      </c>
      <c r="AL59" s="161" t="e">
        <f t="shared" si="13"/>
        <v>#N/A</v>
      </c>
    </row>
    <row r="60" spans="1:38" ht="11.25" customHeight="1" x14ac:dyDescent="0.2">
      <c r="A60" s="59" t="s">
        <v>118</v>
      </c>
      <c r="B60" s="60" t="s">
        <v>28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19"/>
        <v>Euribor1M</v>
      </c>
      <c r="H60" s="59" t="str">
        <f t="shared" ref="H60" si="21">IF(LCHQuoteOverwrite,Currency&amp;"1E6E"&amp;B60&amp;LCHQuoteSuffix,Currency&amp;$G$57&amp;$H$57&amp;"BASIS"&amp;B60&amp;QuoteSuffix)</f>
        <v>EUR1E6E1Y_LCHQuote</v>
      </c>
      <c r="I60" s="154">
        <v>0</v>
      </c>
      <c r="J60" s="64"/>
      <c r="K60" s="64"/>
      <c r="M60" s="10" t="str">
        <f t="shared" si="16"/>
        <v>BasSw</v>
      </c>
      <c r="N60" s="94" t="str">
        <f t="shared" si="17"/>
        <v>obj_00748#0001</v>
      </c>
      <c r="O60" s="94" t="str">
        <f t="shared" si="18"/>
        <v>obj_006e6#0001</v>
      </c>
      <c r="P60" s="146" t="str">
        <f>IFERROR(_xll.qlRateHelperQuoteName(N60,Trigger),"--")</f>
        <v>EUR1E6E4Y_LCHQuote</v>
      </c>
      <c r="Q60" s="98">
        <f>IFERROR(_xll.qlRateHelperQuoteValue($N60,Trigger),"--")</f>
        <v>5.2075000000000005E-4</v>
      </c>
      <c r="R60" s="141" t="b">
        <v>1</v>
      </c>
      <c r="S60" s="94">
        <v>10</v>
      </c>
      <c r="T60" s="94">
        <v>1</v>
      </c>
      <c r="U60" s="99">
        <f>IFERROR(_xll.qlRateHelperEarliestDate(N60,Trigger),"--")</f>
        <v>42256</v>
      </c>
      <c r="V60" s="99">
        <f>IFERROR(_xll.qlRateHelperPillarDate(N60,Trigger),"--")</f>
        <v>43717</v>
      </c>
      <c r="X60" s="4" t="str">
        <f t="shared" si="4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9" t="e">
        <v>#N/A</v>
      </c>
      <c r="AI60" s="170" t="e">
        <v>#N/A</v>
      </c>
      <c r="AJ60" s="172" t="e">
        <f t="shared" si="12"/>
        <v>#N/A</v>
      </c>
      <c r="AK60" s="80" t="e">
        <v>#N/A</v>
      </c>
      <c r="AL60" s="161" t="e">
        <f t="shared" si="13"/>
        <v>#N/A</v>
      </c>
    </row>
    <row r="61" spans="1:38" ht="11.25" customHeight="1" x14ac:dyDescent="0.2">
      <c r="A61" s="59" t="s">
        <v>118</v>
      </c>
      <c r="B61" s="60" t="s">
        <v>49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19"/>
        <v>Euribor1M</v>
      </c>
      <c r="H61" s="59" t="str">
        <f t="shared" si="20"/>
        <v>EUR1E6E15M_LCHQuote</v>
      </c>
      <c r="I61" s="154">
        <v>0</v>
      </c>
      <c r="J61" s="64"/>
      <c r="K61" s="64"/>
      <c r="M61" s="10" t="str">
        <f t="shared" si="16"/>
        <v>BasSw</v>
      </c>
      <c r="N61" s="94" t="str">
        <f t="shared" si="17"/>
        <v>obj_0074a#0001</v>
      </c>
      <c r="O61" s="94" t="str">
        <f t="shared" si="18"/>
        <v>obj_00703#0001</v>
      </c>
      <c r="P61" s="146" t="str">
        <f>IFERROR(_xll.qlRateHelperQuoteName(N61,Trigger),"--")</f>
        <v>EUR1E6E5Y_LCHQuote</v>
      </c>
      <c r="Q61" s="98">
        <f>IFERROR(_xll.qlRateHelperQuoteValue($N61,Trigger),"--")</f>
        <v>1.6689999999999999E-3</v>
      </c>
      <c r="R61" s="141" t="b">
        <v>1</v>
      </c>
      <c r="S61" s="94">
        <v>10</v>
      </c>
      <c r="T61" s="94">
        <v>1</v>
      </c>
      <c r="U61" s="99">
        <f>IFERROR(_xll.qlRateHelperEarliestDate(N61,Trigger),"--")</f>
        <v>42256</v>
      </c>
      <c r="V61" s="99">
        <f>IFERROR(_xll.qlRateHelperPillarDate(N61,Trigger),"--")</f>
        <v>44083</v>
      </c>
      <c r="X61" s="4" t="str">
        <f t="shared" si="4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9" t="e">
        <v>#N/A</v>
      </c>
      <c r="AI61" s="170" t="e">
        <v>#N/A</v>
      </c>
      <c r="AJ61" s="172" t="e">
        <f t="shared" si="12"/>
        <v>#N/A</v>
      </c>
      <c r="AK61" s="80" t="e">
        <v>#N/A</v>
      </c>
      <c r="AL61" s="161" t="e">
        <f t="shared" si="13"/>
        <v>#N/A</v>
      </c>
    </row>
    <row r="62" spans="1:38" ht="11.25" customHeight="1" x14ac:dyDescent="0.2">
      <c r="A62" s="59" t="s">
        <v>118</v>
      </c>
      <c r="B62" s="60" t="s">
        <v>50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19"/>
        <v>Euribor1M</v>
      </c>
      <c r="H62" s="59" t="str">
        <f t="shared" si="20"/>
        <v>EUR1E6E18M_LCHQuote</v>
      </c>
      <c r="I62" s="154">
        <v>0</v>
      </c>
      <c r="J62" s="64"/>
      <c r="K62" s="64"/>
      <c r="M62" s="10" t="str">
        <f t="shared" si="16"/>
        <v>BasSw</v>
      </c>
      <c r="N62" s="94" t="str">
        <f t="shared" si="17"/>
        <v>obj_00752#0001</v>
      </c>
      <c r="O62" s="94" t="str">
        <f t="shared" si="18"/>
        <v>obj_00723#0001</v>
      </c>
      <c r="P62" s="146" t="str">
        <f>IFERROR(_xll.qlRateHelperQuoteName(N62,Trigger),"--")</f>
        <v>EUR1E6E6Y_LCHQuote</v>
      </c>
      <c r="Q62" s="98">
        <f>IFERROR(_xll.qlRateHelperQuoteValue($N62,Trigger),"--")</f>
        <v>2.9707499999999999E-3</v>
      </c>
      <c r="R62" s="141" t="b">
        <v>1</v>
      </c>
      <c r="S62" s="94">
        <v>10</v>
      </c>
      <c r="T62" s="94">
        <v>1</v>
      </c>
      <c r="U62" s="99">
        <f>IFERROR(_xll.qlRateHelperEarliestDate(N62,Trigger),"--")</f>
        <v>42256</v>
      </c>
      <c r="V62" s="99">
        <f>IFERROR(_xll.qlRateHelperPillarDate(N62,Trigger),"--")</f>
        <v>44448</v>
      </c>
      <c r="X62" s="4" t="str">
        <f t="shared" si="4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9" t="e">
        <v>#N/A</v>
      </c>
      <c r="AI62" s="170" t="e">
        <v>#N/A</v>
      </c>
      <c r="AJ62" s="172" t="e">
        <f t="shared" si="12"/>
        <v>#N/A</v>
      </c>
      <c r="AK62" s="80" t="e">
        <v>#N/A</v>
      </c>
      <c r="AL62" s="161" t="e">
        <f t="shared" si="13"/>
        <v>#N/A</v>
      </c>
    </row>
    <row r="63" spans="1:38" ht="11.25" customHeight="1" x14ac:dyDescent="0.2">
      <c r="A63" s="59" t="s">
        <v>118</v>
      </c>
      <c r="B63" s="60" t="s">
        <v>51</v>
      </c>
      <c r="C63" s="61" t="s">
        <v>6</v>
      </c>
      <c r="D63" s="61" t="s">
        <v>8</v>
      </c>
      <c r="E63" s="61" t="s">
        <v>7</v>
      </c>
      <c r="F63" s="61" t="s">
        <v>27</v>
      </c>
      <c r="G63" s="61" t="str">
        <f t="shared" si="19"/>
        <v>Euribor1M</v>
      </c>
      <c r="H63" s="59" t="str">
        <f t="shared" si="20"/>
        <v>EUR1E6E21M_LCHQuote</v>
      </c>
      <c r="I63" s="154">
        <v>0</v>
      </c>
      <c r="J63" s="64"/>
      <c r="K63" s="64"/>
      <c r="M63" s="10" t="str">
        <f t="shared" si="16"/>
        <v>BasSw</v>
      </c>
      <c r="N63" s="94" t="str">
        <f t="shared" si="17"/>
        <v>obj_00749#0001</v>
      </c>
      <c r="O63" s="94" t="str">
        <f t="shared" si="18"/>
        <v>obj_006ef#0001</v>
      </c>
      <c r="P63" s="146" t="str">
        <f>IFERROR(_xll.qlRateHelperQuoteName(N63,Trigger),"--")</f>
        <v>EUR1E6E7Y_LCHQuote</v>
      </c>
      <c r="Q63" s="98">
        <f>IFERROR(_xll.qlRateHelperQuoteValue($N63,Trigger),"--")</f>
        <v>4.3452500000000002E-3</v>
      </c>
      <c r="R63" s="141" t="b">
        <v>1</v>
      </c>
      <c r="S63" s="94">
        <v>10</v>
      </c>
      <c r="T63" s="94">
        <v>1</v>
      </c>
      <c r="U63" s="99">
        <f>IFERROR(_xll.qlRateHelperEarliestDate(N63,Trigger),"--")</f>
        <v>42256</v>
      </c>
      <c r="V63" s="99">
        <f>IFERROR(_xll.qlRateHelperPillarDate(N63,Trigger),"--")</f>
        <v>44813</v>
      </c>
      <c r="X63" s="4" t="str">
        <f t="shared" si="4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9" t="e">
        <v>#N/A</v>
      </c>
      <c r="AI63" s="170" t="e">
        <v>#N/A</v>
      </c>
      <c r="AJ63" s="172" t="e">
        <f t="shared" si="12"/>
        <v>#N/A</v>
      </c>
      <c r="AK63" s="80" t="e">
        <v>#N/A</v>
      </c>
      <c r="AL63" s="161" t="e">
        <f t="shared" si="13"/>
        <v>#N/A</v>
      </c>
    </row>
    <row r="64" spans="1:38" ht="11.25" customHeight="1" x14ac:dyDescent="0.2">
      <c r="A64" s="59" t="s">
        <v>118</v>
      </c>
      <c r="B64" s="60" t="s">
        <v>52</v>
      </c>
      <c r="C64" s="61" t="s">
        <v>6</v>
      </c>
      <c r="D64" s="61" t="s">
        <v>8</v>
      </c>
      <c r="E64" s="61" t="s">
        <v>7</v>
      </c>
      <c r="F64" s="61" t="s">
        <v>27</v>
      </c>
      <c r="G64" s="61" t="str">
        <f t="shared" si="19"/>
        <v>Euribor1M</v>
      </c>
      <c r="H64" s="59" t="str">
        <f t="shared" si="20"/>
        <v>EUR1E6E2Y_LCHQuote</v>
      </c>
      <c r="I64" s="154">
        <v>0</v>
      </c>
      <c r="J64" s="64" t="str">
        <f>_xll.qlSwapRateHelper2(,$H64,2,$B64,Calendar,$D64,$E64,$F64,$G64,$I64,$C64,Discounting1,PillarDate,,Permanent,Trigger,ObjectOverwrite)</f>
        <v>obj_00744#0001</v>
      </c>
      <c r="K64" s="64" t="str">
        <f>_xll.qlSwapRateHelper2(,$H64,2,$B64,Calendar,$D64,$E64,$F64,$G64,$I64,$C64,Discounting2,PillarDate,,Permanent,Trigger,ObjectOverwrite)</f>
        <v>obj_006ff#0001</v>
      </c>
      <c r="M64" s="10" t="str">
        <f t="shared" si="16"/>
        <v>BasSw</v>
      </c>
      <c r="N64" s="94" t="str">
        <f t="shared" si="17"/>
        <v>obj_0074d#0001</v>
      </c>
      <c r="O64" s="94" t="str">
        <f t="shared" si="18"/>
        <v>obj_0071d#0001</v>
      </c>
      <c r="P64" s="146" t="str">
        <f>IFERROR(_xll.qlRateHelperQuoteName(N64,Trigger),"--")</f>
        <v>EUR1E6E8Y_LCHQuote</v>
      </c>
      <c r="Q64" s="98">
        <f>IFERROR(_xll.qlRateHelperQuoteValue($N64,Trigger),"--")</f>
        <v>5.69025E-3</v>
      </c>
      <c r="R64" s="141" t="b">
        <v>1</v>
      </c>
      <c r="S64" s="94">
        <v>10</v>
      </c>
      <c r="T64" s="94">
        <v>1</v>
      </c>
      <c r="U64" s="99">
        <f>IFERROR(_xll.qlRateHelperEarliestDate(N64,Trigger),"--")</f>
        <v>42256</v>
      </c>
      <c r="V64" s="99">
        <f>IFERROR(_xll.qlRateHelperPillarDate(N64,Trigger),"--")</f>
        <v>45180</v>
      </c>
      <c r="X64" s="4" t="str">
        <f t="shared" si="4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9" t="e">
        <v>#N/A</v>
      </c>
      <c r="AI64" s="170" t="e">
        <v>#N/A</v>
      </c>
      <c r="AJ64" s="172" t="e">
        <f t="shared" si="12"/>
        <v>#N/A</v>
      </c>
      <c r="AK64" s="80" t="e">
        <v>#N/A</v>
      </c>
      <c r="AL64" s="161" t="e">
        <f t="shared" si="13"/>
        <v>#N/A</v>
      </c>
    </row>
    <row r="65" spans="1:38" ht="11.25" customHeight="1" x14ac:dyDescent="0.2">
      <c r="A65" s="59" t="s">
        <v>118</v>
      </c>
      <c r="B65" s="60" t="s">
        <v>53</v>
      </c>
      <c r="C65" s="61" t="s">
        <v>6</v>
      </c>
      <c r="D65" s="61" t="s">
        <v>8</v>
      </c>
      <c r="E65" s="61" t="s">
        <v>7</v>
      </c>
      <c r="F65" s="61" t="s">
        <v>27</v>
      </c>
      <c r="G65" s="61" t="str">
        <f t="shared" si="19"/>
        <v>Euribor1M</v>
      </c>
      <c r="H65" s="59" t="str">
        <f t="shared" si="20"/>
        <v>EUR1E6E3Y_LCHQuote</v>
      </c>
      <c r="I65" s="154">
        <v>0</v>
      </c>
      <c r="J65" s="64" t="str">
        <f>_xll.qlSwapRateHelper2(,$H65,2,$B65,Calendar,$D65,$E65,$F65,$G65,$I65,$C65,Discounting1,PillarDate,,Permanent,Trigger,ObjectOverwrite)</f>
        <v>obj_0074c#0001</v>
      </c>
      <c r="K65" s="64" t="str">
        <f>_xll.qlSwapRateHelper2(,$H65,2,$B65,Calendar,$D65,$E65,$F65,$G65,$I65,$C65,Discounting2,PillarDate,,Permanent,Trigger,ObjectOverwrite)</f>
        <v>obj_0070a#0001</v>
      </c>
      <c r="M65" s="10" t="str">
        <f t="shared" si="16"/>
        <v>BasSw</v>
      </c>
      <c r="N65" s="94" t="str">
        <f t="shared" si="17"/>
        <v>obj_00743#0001</v>
      </c>
      <c r="O65" s="94" t="str">
        <f t="shared" si="18"/>
        <v>obj_00710#0001</v>
      </c>
      <c r="P65" s="146" t="str">
        <f>IFERROR(_xll.qlRateHelperQuoteName(N65,Trigger),"--")</f>
        <v>EUR1E6E9Y_LCHQuote</v>
      </c>
      <c r="Q65" s="98">
        <f>IFERROR(_xll.qlRateHelperQuoteValue($N65,Trigger),"--")</f>
        <v>6.9329999999999999E-3</v>
      </c>
      <c r="R65" s="141" t="b">
        <v>1</v>
      </c>
      <c r="S65" s="94">
        <v>10</v>
      </c>
      <c r="T65" s="94">
        <v>1</v>
      </c>
      <c r="U65" s="99">
        <f>IFERROR(_xll.qlRateHelperEarliestDate(N65,Trigger),"--")</f>
        <v>42256</v>
      </c>
      <c r="V65" s="99">
        <f>IFERROR(_xll.qlRateHelperPillarDate(N65,Trigger),"--")</f>
        <v>45544</v>
      </c>
      <c r="X65" s="4" t="str">
        <f t="shared" si="4"/>
        <v/>
      </c>
      <c r="Y65" s="4" t="e">
        <v>#N/A</v>
      </c>
      <c r="Z65" s="4" t="e">
        <v>#N/A</v>
      </c>
      <c r="AA65" s="4" t="str">
        <f>IFERROR(_xll.qlRateHelperQuoteName(Y65,Trigger),"")</f>
        <v/>
      </c>
      <c r="AB65" s="70" t="str">
        <f>IFERROR(_xll.qlRateHelperRate(Y65,Trigger),"")</f>
        <v/>
      </c>
      <c r="AC65" s="104" t="str">
        <f>IF(ISERROR(_xll.qlSwapRateHelperSpread($Y65)),IF(ISERROR(_xll.qlFuturesRateHelperConvexityAdjustment($Y65)),"",_xll.qlFuturesRateHelperConvexityAdjustment($Y65)),_xll.qlSwapRateHelperSpread($Y65))</f>
        <v/>
      </c>
      <c r="AD65" s="5" t="str">
        <f>IFERROR(_xll.qlRateHelperEarliestDate(Y65,Trigger),"")</f>
        <v/>
      </c>
      <c r="AE65" s="5" t="str">
        <f>IFERROR(_xll.qlRateHelperPillarDate(Y65,Trigger),"")</f>
        <v/>
      </c>
      <c r="AF65" s="70" t="e">
        <v>#N/A</v>
      </c>
      <c r="AG65" s="77" t="e">
        <v>#N/A</v>
      </c>
      <c r="AH65" s="169" t="e">
        <v>#N/A</v>
      </c>
      <c r="AI65" s="170" t="e">
        <v>#N/A</v>
      </c>
      <c r="AJ65" s="172" t="e">
        <f t="shared" si="12"/>
        <v>#N/A</v>
      </c>
      <c r="AK65" s="80" t="e">
        <v>#N/A</v>
      </c>
      <c r="AL65" s="161" t="e">
        <f t="shared" si="13"/>
        <v>#N/A</v>
      </c>
    </row>
    <row r="66" spans="1:38" ht="11.25" customHeight="1" x14ac:dyDescent="0.2">
      <c r="A66" s="59" t="s">
        <v>118</v>
      </c>
      <c r="B66" s="60" t="s">
        <v>54</v>
      </c>
      <c r="C66" s="61" t="s">
        <v>6</v>
      </c>
      <c r="D66" s="61" t="s">
        <v>8</v>
      </c>
      <c r="E66" s="61" t="s">
        <v>7</v>
      </c>
      <c r="F66" s="61" t="s">
        <v>27</v>
      </c>
      <c r="G66" s="61" t="str">
        <f t="shared" si="19"/>
        <v>Euribor1M</v>
      </c>
      <c r="H66" s="59" t="str">
        <f t="shared" si="20"/>
        <v>EUR1E6E4Y_LCHQuote</v>
      </c>
      <c r="I66" s="154">
        <v>0</v>
      </c>
      <c r="J66" s="64" t="str">
        <f>_xll.qlSwapRateHelper2(,$H66,2,$B66,Calendar,$D66,$E66,$F66,$G66,$I66,$C66,Discounting1,PillarDate,,Permanent,Trigger,ObjectOverwrite)</f>
        <v>obj_00748#0001</v>
      </c>
      <c r="K66" s="64" t="str">
        <f>_xll.qlSwapRateHelper2(,$H66,2,$B66,Calendar,$D66,$E66,$F66,$G66,$I66,$C66,Discounting2,PillarDate,,Permanent,Trigger,ObjectOverwrite)</f>
        <v>obj_006e6#0001</v>
      </c>
      <c r="M66" s="10" t="str">
        <f t="shared" si="16"/>
        <v>BasSw</v>
      </c>
      <c r="N66" s="94" t="str">
        <f t="shared" si="17"/>
        <v>obj_00759#0001</v>
      </c>
      <c r="O66" s="94" t="str">
        <f t="shared" si="18"/>
        <v>obj_006ec#0001</v>
      </c>
      <c r="P66" s="146" t="str">
        <f>IFERROR(_xll.qlRateHelperQuoteName(N66,Trigger),"--")</f>
        <v>EUR1E6E10Y_LCHQuote</v>
      </c>
      <c r="Q66" s="98">
        <f>IFERROR(_xll.qlRateHelperQuoteValue($N66,Trigger),"--")</f>
        <v>8.0324999999999997E-3</v>
      </c>
      <c r="R66" s="141" t="b">
        <v>1</v>
      </c>
      <c r="S66" s="94">
        <v>10</v>
      </c>
      <c r="T66" s="94">
        <v>1</v>
      </c>
      <c r="U66" s="99">
        <f>IFERROR(_xll.qlRateHelperEarliestDate(N66,Trigger),"--")</f>
        <v>42256</v>
      </c>
      <c r="V66" s="99">
        <f>IFERROR(_xll.qlRateHelperPillarDate(N66,Trigger),"--")</f>
        <v>45909</v>
      </c>
      <c r="X66" s="4" t="str">
        <f t="shared" si="4"/>
        <v/>
      </c>
      <c r="Y66" s="4" t="e">
        <v>#N/A</v>
      </c>
      <c r="Z66" s="4" t="e">
        <v>#N/A</v>
      </c>
      <c r="AA66" s="4" t="str">
        <f>IFERROR(_xll.qlRateHelperQuoteName(Y66,Trigger),"")</f>
        <v/>
      </c>
      <c r="AB66" s="70" t="str">
        <f>IFERROR(_xll.qlRateHelperRate(Y66,Trigger),"")</f>
        <v/>
      </c>
      <c r="AC66" s="104" t="str">
        <f>IF(ISERROR(_xll.qlSwapRateHelperSpread($Y66)),IF(ISERROR(_xll.qlFuturesRateHelperConvexityAdjustment($Y66)),"",_xll.qlFuturesRateHelperConvexityAdjustment($Y66)),_xll.qlSwapRateHelperSpread($Y66))</f>
        <v/>
      </c>
      <c r="AD66" s="5" t="str">
        <f>IFERROR(_xll.qlRateHelperEarliestDate(Y66,Trigger),"")</f>
        <v/>
      </c>
      <c r="AE66" s="5" t="str">
        <f>IFERROR(_xll.qlRateHelperPillarDate(Y66,Trigger),"")</f>
        <v/>
      </c>
      <c r="AF66" s="70" t="e">
        <v>#N/A</v>
      </c>
      <c r="AG66" s="77" t="e">
        <v>#N/A</v>
      </c>
      <c r="AH66" s="169" t="e">
        <v>#N/A</v>
      </c>
      <c r="AI66" s="170" t="e">
        <v>#N/A</v>
      </c>
      <c r="AJ66" s="172" t="e">
        <f t="shared" si="12"/>
        <v>#N/A</v>
      </c>
      <c r="AK66" s="80" t="e">
        <v>#N/A</v>
      </c>
      <c r="AL66" s="161" t="e">
        <f t="shared" si="13"/>
        <v>#N/A</v>
      </c>
    </row>
    <row r="67" spans="1:38" ht="11.25" customHeight="1" x14ac:dyDescent="0.2">
      <c r="A67" s="59" t="s">
        <v>118</v>
      </c>
      <c r="B67" s="60" t="s">
        <v>55</v>
      </c>
      <c r="C67" s="61" t="s">
        <v>6</v>
      </c>
      <c r="D67" s="61" t="s">
        <v>8</v>
      </c>
      <c r="E67" s="61" t="s">
        <v>7</v>
      </c>
      <c r="F67" s="61" t="s">
        <v>27</v>
      </c>
      <c r="G67" s="61" t="str">
        <f t="shared" si="19"/>
        <v>Euribor1M</v>
      </c>
      <c r="H67" s="59" t="str">
        <f t="shared" si="20"/>
        <v>EUR1E6E5Y_LCHQuote</v>
      </c>
      <c r="I67" s="154">
        <v>0</v>
      </c>
      <c r="J67" s="64" t="str">
        <f>_xll.qlSwapRateHelper2(,$H67,2,$B67,Calendar,$D67,$E67,$F67,$G67,$I67,$C67,Discounting1,PillarDate,,Permanent,Trigger,ObjectOverwrite)</f>
        <v>obj_0074a#0001</v>
      </c>
      <c r="K67" s="64" t="str">
        <f>_xll.qlSwapRateHelper2(,$H67,2,$B67,Calendar,$D67,$E67,$F67,$G67,$I67,$C67,Discounting2,PillarDate,,Permanent,Trigger,ObjectOverwrite)</f>
        <v>obj_00703#0001</v>
      </c>
      <c r="M67" s="10" t="str">
        <f t="shared" si="16"/>
        <v>BasSw</v>
      </c>
      <c r="N67" s="94" t="str">
        <f t="shared" si="17"/>
        <v>--</v>
      </c>
      <c r="O67" s="94" t="str">
        <f t="shared" si="18"/>
        <v>--</v>
      </c>
      <c r="P67" s="146" t="str">
        <f>IFERROR(_xll.qlRateHelperQuoteName(N67,Trigger),"--")</f>
        <v>--</v>
      </c>
      <c r="Q67" s="98" t="str">
        <f>IFERROR(_xll.qlRateHelperQuoteValue($N67,Trigger),"--")</f>
        <v>--</v>
      </c>
      <c r="R67" s="141" t="b">
        <v>0</v>
      </c>
      <c r="S67" s="94">
        <v>10</v>
      </c>
      <c r="T67" s="94">
        <v>1</v>
      </c>
      <c r="U67" s="99" t="str">
        <f>IFERROR(_xll.qlRateHelperEarliestDate(N67,Trigger),"--")</f>
        <v>--</v>
      </c>
      <c r="V67" s="99" t="str">
        <f>IFERROR(_xll.qlRateHelperPillarDate(N67,Trigger),"--")</f>
        <v>--</v>
      </c>
      <c r="X67" s="4" t="str">
        <f t="shared" si="4"/>
        <v/>
      </c>
      <c r="Y67" s="4" t="e">
        <v>#N/A</v>
      </c>
      <c r="Z67" s="4" t="e">
        <v>#N/A</v>
      </c>
      <c r="AA67" s="4" t="str">
        <f>IFERROR(_xll.qlRateHelperQuoteName(Y67,Trigger),"")</f>
        <v/>
      </c>
      <c r="AB67" s="70" t="str">
        <f>IFERROR(_xll.qlRateHelperRate(Y67,Trigger),"")</f>
        <v/>
      </c>
      <c r="AC67" s="104" t="str">
        <f>IF(ISERROR(_xll.qlSwapRateHelperSpread($Y67)),IF(ISERROR(_xll.qlFuturesRateHelperConvexityAdjustment($Y67)),"",_xll.qlFuturesRateHelperConvexityAdjustment($Y67)),_xll.qlSwapRateHelperSpread($Y67))</f>
        <v/>
      </c>
      <c r="AD67" s="5" t="str">
        <f>IFERROR(_xll.qlRateHelperEarliestDate(Y67,Trigger),"")</f>
        <v/>
      </c>
      <c r="AE67" s="5" t="str">
        <f>IFERROR(_xll.qlRateHelperPillarDate(Y67,Trigger),"")</f>
        <v/>
      </c>
      <c r="AF67" s="70" t="e">
        <v>#N/A</v>
      </c>
      <c r="AG67" s="77" t="e">
        <v>#N/A</v>
      </c>
      <c r="AH67" s="169" t="e">
        <v>#N/A</v>
      </c>
      <c r="AI67" s="170" t="e">
        <v>#N/A</v>
      </c>
      <c r="AJ67" s="172" t="e">
        <f t="shared" ref="AJ67:AJ90" si="22">AF67-AI67</f>
        <v>#N/A</v>
      </c>
      <c r="AK67" s="80" t="e">
        <v>#N/A</v>
      </c>
      <c r="AL67" s="161" t="e">
        <f t="shared" ref="AL67:AL90" si="23">AG67-AK67</f>
        <v>#N/A</v>
      </c>
    </row>
    <row r="68" spans="1:38" ht="11.25" customHeight="1" x14ac:dyDescent="0.2">
      <c r="A68" s="59" t="s">
        <v>118</v>
      </c>
      <c r="B68" s="60" t="s">
        <v>56</v>
      </c>
      <c r="C68" s="61" t="s">
        <v>6</v>
      </c>
      <c r="D68" s="61" t="s">
        <v>8</v>
      </c>
      <c r="E68" s="61" t="s">
        <v>7</v>
      </c>
      <c r="F68" s="61" t="s">
        <v>27</v>
      </c>
      <c r="G68" s="61" t="str">
        <f t="shared" si="19"/>
        <v>Euribor1M</v>
      </c>
      <c r="H68" s="59" t="str">
        <f t="shared" si="20"/>
        <v>EUR1E6E6Y_LCHQuote</v>
      </c>
      <c r="I68" s="154">
        <v>0</v>
      </c>
      <c r="J68" s="64" t="str">
        <f>_xll.qlSwapRateHelper2(,$H68,2,$B68,Calendar,$D68,$E68,$F68,$G68,$I68,$C68,Discounting1,PillarDate,,Permanent,Trigger,ObjectOverwrite)</f>
        <v>obj_00752#0001</v>
      </c>
      <c r="K68" s="64" t="str">
        <f>_xll.qlSwapRateHelper2(,$H68,2,$B68,Calendar,$D68,$E68,$F68,$G68,$I68,$C68,Discounting2,PillarDate,,Permanent,Trigger,ObjectOverwrite)</f>
        <v>obj_00723#0001</v>
      </c>
      <c r="M68" s="10" t="str">
        <f t="shared" si="16"/>
        <v>BasSw</v>
      </c>
      <c r="N68" s="94" t="str">
        <f t="shared" si="17"/>
        <v>obj_0074f#0001</v>
      </c>
      <c r="O68" s="94" t="str">
        <f t="shared" si="18"/>
        <v>obj_006ee#0001</v>
      </c>
      <c r="P68" s="146" t="str">
        <f>IFERROR(_xll.qlRateHelperQuoteName(N68,Trigger),"--")</f>
        <v>EUR1E6E12Y_LCHQuote</v>
      </c>
      <c r="Q68" s="98">
        <f>IFERROR(_xll.qlRateHelperQuoteValue($N68,Trigger),"--")</f>
        <v>9.9275000000000006E-3</v>
      </c>
      <c r="R68" s="141" t="b">
        <v>1</v>
      </c>
      <c r="S68" s="94">
        <v>10</v>
      </c>
      <c r="T68" s="94">
        <v>1</v>
      </c>
      <c r="U68" s="99">
        <f>IFERROR(_xll.qlRateHelperEarliestDate(N68,Trigger),"--")</f>
        <v>42256</v>
      </c>
      <c r="V68" s="99">
        <f>IFERROR(_xll.qlRateHelperPillarDate(N68,Trigger),"--")</f>
        <v>46639</v>
      </c>
      <c r="X68" s="4" t="str">
        <f t="shared" ref="X68:X90" si="24">IFERROR(INDEX($M$3:$M$90,MATCH(AA68,$P$3:$P$90,0),1),"")</f>
        <v/>
      </c>
      <c r="Y68" s="4" t="e">
        <v>#N/A</v>
      </c>
      <c r="Z68" s="4" t="e">
        <v>#N/A</v>
      </c>
      <c r="AA68" s="4" t="str">
        <f>IFERROR(_xll.qlRateHelperQuoteName(Y68,Trigger),"")</f>
        <v/>
      </c>
      <c r="AB68" s="70" t="str">
        <f>IFERROR(_xll.qlRateHelperRate(Y68,Trigger),"")</f>
        <v/>
      </c>
      <c r="AC68" s="104" t="str">
        <f>IF(ISERROR(_xll.qlSwapRateHelperSpread($Y68)),IF(ISERROR(_xll.qlFuturesRateHelperConvexityAdjustment($Y68)),"",_xll.qlFuturesRateHelperConvexityAdjustment($Y68)),_xll.qlSwapRateHelperSpread($Y68))</f>
        <v/>
      </c>
      <c r="AD68" s="5" t="str">
        <f>IFERROR(_xll.qlRateHelperEarliestDate(Y68,Trigger),"")</f>
        <v/>
      </c>
      <c r="AE68" s="5" t="str">
        <f>IFERROR(_xll.qlRateHelperPillarDate(Y68,Trigger),"")</f>
        <v/>
      </c>
      <c r="AF68" s="70" t="e">
        <v>#N/A</v>
      </c>
      <c r="AG68" s="77" t="e">
        <v>#N/A</v>
      </c>
      <c r="AH68" s="169" t="e">
        <v>#N/A</v>
      </c>
      <c r="AI68" s="170" t="e">
        <v>#N/A</v>
      </c>
      <c r="AJ68" s="172" t="e">
        <f t="shared" si="22"/>
        <v>#N/A</v>
      </c>
      <c r="AK68" s="80" t="e">
        <v>#N/A</v>
      </c>
      <c r="AL68" s="161" t="e">
        <f t="shared" si="23"/>
        <v>#N/A</v>
      </c>
    </row>
    <row r="69" spans="1:38" ht="11.25" customHeight="1" x14ac:dyDescent="0.2">
      <c r="A69" s="59" t="s">
        <v>118</v>
      </c>
      <c r="B69" s="60" t="s">
        <v>57</v>
      </c>
      <c r="C69" s="61" t="s">
        <v>6</v>
      </c>
      <c r="D69" s="61" t="s">
        <v>8</v>
      </c>
      <c r="E69" s="61" t="s">
        <v>7</v>
      </c>
      <c r="F69" s="61" t="s">
        <v>27</v>
      </c>
      <c r="G69" s="61" t="str">
        <f t="shared" si="19"/>
        <v>Euribor1M</v>
      </c>
      <c r="H69" s="59" t="str">
        <f t="shared" si="20"/>
        <v>EUR1E6E7Y_LCHQuote</v>
      </c>
      <c r="I69" s="154">
        <v>0</v>
      </c>
      <c r="J69" s="64" t="str">
        <f>_xll.qlSwapRateHelper2(,$H69,2,$B69,Calendar,$D69,$E69,$F69,$G69,$I69,$C69,Discounting1,PillarDate,,Permanent,Trigger,ObjectOverwrite)</f>
        <v>obj_00749#0001</v>
      </c>
      <c r="K69" s="64" t="str">
        <f>_xll.qlSwapRateHelper2(,$H69,2,$B69,Calendar,$D69,$E69,$F69,$G69,$I69,$C69,Discounting2,PillarDate,,Permanent,Trigger,ObjectOverwrite)</f>
        <v>obj_006ef#0001</v>
      </c>
      <c r="M69" s="10" t="str">
        <f t="shared" si="16"/>
        <v>BasSw</v>
      </c>
      <c r="N69" s="94" t="str">
        <f t="shared" si="17"/>
        <v>--</v>
      </c>
      <c r="O69" s="94" t="str">
        <f t="shared" si="18"/>
        <v>--</v>
      </c>
      <c r="P69" s="146" t="str">
        <f>IFERROR(_xll.qlRateHelperQuoteName(N69,Trigger),"--")</f>
        <v>--</v>
      </c>
      <c r="Q69" s="98" t="str">
        <f>IFERROR(_xll.qlRateHelperQuoteValue($N69,Trigger),"--")</f>
        <v>--</v>
      </c>
      <c r="R69" s="141" t="b">
        <v>0</v>
      </c>
      <c r="S69" s="94">
        <v>10</v>
      </c>
      <c r="T69" s="94">
        <v>1</v>
      </c>
      <c r="U69" s="99" t="str">
        <f>IFERROR(_xll.qlRateHelperEarliestDate(N69,Trigger),"--")</f>
        <v>--</v>
      </c>
      <c r="V69" s="99" t="str">
        <f>IFERROR(_xll.qlRateHelperPillarDate(N69,Trigger),"--")</f>
        <v>--</v>
      </c>
      <c r="X69" s="4" t="str">
        <f t="shared" si="24"/>
        <v/>
      </c>
      <c r="Y69" s="4" t="e">
        <v>#N/A</v>
      </c>
      <c r="Z69" s="4" t="e">
        <v>#N/A</v>
      </c>
      <c r="AA69" s="4" t="str">
        <f>IFERROR(_xll.qlRateHelperQuoteName(Y69,Trigger),"")</f>
        <v/>
      </c>
      <c r="AB69" s="70" t="str">
        <f>IFERROR(_xll.qlRateHelperRate(Y69,Trigger),"")</f>
        <v/>
      </c>
      <c r="AC69" s="104" t="str">
        <f>IF(ISERROR(_xll.qlSwapRateHelperSpread($Y69)),IF(ISERROR(_xll.qlFuturesRateHelperConvexityAdjustment($Y69)),"",_xll.qlFuturesRateHelperConvexityAdjustment($Y69)),_xll.qlSwapRateHelperSpread($Y69))</f>
        <v/>
      </c>
      <c r="AD69" s="5" t="str">
        <f>IFERROR(_xll.qlRateHelperEarliestDate(Y69,Trigger),"")</f>
        <v/>
      </c>
      <c r="AE69" s="5" t="str">
        <f>IFERROR(_xll.qlRateHelperPillarDate(Y69,Trigger),"")</f>
        <v/>
      </c>
      <c r="AF69" s="70" t="e">
        <v>#N/A</v>
      </c>
      <c r="AG69" s="77" t="e">
        <v>#N/A</v>
      </c>
      <c r="AH69" s="169" t="e">
        <v>#N/A</v>
      </c>
      <c r="AI69" s="170" t="e">
        <v>#N/A</v>
      </c>
      <c r="AJ69" s="172" t="e">
        <f t="shared" si="22"/>
        <v>#N/A</v>
      </c>
      <c r="AK69" s="80" t="e">
        <v>#N/A</v>
      </c>
      <c r="AL69" s="161" t="e">
        <f t="shared" si="23"/>
        <v>#N/A</v>
      </c>
    </row>
    <row r="70" spans="1:38" ht="11.25" customHeight="1" x14ac:dyDescent="0.2">
      <c r="A70" s="59" t="s">
        <v>118</v>
      </c>
      <c r="B70" s="60" t="s">
        <v>58</v>
      </c>
      <c r="C70" s="61" t="s">
        <v>6</v>
      </c>
      <c r="D70" s="61" t="s">
        <v>8</v>
      </c>
      <c r="E70" s="61" t="s">
        <v>7</v>
      </c>
      <c r="F70" s="61" t="s">
        <v>27</v>
      </c>
      <c r="G70" s="61" t="str">
        <f t="shared" si="19"/>
        <v>Euribor1M</v>
      </c>
      <c r="H70" s="59" t="str">
        <f t="shared" si="20"/>
        <v>EUR1E6E8Y_LCHQuote</v>
      </c>
      <c r="I70" s="154">
        <v>0</v>
      </c>
      <c r="J70" s="64" t="str">
        <f>_xll.qlSwapRateHelper2(,$H70,2,$B70,Calendar,$D70,$E70,$F70,$G70,$I70,$C70,Discounting1,PillarDate,,Permanent,Trigger,ObjectOverwrite)</f>
        <v>obj_0074d#0001</v>
      </c>
      <c r="K70" s="64" t="str">
        <f>_xll.qlSwapRateHelper2(,$H70,2,$B70,Calendar,$D70,$E70,$F70,$G70,$I70,$C70,Discounting2,PillarDate,,Permanent,Trigger,ObjectOverwrite)</f>
        <v>obj_0071d#0001</v>
      </c>
      <c r="M70" s="10" t="str">
        <f t="shared" si="16"/>
        <v>BasSw</v>
      </c>
      <c r="N70" s="94" t="str">
        <f t="shared" si="17"/>
        <v>--</v>
      </c>
      <c r="O70" s="94" t="str">
        <f t="shared" si="18"/>
        <v>--</v>
      </c>
      <c r="P70" s="146" t="str">
        <f>IFERROR(_xll.qlRateHelperQuoteName(N70,Trigger),"--")</f>
        <v>--</v>
      </c>
      <c r="Q70" s="98" t="str">
        <f>IFERROR(_xll.qlRateHelperQuoteValue($N70,Trigger),"--")</f>
        <v>--</v>
      </c>
      <c r="R70" s="141" t="b">
        <v>0</v>
      </c>
      <c r="S70" s="94">
        <v>10</v>
      </c>
      <c r="T70" s="94">
        <v>1</v>
      </c>
      <c r="U70" s="99" t="str">
        <f>IFERROR(_xll.qlRateHelperEarliestDate(N70,Trigger),"--")</f>
        <v>--</v>
      </c>
      <c r="V70" s="99" t="str">
        <f>IFERROR(_xll.qlRateHelperPillarDate(N70,Trigger),"--")</f>
        <v>--</v>
      </c>
      <c r="X70" s="4" t="str">
        <f t="shared" si="24"/>
        <v/>
      </c>
      <c r="Y70" s="4" t="e">
        <v>#N/A</v>
      </c>
      <c r="Z70" s="4" t="e">
        <v>#N/A</v>
      </c>
      <c r="AA70" s="4" t="str">
        <f>IFERROR(_xll.qlRateHelperQuoteName(Y70,Trigger),"")</f>
        <v/>
      </c>
      <c r="AB70" s="70" t="str">
        <f>IFERROR(_xll.qlRateHelperRate(Y70,Trigger),"")</f>
        <v/>
      </c>
      <c r="AC70" s="104" t="str">
        <f>IF(ISERROR(_xll.qlSwapRateHelperSpread($Y70)),IF(ISERROR(_xll.qlFuturesRateHelperConvexityAdjustment($Y70)),"",_xll.qlFuturesRateHelperConvexityAdjustment($Y70)),_xll.qlSwapRateHelperSpread($Y70))</f>
        <v/>
      </c>
      <c r="AD70" s="5" t="str">
        <f>IFERROR(_xll.qlRateHelperEarliestDate(Y70,Trigger),"")</f>
        <v/>
      </c>
      <c r="AE70" s="5" t="str">
        <f>IFERROR(_xll.qlRateHelperPillarDate(Y70,Trigger),"")</f>
        <v/>
      </c>
      <c r="AF70" s="70" t="e">
        <v>#N/A</v>
      </c>
      <c r="AG70" s="77" t="e">
        <v>#N/A</v>
      </c>
      <c r="AH70" s="169" t="e">
        <v>#N/A</v>
      </c>
      <c r="AI70" s="170" t="e">
        <v>#N/A</v>
      </c>
      <c r="AJ70" s="172" t="e">
        <f t="shared" si="22"/>
        <v>#N/A</v>
      </c>
      <c r="AK70" s="80" t="e">
        <v>#N/A</v>
      </c>
      <c r="AL70" s="161" t="e">
        <f t="shared" si="23"/>
        <v>#N/A</v>
      </c>
    </row>
    <row r="71" spans="1:38" ht="11.25" customHeight="1" x14ac:dyDescent="0.2">
      <c r="A71" s="59" t="s">
        <v>118</v>
      </c>
      <c r="B71" s="60" t="s">
        <v>59</v>
      </c>
      <c r="C71" s="61" t="s">
        <v>6</v>
      </c>
      <c r="D71" s="61" t="s">
        <v>8</v>
      </c>
      <c r="E71" s="61" t="s">
        <v>7</v>
      </c>
      <c r="F71" s="61" t="s">
        <v>27</v>
      </c>
      <c r="G71" s="61" t="str">
        <f t="shared" si="19"/>
        <v>Euribor1M</v>
      </c>
      <c r="H71" s="59" t="str">
        <f t="shared" si="20"/>
        <v>EUR1E6E9Y_LCHQuote</v>
      </c>
      <c r="I71" s="154">
        <v>0</v>
      </c>
      <c r="J71" s="64" t="str">
        <f>_xll.qlSwapRateHelper2(,$H71,2,$B71,Calendar,$D71,$E71,$F71,$G71,$I71,$C71,Discounting1,PillarDate,,Permanent,Trigger,ObjectOverwrite)</f>
        <v>obj_00743#0001</v>
      </c>
      <c r="K71" s="64" t="str">
        <f>_xll.qlSwapRateHelper2(,$H71,2,$B71,Calendar,$D71,$E71,$F71,$G71,$I71,$C71,Discounting2,PillarDate,,Permanent,Trigger,ObjectOverwrite)</f>
        <v>obj_00710#0001</v>
      </c>
      <c r="M71" s="10" t="str">
        <f t="shared" si="16"/>
        <v>BasSw</v>
      </c>
      <c r="N71" s="94" t="str">
        <f t="shared" si="17"/>
        <v>obj_00741#0001</v>
      </c>
      <c r="O71" s="94" t="str">
        <f t="shared" si="18"/>
        <v>obj_0071a#0001</v>
      </c>
      <c r="P71" s="146" t="str">
        <f>IFERROR(_xll.qlRateHelperQuoteName(N71,Trigger),"--")</f>
        <v>EUR1E6E15Y_LCHQuote</v>
      </c>
      <c r="Q71" s="98">
        <f>IFERROR(_xll.qlRateHelperQuoteValue($N71,Trigger),"--")</f>
        <v>1.191E-2</v>
      </c>
      <c r="R71" s="141" t="b">
        <v>1</v>
      </c>
      <c r="S71" s="94">
        <v>10</v>
      </c>
      <c r="T71" s="94">
        <v>1</v>
      </c>
      <c r="U71" s="99">
        <f>IFERROR(_xll.qlRateHelperEarliestDate(N71,Trigger),"--")</f>
        <v>42256</v>
      </c>
      <c r="V71" s="99">
        <f>IFERROR(_xll.qlRateHelperPillarDate(N71,Trigger),"--")</f>
        <v>47735</v>
      </c>
      <c r="X71" s="4" t="str">
        <f t="shared" si="24"/>
        <v/>
      </c>
      <c r="Y71" s="4" t="e">
        <v>#N/A</v>
      </c>
      <c r="Z71" s="4" t="e">
        <v>#N/A</v>
      </c>
      <c r="AA71" s="4" t="str">
        <f>IFERROR(_xll.qlRateHelperQuoteName(Y71,Trigger),"")</f>
        <v/>
      </c>
      <c r="AB71" s="70" t="str">
        <f>IFERROR(_xll.qlRateHelperRate(Y71,Trigger),"")</f>
        <v/>
      </c>
      <c r="AC71" s="104" t="str">
        <f>IF(ISERROR(_xll.qlSwapRateHelperSpread($Y71)),IF(ISERROR(_xll.qlFuturesRateHelperConvexityAdjustment($Y71)),"",_xll.qlFuturesRateHelperConvexityAdjustment($Y71)),_xll.qlSwapRateHelperSpread($Y71))</f>
        <v/>
      </c>
      <c r="AD71" s="5" t="str">
        <f>IFERROR(_xll.qlRateHelperEarliestDate(Y71,Trigger),"")</f>
        <v/>
      </c>
      <c r="AE71" s="5" t="str">
        <f>IFERROR(_xll.qlRateHelperPillarDate(Y71,Trigger),"")</f>
        <v/>
      </c>
      <c r="AF71" s="70" t="e">
        <v>#N/A</v>
      </c>
      <c r="AG71" s="77" t="e">
        <v>#N/A</v>
      </c>
      <c r="AH71" s="169" t="e">
        <v>#N/A</v>
      </c>
      <c r="AI71" s="170" t="e">
        <v>#N/A</v>
      </c>
      <c r="AJ71" s="172" t="e">
        <f t="shared" si="22"/>
        <v>#N/A</v>
      </c>
      <c r="AK71" s="80" t="e">
        <v>#N/A</v>
      </c>
      <c r="AL71" s="161" t="e">
        <f t="shared" si="23"/>
        <v>#N/A</v>
      </c>
    </row>
    <row r="72" spans="1:38" ht="11.25" customHeight="1" x14ac:dyDescent="0.2">
      <c r="A72" s="59" t="s">
        <v>118</v>
      </c>
      <c r="B72" s="60" t="s">
        <v>60</v>
      </c>
      <c r="C72" s="61" t="s">
        <v>6</v>
      </c>
      <c r="D72" s="61" t="s">
        <v>8</v>
      </c>
      <c r="E72" s="61" t="s">
        <v>7</v>
      </c>
      <c r="F72" s="61" t="s">
        <v>27</v>
      </c>
      <c r="G72" s="61" t="str">
        <f t="shared" si="19"/>
        <v>Euribor1M</v>
      </c>
      <c r="H72" s="59" t="str">
        <f t="shared" si="20"/>
        <v>EUR1E6E10Y_LCHQuote</v>
      </c>
      <c r="I72" s="154">
        <v>0</v>
      </c>
      <c r="J72" s="64" t="str">
        <f>_xll.qlSwapRateHelper2(,$H72,2,$B72,Calendar,$D72,$E72,$F72,$G72,$I72,$C72,Discounting1,PillarDate,,Permanent,Trigger,ObjectOverwrite)</f>
        <v>obj_00759#0001</v>
      </c>
      <c r="K72" s="64" t="str">
        <f>_xll.qlSwapRateHelper2(,$H72,2,$B72,Calendar,$D72,$E72,$F72,$G72,$I72,$C72,Discounting2,PillarDate,,Permanent,Trigger,ObjectOverwrite)</f>
        <v>obj_006ec#0001</v>
      </c>
      <c r="M72" s="10" t="str">
        <f t="shared" si="16"/>
        <v>BasSw</v>
      </c>
      <c r="N72" s="94" t="str">
        <f t="shared" si="17"/>
        <v>--</v>
      </c>
      <c r="O72" s="94" t="str">
        <f t="shared" si="18"/>
        <v>--</v>
      </c>
      <c r="P72" s="146" t="str">
        <f>IFERROR(_xll.qlRateHelperQuoteName(N72,Trigger),"--")</f>
        <v>--</v>
      </c>
      <c r="Q72" s="98" t="str">
        <f>IFERROR(_xll.qlRateHelperQuoteValue($N72,Trigger),"--")</f>
        <v>--</v>
      </c>
      <c r="R72" s="141" t="b">
        <v>0</v>
      </c>
      <c r="S72" s="94">
        <v>10</v>
      </c>
      <c r="T72" s="94">
        <v>1</v>
      </c>
      <c r="U72" s="99" t="str">
        <f>IFERROR(_xll.qlRateHelperEarliestDate(N72,Trigger),"--")</f>
        <v>--</v>
      </c>
      <c r="V72" s="99" t="str">
        <f>IFERROR(_xll.qlRateHelperPillarDate(N72,Trigger),"--")</f>
        <v>--</v>
      </c>
      <c r="X72" s="4" t="str">
        <f t="shared" si="24"/>
        <v/>
      </c>
      <c r="Y72" s="4" t="e">
        <v>#N/A</v>
      </c>
      <c r="Z72" s="4" t="e">
        <v>#N/A</v>
      </c>
      <c r="AA72" s="4" t="str">
        <f>IFERROR(_xll.qlRateHelperQuoteName(Y72,Trigger),"")</f>
        <v/>
      </c>
      <c r="AB72" s="70" t="str">
        <f>IFERROR(_xll.qlRateHelperRate(Y72,Trigger),"")</f>
        <v/>
      </c>
      <c r="AC72" s="104" t="str">
        <f>IF(ISERROR(_xll.qlSwapRateHelperSpread($Y72)),IF(ISERROR(_xll.qlFuturesRateHelperConvexityAdjustment($Y72)),"",_xll.qlFuturesRateHelperConvexityAdjustment($Y72)),_xll.qlSwapRateHelperSpread($Y72))</f>
        <v/>
      </c>
      <c r="AD72" s="5" t="str">
        <f>IFERROR(_xll.qlRateHelperEarliestDate(Y72,Trigger),"")</f>
        <v/>
      </c>
      <c r="AE72" s="5" t="str">
        <f>IFERROR(_xll.qlRateHelperPillarDate(Y72,Trigger),"")</f>
        <v/>
      </c>
      <c r="AF72" s="70" t="e">
        <v>#N/A</v>
      </c>
      <c r="AG72" s="77" t="e">
        <v>#N/A</v>
      </c>
      <c r="AH72" s="169" t="e">
        <v>#N/A</v>
      </c>
      <c r="AI72" s="170" t="e">
        <v>#N/A</v>
      </c>
      <c r="AJ72" s="172" t="e">
        <f t="shared" si="22"/>
        <v>#N/A</v>
      </c>
      <c r="AK72" s="80" t="e">
        <v>#N/A</v>
      </c>
      <c r="AL72" s="161" t="e">
        <f t="shared" si="23"/>
        <v>#N/A</v>
      </c>
    </row>
    <row r="73" spans="1:38" ht="11.25" customHeight="1" x14ac:dyDescent="0.2">
      <c r="A73" s="59" t="s">
        <v>118</v>
      </c>
      <c r="B73" s="60" t="s">
        <v>98</v>
      </c>
      <c r="C73" s="61" t="s">
        <v>6</v>
      </c>
      <c r="D73" s="61" t="s">
        <v>8</v>
      </c>
      <c r="E73" s="61" t="s">
        <v>7</v>
      </c>
      <c r="F73" s="61" t="s">
        <v>27</v>
      </c>
      <c r="G73" s="61" t="str">
        <f t="shared" si="19"/>
        <v>Euribor1M</v>
      </c>
      <c r="H73" s="59" t="str">
        <f t="shared" si="20"/>
        <v>EUR1E6E11Y_LCHQuote</v>
      </c>
      <c r="I73" s="154">
        <v>0</v>
      </c>
      <c r="J73" s="64"/>
      <c r="K73" s="64"/>
      <c r="M73" s="10" t="str">
        <f t="shared" si="16"/>
        <v>BasSw</v>
      </c>
      <c r="N73" s="94" t="str">
        <f t="shared" si="17"/>
        <v>--</v>
      </c>
      <c r="O73" s="94" t="str">
        <f t="shared" si="18"/>
        <v>--</v>
      </c>
      <c r="P73" s="146" t="str">
        <f>IFERROR(_xll.qlRateHelperQuoteName(N73,Trigger),"--")</f>
        <v>--</v>
      </c>
      <c r="Q73" s="98" t="str">
        <f>IFERROR(_xll.qlRateHelperQuoteValue($N73,Trigger),"--")</f>
        <v>--</v>
      </c>
      <c r="R73" s="141" t="b">
        <v>0</v>
      </c>
      <c r="S73" s="94">
        <v>10</v>
      </c>
      <c r="T73" s="94">
        <v>1</v>
      </c>
      <c r="U73" s="99" t="str">
        <f>IFERROR(_xll.qlRateHelperEarliestDate(N73,Trigger),"--")</f>
        <v>--</v>
      </c>
      <c r="V73" s="99" t="str">
        <f>IFERROR(_xll.qlRateHelperPillarDate(N73,Trigger),"--")</f>
        <v>--</v>
      </c>
      <c r="X73" s="4" t="str">
        <f t="shared" si="24"/>
        <v/>
      </c>
      <c r="Y73" s="4" t="e">
        <v>#N/A</v>
      </c>
      <c r="Z73" s="4" t="e">
        <v>#N/A</v>
      </c>
      <c r="AA73" s="4" t="str">
        <f>IFERROR(_xll.qlRateHelperQuoteName(Y73,Trigger),"")</f>
        <v/>
      </c>
      <c r="AB73" s="70" t="str">
        <f>IFERROR(_xll.qlRateHelperRate(Y73,Trigger),"")</f>
        <v/>
      </c>
      <c r="AC73" s="104" t="str">
        <f>IF(ISERROR(_xll.qlSwapRateHelperSpread($Y73)),IF(ISERROR(_xll.qlFuturesRateHelperConvexityAdjustment($Y73)),"",_xll.qlFuturesRateHelperConvexityAdjustment($Y73)),_xll.qlSwapRateHelperSpread($Y73))</f>
        <v/>
      </c>
      <c r="AD73" s="5" t="str">
        <f>IFERROR(_xll.qlRateHelperEarliestDate(Y73,Trigger),"")</f>
        <v/>
      </c>
      <c r="AE73" s="5" t="str">
        <f>IFERROR(_xll.qlRateHelperPillarDate(Y73,Trigger),"")</f>
        <v/>
      </c>
      <c r="AF73" s="70" t="e">
        <v>#N/A</v>
      </c>
      <c r="AG73" s="77" t="e">
        <v>#N/A</v>
      </c>
      <c r="AH73" s="169" t="e">
        <v>#N/A</v>
      </c>
      <c r="AI73" s="170" t="e">
        <v>#N/A</v>
      </c>
      <c r="AJ73" s="172" t="e">
        <f t="shared" si="22"/>
        <v>#N/A</v>
      </c>
      <c r="AK73" s="80" t="e">
        <v>#N/A</v>
      </c>
      <c r="AL73" s="161" t="e">
        <f t="shared" si="23"/>
        <v>#N/A</v>
      </c>
    </row>
    <row r="74" spans="1:38" ht="11.25" customHeight="1" x14ac:dyDescent="0.2">
      <c r="A74" s="59" t="s">
        <v>118</v>
      </c>
      <c r="B74" s="60" t="s">
        <v>61</v>
      </c>
      <c r="C74" s="61" t="s">
        <v>6</v>
      </c>
      <c r="D74" s="61" t="s">
        <v>8</v>
      </c>
      <c r="E74" s="61" t="s">
        <v>7</v>
      </c>
      <c r="F74" s="61" t="s">
        <v>27</v>
      </c>
      <c r="G74" s="61" t="str">
        <f t="shared" si="19"/>
        <v>Euribor1M</v>
      </c>
      <c r="H74" s="59" t="str">
        <f t="shared" si="20"/>
        <v>EUR1E6E12Y_LCHQuote</v>
      </c>
      <c r="I74" s="154">
        <v>0</v>
      </c>
      <c r="J74" s="64" t="str">
        <f>_xll.qlSwapRateHelper2(,$H74,2,$B74,Calendar,$D74,$E74,$F74,$G74,$I74,$C74,Discounting1,PillarDate,,Permanent,Trigger,ObjectOverwrite)</f>
        <v>obj_0074f#0001</v>
      </c>
      <c r="K74" s="64" t="str">
        <f>_xll.qlSwapRateHelper2(,$H74,2,$B74,Calendar,$D74,$E74,$F74,$G74,$I74,$C74,Discounting2,PillarDate,,Permanent,Trigger,ObjectOverwrite)</f>
        <v>obj_006ee#0001</v>
      </c>
      <c r="M74" s="10" t="str">
        <f t="shared" si="16"/>
        <v>BasSw</v>
      </c>
      <c r="N74" s="94" t="str">
        <f t="shared" si="17"/>
        <v>--</v>
      </c>
      <c r="O74" s="94" t="str">
        <f t="shared" si="18"/>
        <v>--</v>
      </c>
      <c r="P74" s="146" t="str">
        <f>IFERROR(_xll.qlRateHelperQuoteName(N74,Trigger),"--")</f>
        <v>--</v>
      </c>
      <c r="Q74" s="98" t="str">
        <f>IFERROR(_xll.qlRateHelperQuoteValue($N74,Trigger),"--")</f>
        <v>--</v>
      </c>
      <c r="R74" s="141" t="b">
        <v>0</v>
      </c>
      <c r="S74" s="94">
        <v>10</v>
      </c>
      <c r="T74" s="94">
        <v>1</v>
      </c>
      <c r="U74" s="99" t="str">
        <f>IFERROR(_xll.qlRateHelperEarliestDate(N74,Trigger),"--")</f>
        <v>--</v>
      </c>
      <c r="V74" s="99" t="str">
        <f>IFERROR(_xll.qlRateHelperPillarDate(N74,Trigger),"--")</f>
        <v>--</v>
      </c>
      <c r="X74" s="4" t="str">
        <f t="shared" si="24"/>
        <v/>
      </c>
      <c r="Y74" s="4" t="e">
        <v>#N/A</v>
      </c>
      <c r="Z74" s="4" t="e">
        <v>#N/A</v>
      </c>
      <c r="AA74" s="4" t="str">
        <f>IFERROR(_xll.qlRateHelperQuoteName(Y74,Trigger),"")</f>
        <v/>
      </c>
      <c r="AB74" s="70" t="str">
        <f>IFERROR(_xll.qlRateHelperRate(Y74,Trigger),"")</f>
        <v/>
      </c>
      <c r="AC74" s="104" t="str">
        <f>IF(ISERROR(_xll.qlSwapRateHelperSpread($Y74)),IF(ISERROR(_xll.qlFuturesRateHelperConvexityAdjustment($Y74)),"",_xll.qlFuturesRateHelperConvexityAdjustment($Y74)),_xll.qlSwapRateHelperSpread($Y74))</f>
        <v/>
      </c>
      <c r="AD74" s="5" t="str">
        <f>IFERROR(_xll.qlRateHelperEarliestDate(Y74,Trigger),"")</f>
        <v/>
      </c>
      <c r="AE74" s="5" t="str">
        <f>IFERROR(_xll.qlRateHelperPillarDate(Y74,Trigger),"")</f>
        <v/>
      </c>
      <c r="AF74" s="70" t="e">
        <v>#N/A</v>
      </c>
      <c r="AG74" s="77" t="e">
        <v>#N/A</v>
      </c>
      <c r="AH74" s="169" t="e">
        <v>#N/A</v>
      </c>
      <c r="AI74" s="170" t="e">
        <v>#N/A</v>
      </c>
      <c r="AJ74" s="172" t="e">
        <f t="shared" si="22"/>
        <v>#N/A</v>
      </c>
      <c r="AK74" s="80" t="e">
        <v>#N/A</v>
      </c>
      <c r="AL74" s="161" t="e">
        <f t="shared" si="23"/>
        <v>#N/A</v>
      </c>
    </row>
    <row r="75" spans="1:38" ht="11.25" customHeight="1" x14ac:dyDescent="0.2">
      <c r="A75" s="59" t="s">
        <v>118</v>
      </c>
      <c r="B75" s="60" t="s">
        <v>99</v>
      </c>
      <c r="C75" s="61" t="s">
        <v>6</v>
      </c>
      <c r="D75" s="61" t="s">
        <v>8</v>
      </c>
      <c r="E75" s="61" t="s">
        <v>7</v>
      </c>
      <c r="F75" s="61" t="s">
        <v>27</v>
      </c>
      <c r="G75" s="61" t="str">
        <f t="shared" si="19"/>
        <v>Euribor1M</v>
      </c>
      <c r="H75" s="59" t="str">
        <f t="shared" si="20"/>
        <v>EUR1E6E13Y_LCHQuote</v>
      </c>
      <c r="I75" s="154">
        <v>0</v>
      </c>
      <c r="J75" s="64"/>
      <c r="K75" s="64"/>
      <c r="M75" s="10" t="str">
        <f t="shared" si="16"/>
        <v>BasSw</v>
      </c>
      <c r="N75" s="94" t="str">
        <f t="shared" si="17"/>
        <v>--</v>
      </c>
      <c r="O75" s="94" t="str">
        <f t="shared" si="18"/>
        <v>--</v>
      </c>
      <c r="P75" s="146" t="str">
        <f>IFERROR(_xll.qlRateHelperQuoteName(N75,Trigger),"--")</f>
        <v>--</v>
      </c>
      <c r="Q75" s="98" t="str">
        <f>IFERROR(_xll.qlRateHelperQuoteValue($N75,Trigger),"--")</f>
        <v>--</v>
      </c>
      <c r="R75" s="141" t="b">
        <v>0</v>
      </c>
      <c r="S75" s="94">
        <v>10</v>
      </c>
      <c r="T75" s="94">
        <v>1</v>
      </c>
      <c r="U75" s="99" t="str">
        <f>IFERROR(_xll.qlRateHelperEarliestDate(N75,Trigger),"--")</f>
        <v>--</v>
      </c>
      <c r="V75" s="99" t="str">
        <f>IFERROR(_xll.qlRateHelperPillarDate(N75,Trigger),"--")</f>
        <v>--</v>
      </c>
      <c r="X75" s="4" t="str">
        <f t="shared" si="24"/>
        <v/>
      </c>
      <c r="Y75" s="4" t="e">
        <v>#N/A</v>
      </c>
      <c r="Z75" s="4" t="e">
        <v>#N/A</v>
      </c>
      <c r="AA75" s="4" t="str">
        <f>IFERROR(_xll.qlRateHelperQuoteName(Y75,Trigger),"")</f>
        <v/>
      </c>
      <c r="AB75" s="70" t="str">
        <f>IFERROR(_xll.qlRateHelperRate(Y75,Trigger),"")</f>
        <v/>
      </c>
      <c r="AC75" s="104" t="str">
        <f>IF(ISERROR(_xll.qlSwapRateHelperSpread($Y75)),IF(ISERROR(_xll.qlFuturesRateHelperConvexityAdjustment($Y75)),"",_xll.qlFuturesRateHelperConvexityAdjustment($Y75)),_xll.qlSwapRateHelperSpread($Y75))</f>
        <v/>
      </c>
      <c r="AD75" s="5" t="str">
        <f>IFERROR(_xll.qlRateHelperEarliestDate(Y75,Trigger),"")</f>
        <v/>
      </c>
      <c r="AE75" s="5" t="str">
        <f>IFERROR(_xll.qlRateHelperPillarDate(Y75,Trigger),"")</f>
        <v/>
      </c>
      <c r="AF75" s="70" t="e">
        <v>#N/A</v>
      </c>
      <c r="AG75" s="77" t="e">
        <v>#N/A</v>
      </c>
      <c r="AH75" s="169" t="e">
        <v>#N/A</v>
      </c>
      <c r="AI75" s="170" t="e">
        <v>#N/A</v>
      </c>
      <c r="AJ75" s="172" t="e">
        <f t="shared" si="22"/>
        <v>#N/A</v>
      </c>
      <c r="AK75" s="80" t="e">
        <v>#N/A</v>
      </c>
      <c r="AL75" s="161" t="e">
        <f t="shared" si="23"/>
        <v>#N/A</v>
      </c>
    </row>
    <row r="76" spans="1:38" ht="11.25" customHeight="1" x14ac:dyDescent="0.2">
      <c r="A76" s="59" t="s">
        <v>118</v>
      </c>
      <c r="B76" s="60" t="s">
        <v>100</v>
      </c>
      <c r="C76" s="61" t="s">
        <v>6</v>
      </c>
      <c r="D76" s="61" t="s">
        <v>8</v>
      </c>
      <c r="E76" s="61" t="s">
        <v>7</v>
      </c>
      <c r="F76" s="61" t="s">
        <v>27</v>
      </c>
      <c r="G76" s="61" t="str">
        <f t="shared" si="19"/>
        <v>Euribor1M</v>
      </c>
      <c r="H76" s="59" t="str">
        <f t="shared" si="20"/>
        <v>EUR1E6E14Y_LCHQuote</v>
      </c>
      <c r="I76" s="154">
        <v>0</v>
      </c>
      <c r="J76" s="64"/>
      <c r="K76" s="64"/>
      <c r="M76" s="10" t="str">
        <f t="shared" si="16"/>
        <v>BasSw</v>
      </c>
      <c r="N76" s="94" t="str">
        <f t="shared" si="17"/>
        <v>obj_00756#0001</v>
      </c>
      <c r="O76" s="94" t="str">
        <f t="shared" si="18"/>
        <v>obj_00738#0001</v>
      </c>
      <c r="P76" s="146" t="str">
        <f>IFERROR(_xll.qlRateHelperQuoteName(N76,Trigger),"--")</f>
        <v>EUR1E6E20Y_LCHQuote</v>
      </c>
      <c r="Q76" s="98">
        <f>IFERROR(_xll.qlRateHelperQuoteValue($N76,Trigger),"--")</f>
        <v>1.3610000000000001E-2</v>
      </c>
      <c r="R76" s="141" t="b">
        <v>1</v>
      </c>
      <c r="S76" s="94">
        <v>10</v>
      </c>
      <c r="T76" s="94">
        <v>1</v>
      </c>
      <c r="U76" s="99">
        <f>IFERROR(_xll.qlRateHelperEarliestDate(N76,Trigger),"--")</f>
        <v>42256</v>
      </c>
      <c r="V76" s="99">
        <f>IFERROR(_xll.qlRateHelperPillarDate(N76,Trigger),"--")</f>
        <v>49562</v>
      </c>
      <c r="X76" s="4" t="str">
        <f t="shared" si="24"/>
        <v/>
      </c>
      <c r="Y76" s="4" t="e">
        <v>#N/A</v>
      </c>
      <c r="Z76" s="4" t="e">
        <v>#N/A</v>
      </c>
      <c r="AA76" s="4" t="str">
        <f>IFERROR(_xll.qlRateHelperQuoteName(Y76,Trigger),"")</f>
        <v/>
      </c>
      <c r="AB76" s="70" t="str">
        <f>IFERROR(_xll.qlRateHelperRate(Y76,Trigger),"")</f>
        <v/>
      </c>
      <c r="AC76" s="104" t="str">
        <f>IF(ISERROR(_xll.qlSwapRateHelperSpread($Y76)),IF(ISERROR(_xll.qlFuturesRateHelperConvexityAdjustment($Y76)),"",_xll.qlFuturesRateHelperConvexityAdjustment($Y76)),_xll.qlSwapRateHelperSpread($Y76))</f>
        <v/>
      </c>
      <c r="AD76" s="5" t="str">
        <f>IFERROR(_xll.qlRateHelperEarliestDate(Y76,Trigger),"")</f>
        <v/>
      </c>
      <c r="AE76" s="5" t="str">
        <f>IFERROR(_xll.qlRateHelperPillarDate(Y76,Trigger),"")</f>
        <v/>
      </c>
      <c r="AF76" s="70" t="e">
        <v>#N/A</v>
      </c>
      <c r="AG76" s="77" t="e">
        <v>#N/A</v>
      </c>
      <c r="AH76" s="169" t="e">
        <v>#N/A</v>
      </c>
      <c r="AI76" s="170" t="e">
        <v>#N/A</v>
      </c>
      <c r="AJ76" s="172" t="e">
        <f t="shared" si="22"/>
        <v>#N/A</v>
      </c>
      <c r="AK76" s="80" t="e">
        <v>#N/A</v>
      </c>
      <c r="AL76" s="161" t="e">
        <f t="shared" si="23"/>
        <v>#N/A</v>
      </c>
    </row>
    <row r="77" spans="1:38" ht="11.25" customHeight="1" x14ac:dyDescent="0.2">
      <c r="A77" s="59" t="s">
        <v>118</v>
      </c>
      <c r="B77" s="60" t="s">
        <v>62</v>
      </c>
      <c r="C77" s="61" t="s">
        <v>6</v>
      </c>
      <c r="D77" s="61" t="s">
        <v>8</v>
      </c>
      <c r="E77" s="61" t="s">
        <v>7</v>
      </c>
      <c r="F77" s="61" t="s">
        <v>27</v>
      </c>
      <c r="G77" s="61" t="str">
        <f t="shared" si="19"/>
        <v>Euribor1M</v>
      </c>
      <c r="H77" s="59" t="str">
        <f t="shared" si="20"/>
        <v>EUR1E6E15Y_LCHQuote</v>
      </c>
      <c r="I77" s="154">
        <v>0</v>
      </c>
      <c r="J77" s="64" t="str">
        <f>_xll.qlSwapRateHelper2(,$H77,2,$B77,Calendar,$D77,$E77,$F77,$G77,$I77,$C77,Discounting1,PillarDate,,Permanent,Trigger,ObjectOverwrite)</f>
        <v>obj_00741#0001</v>
      </c>
      <c r="K77" s="64" t="str">
        <f>_xll.qlSwapRateHelper2(,$H77,2,$B77,Calendar,$D77,$E77,$F77,$G77,$I77,$C77,Discounting2,PillarDate,,Permanent,Trigger,ObjectOverwrite)</f>
        <v>obj_0071a#0001</v>
      </c>
      <c r="M77" s="10" t="str">
        <f t="shared" si="16"/>
        <v>BasSw</v>
      </c>
      <c r="N77" s="94" t="str">
        <f t="shared" si="17"/>
        <v>--</v>
      </c>
      <c r="O77" s="94" t="str">
        <f t="shared" si="18"/>
        <v>--</v>
      </c>
      <c r="P77" s="146" t="str">
        <f>IFERROR(_xll.qlRateHelperQuoteName(N77,Trigger),"--")</f>
        <v>--</v>
      </c>
      <c r="Q77" s="98" t="str">
        <f>IFERROR(_xll.qlRateHelperQuoteValue($N77,Trigger),"--")</f>
        <v>--</v>
      </c>
      <c r="R77" s="141" t="b">
        <v>0</v>
      </c>
      <c r="S77" s="94">
        <v>10</v>
      </c>
      <c r="T77" s="94">
        <v>1</v>
      </c>
      <c r="U77" s="99" t="str">
        <f>IFERROR(_xll.qlRateHelperEarliestDate(N77,Trigger),"--")</f>
        <v>--</v>
      </c>
      <c r="V77" s="99" t="str">
        <f>IFERROR(_xll.qlRateHelperPillarDate(N77,Trigger),"--")</f>
        <v>--</v>
      </c>
      <c r="X77" s="4" t="str">
        <f t="shared" si="24"/>
        <v/>
      </c>
      <c r="Y77" s="4" t="e">
        <v>#N/A</v>
      </c>
      <c r="Z77" s="4" t="e">
        <v>#N/A</v>
      </c>
      <c r="AA77" s="4" t="str">
        <f>IFERROR(_xll.qlRateHelperQuoteName(Y77,Trigger),"")</f>
        <v/>
      </c>
      <c r="AB77" s="70" t="str">
        <f>IFERROR(_xll.qlRateHelperRate(Y77,Trigger),"")</f>
        <v/>
      </c>
      <c r="AC77" s="104" t="str">
        <f>IF(ISERROR(_xll.qlSwapRateHelperSpread($Y77)),IF(ISERROR(_xll.qlFuturesRateHelperConvexityAdjustment($Y77)),"",_xll.qlFuturesRateHelperConvexityAdjustment($Y77)),_xll.qlSwapRateHelperSpread($Y77))</f>
        <v/>
      </c>
      <c r="AD77" s="5" t="str">
        <f>IFERROR(_xll.qlRateHelperEarliestDate(Y77,Trigger),"")</f>
        <v/>
      </c>
      <c r="AE77" s="5" t="str">
        <f>IFERROR(_xll.qlRateHelperPillarDate(Y77,Trigger),"")</f>
        <v/>
      </c>
      <c r="AF77" s="70" t="e">
        <v>#N/A</v>
      </c>
      <c r="AG77" s="77" t="e">
        <v>#N/A</v>
      </c>
      <c r="AH77" s="169" t="e">
        <v>#N/A</v>
      </c>
      <c r="AI77" s="170" t="e">
        <v>#N/A</v>
      </c>
      <c r="AJ77" s="172" t="e">
        <f t="shared" si="22"/>
        <v>#N/A</v>
      </c>
      <c r="AK77" s="80" t="e">
        <v>#N/A</v>
      </c>
      <c r="AL77" s="161" t="e">
        <f t="shared" si="23"/>
        <v>#N/A</v>
      </c>
    </row>
    <row r="78" spans="1:38" ht="11.25" customHeight="1" x14ac:dyDescent="0.2">
      <c r="A78" s="59" t="s">
        <v>118</v>
      </c>
      <c r="B78" s="60" t="s">
        <v>101</v>
      </c>
      <c r="C78" s="61" t="s">
        <v>6</v>
      </c>
      <c r="D78" s="61" t="s">
        <v>8</v>
      </c>
      <c r="E78" s="61" t="s">
        <v>7</v>
      </c>
      <c r="F78" s="61" t="s">
        <v>27</v>
      </c>
      <c r="G78" s="61" t="str">
        <f t="shared" si="19"/>
        <v>Euribor1M</v>
      </c>
      <c r="H78" s="59" t="str">
        <f t="shared" si="20"/>
        <v>EUR1E6E16Y_LCHQuote</v>
      </c>
      <c r="I78" s="154">
        <v>0</v>
      </c>
      <c r="J78" s="64"/>
      <c r="K78" s="64"/>
      <c r="M78" s="10" t="str">
        <f t="shared" si="16"/>
        <v>BasSw</v>
      </c>
      <c r="N78" s="94" t="str">
        <f t="shared" si="17"/>
        <v>--</v>
      </c>
      <c r="O78" s="94" t="str">
        <f t="shared" si="18"/>
        <v>--</v>
      </c>
      <c r="P78" s="146" t="str">
        <f>IFERROR(_xll.qlRateHelperQuoteName(N78,Trigger),"--")</f>
        <v>--</v>
      </c>
      <c r="Q78" s="98" t="str">
        <f>IFERROR(_xll.qlRateHelperQuoteValue($N78,Trigger),"--")</f>
        <v>--</v>
      </c>
      <c r="R78" s="141" t="b">
        <v>0</v>
      </c>
      <c r="S78" s="94">
        <v>10</v>
      </c>
      <c r="T78" s="94">
        <v>1</v>
      </c>
      <c r="U78" s="99" t="str">
        <f>IFERROR(_xll.qlRateHelperEarliestDate(N78,Trigger),"--")</f>
        <v>--</v>
      </c>
      <c r="V78" s="99" t="str">
        <f>IFERROR(_xll.qlRateHelperPillarDate(N78,Trigger),"--")</f>
        <v>--</v>
      </c>
      <c r="X78" s="4" t="str">
        <f t="shared" si="24"/>
        <v/>
      </c>
      <c r="Y78" s="4" t="e">
        <v>#N/A</v>
      </c>
      <c r="Z78" s="4" t="e">
        <v>#N/A</v>
      </c>
      <c r="AA78" s="4" t="str">
        <f>IFERROR(_xll.qlRateHelperQuoteName(Y78,Trigger),"")</f>
        <v/>
      </c>
      <c r="AB78" s="70" t="str">
        <f>IFERROR(_xll.qlRateHelperRate(Y78,Trigger),"")</f>
        <v/>
      </c>
      <c r="AC78" s="104" t="str">
        <f>IF(ISERROR(_xll.qlSwapRateHelperSpread($Y78)),IF(ISERROR(_xll.qlFuturesRateHelperConvexityAdjustment($Y78)),"",_xll.qlFuturesRateHelperConvexityAdjustment($Y78)),_xll.qlSwapRateHelperSpread($Y78))</f>
        <v/>
      </c>
      <c r="AD78" s="5" t="str">
        <f>IFERROR(_xll.qlRateHelperEarliestDate(Y78,Trigger),"")</f>
        <v/>
      </c>
      <c r="AE78" s="5" t="str">
        <f>IFERROR(_xll.qlRateHelperPillarDate(Y78,Trigger),"")</f>
        <v/>
      </c>
      <c r="AF78" s="70" t="e">
        <v>#N/A</v>
      </c>
      <c r="AG78" s="77" t="e">
        <v>#N/A</v>
      </c>
      <c r="AH78" s="169" t="e">
        <v>#N/A</v>
      </c>
      <c r="AI78" s="170" t="e">
        <v>#N/A</v>
      </c>
      <c r="AJ78" s="172" t="e">
        <f t="shared" si="22"/>
        <v>#N/A</v>
      </c>
      <c r="AK78" s="80" t="e">
        <v>#N/A</v>
      </c>
      <c r="AL78" s="161" t="e">
        <f t="shared" si="23"/>
        <v>#N/A</v>
      </c>
    </row>
    <row r="79" spans="1:38" ht="11.25" customHeight="1" x14ac:dyDescent="0.2">
      <c r="A79" s="59" t="s">
        <v>118</v>
      </c>
      <c r="B79" s="60" t="s">
        <v>102</v>
      </c>
      <c r="C79" s="61" t="s">
        <v>6</v>
      </c>
      <c r="D79" s="61" t="s">
        <v>8</v>
      </c>
      <c r="E79" s="61" t="s">
        <v>7</v>
      </c>
      <c r="F79" s="61" t="s">
        <v>27</v>
      </c>
      <c r="G79" s="61" t="str">
        <f t="shared" si="19"/>
        <v>Euribor1M</v>
      </c>
      <c r="H79" s="59" t="str">
        <f t="shared" si="20"/>
        <v>EUR1E6E17Y_LCHQuote</v>
      </c>
      <c r="I79" s="154">
        <v>0</v>
      </c>
      <c r="J79" s="64"/>
      <c r="K79" s="64"/>
      <c r="M79" s="10" t="str">
        <f t="shared" si="16"/>
        <v>BasSw</v>
      </c>
      <c r="N79" s="94" t="str">
        <f t="shared" si="17"/>
        <v>--</v>
      </c>
      <c r="O79" s="94" t="str">
        <f t="shared" si="18"/>
        <v>--</v>
      </c>
      <c r="P79" s="146" t="str">
        <f>IFERROR(_xll.qlRateHelperQuoteName(N79,Trigger),"--")</f>
        <v>--</v>
      </c>
      <c r="Q79" s="98" t="str">
        <f>IFERROR(_xll.qlRateHelperQuoteValue($N79,Trigger),"--")</f>
        <v>--</v>
      </c>
      <c r="R79" s="141" t="b">
        <v>0</v>
      </c>
      <c r="S79" s="94">
        <v>10</v>
      </c>
      <c r="T79" s="94">
        <v>1</v>
      </c>
      <c r="U79" s="99" t="str">
        <f>IFERROR(_xll.qlRateHelperEarliestDate(N79,Trigger),"--")</f>
        <v>--</v>
      </c>
      <c r="V79" s="99" t="str">
        <f>IFERROR(_xll.qlRateHelperPillarDate(N79,Trigger),"--")</f>
        <v>--</v>
      </c>
      <c r="X79" s="4" t="str">
        <f t="shared" si="24"/>
        <v/>
      </c>
      <c r="Y79" s="4" t="e">
        <v>#N/A</v>
      </c>
      <c r="Z79" s="4" t="e">
        <v>#N/A</v>
      </c>
      <c r="AA79" s="4" t="str">
        <f>IFERROR(_xll.qlRateHelperQuoteName(Y79,Trigger),"")</f>
        <v/>
      </c>
      <c r="AB79" s="70" t="str">
        <f>IFERROR(_xll.qlRateHelperRate(Y79,Trigger),"")</f>
        <v/>
      </c>
      <c r="AC79" s="104" t="str">
        <f>IF(ISERROR(_xll.qlSwapRateHelperSpread($Y79)),IF(ISERROR(_xll.qlFuturesRateHelperConvexityAdjustment($Y79)),"",_xll.qlFuturesRateHelperConvexityAdjustment($Y79)),_xll.qlSwapRateHelperSpread($Y79))</f>
        <v/>
      </c>
      <c r="AD79" s="5" t="str">
        <f>IFERROR(_xll.qlRateHelperEarliestDate(Y79,Trigger),"")</f>
        <v/>
      </c>
      <c r="AE79" s="5" t="str">
        <f>IFERROR(_xll.qlRateHelperPillarDate(Y79,Trigger),"")</f>
        <v/>
      </c>
      <c r="AF79" s="70" t="e">
        <v>#N/A</v>
      </c>
      <c r="AG79" s="77" t="e">
        <v>#N/A</v>
      </c>
      <c r="AH79" s="169" t="e">
        <v>#N/A</v>
      </c>
      <c r="AI79" s="170" t="e">
        <v>#N/A</v>
      </c>
      <c r="AJ79" s="172" t="e">
        <f t="shared" si="22"/>
        <v>#N/A</v>
      </c>
      <c r="AK79" s="80" t="e">
        <v>#N/A</v>
      </c>
      <c r="AL79" s="161" t="e">
        <f t="shared" si="23"/>
        <v>#N/A</v>
      </c>
    </row>
    <row r="80" spans="1:38" ht="11.25" customHeight="1" x14ac:dyDescent="0.2">
      <c r="A80" s="59" t="s">
        <v>118</v>
      </c>
      <c r="B80" s="60" t="s">
        <v>103</v>
      </c>
      <c r="C80" s="61" t="s">
        <v>6</v>
      </c>
      <c r="D80" s="61" t="s">
        <v>8</v>
      </c>
      <c r="E80" s="61" t="s">
        <v>7</v>
      </c>
      <c r="F80" s="61" t="s">
        <v>27</v>
      </c>
      <c r="G80" s="61" t="str">
        <f t="shared" si="19"/>
        <v>Euribor1M</v>
      </c>
      <c r="H80" s="59" t="str">
        <f t="shared" si="20"/>
        <v>EUR1E6E18Y_LCHQuote</v>
      </c>
      <c r="I80" s="154">
        <v>0</v>
      </c>
      <c r="J80" s="64"/>
      <c r="K80" s="64"/>
      <c r="M80" s="10" t="str">
        <f t="shared" si="16"/>
        <v>BasSw</v>
      </c>
      <c r="N80" s="94" t="str">
        <f t="shared" si="17"/>
        <v>--</v>
      </c>
      <c r="O80" s="94" t="str">
        <f t="shared" si="18"/>
        <v>--</v>
      </c>
      <c r="P80" s="146" t="str">
        <f>IFERROR(_xll.qlRateHelperQuoteName(N80,Trigger),"--")</f>
        <v>--</v>
      </c>
      <c r="Q80" s="98" t="str">
        <f>IFERROR(_xll.qlRateHelperQuoteValue($N80,Trigger),"--")</f>
        <v>--</v>
      </c>
      <c r="R80" s="141" t="b">
        <v>0</v>
      </c>
      <c r="S80" s="94">
        <v>10</v>
      </c>
      <c r="T80" s="94">
        <v>1</v>
      </c>
      <c r="U80" s="99" t="str">
        <f>IFERROR(_xll.qlRateHelperEarliestDate(N80,Trigger),"--")</f>
        <v>--</v>
      </c>
      <c r="V80" s="99" t="str">
        <f>IFERROR(_xll.qlRateHelperPillarDate(N80,Trigger),"--")</f>
        <v>--</v>
      </c>
      <c r="X80" s="4" t="str">
        <f t="shared" si="24"/>
        <v/>
      </c>
      <c r="Y80" s="4" t="e">
        <v>#N/A</v>
      </c>
      <c r="Z80" s="4" t="e">
        <v>#N/A</v>
      </c>
      <c r="AA80" s="4" t="str">
        <f>IFERROR(_xll.qlRateHelperQuoteName(Y80,Trigger),"")</f>
        <v/>
      </c>
      <c r="AB80" s="70" t="str">
        <f>IFERROR(_xll.qlRateHelperRate(Y80,Trigger),"")</f>
        <v/>
      </c>
      <c r="AC80" s="104" t="str">
        <f>IF(ISERROR(_xll.qlSwapRateHelperSpread($Y80)),IF(ISERROR(_xll.qlFuturesRateHelperConvexityAdjustment($Y80)),"",_xll.qlFuturesRateHelperConvexityAdjustment($Y80)),_xll.qlSwapRateHelperSpread($Y80))</f>
        <v/>
      </c>
      <c r="AD80" s="5" t="str">
        <f>IFERROR(_xll.qlRateHelperEarliestDate(Y80,Trigger),"")</f>
        <v/>
      </c>
      <c r="AE80" s="5" t="str">
        <f>IFERROR(_xll.qlRateHelperPillarDate(Y80,Trigger),"")</f>
        <v/>
      </c>
      <c r="AF80" s="70" t="e">
        <v>#N/A</v>
      </c>
      <c r="AG80" s="77" t="e">
        <v>#N/A</v>
      </c>
      <c r="AH80" s="169" t="e">
        <v>#N/A</v>
      </c>
      <c r="AI80" s="170" t="e">
        <v>#N/A</v>
      </c>
      <c r="AJ80" s="172" t="e">
        <f t="shared" si="22"/>
        <v>#N/A</v>
      </c>
      <c r="AK80" s="80" t="e">
        <v>#N/A</v>
      </c>
      <c r="AL80" s="161" t="e">
        <f t="shared" si="23"/>
        <v>#N/A</v>
      </c>
    </row>
    <row r="81" spans="1:38" x14ac:dyDescent="0.2">
      <c r="A81" s="59" t="s">
        <v>118</v>
      </c>
      <c r="B81" s="60" t="s">
        <v>104</v>
      </c>
      <c r="C81" s="61" t="s">
        <v>6</v>
      </c>
      <c r="D81" s="61" t="s">
        <v>8</v>
      </c>
      <c r="E81" s="61" t="s">
        <v>7</v>
      </c>
      <c r="F81" s="61" t="s">
        <v>27</v>
      </c>
      <c r="G81" s="61" t="str">
        <f t="shared" si="19"/>
        <v>Euribor1M</v>
      </c>
      <c r="H81" s="59" t="str">
        <f t="shared" si="20"/>
        <v>EUR1E6E19Y_LCHQuote</v>
      </c>
      <c r="I81" s="154">
        <v>0</v>
      </c>
      <c r="J81" s="64"/>
      <c r="K81" s="64"/>
      <c r="M81" s="10" t="str">
        <f t="shared" si="16"/>
        <v>BasSw</v>
      </c>
      <c r="N81" s="94" t="str">
        <f t="shared" si="17"/>
        <v>obj_00758#0001</v>
      </c>
      <c r="O81" s="94" t="str">
        <f t="shared" si="18"/>
        <v>obj_00700#0001</v>
      </c>
      <c r="P81" s="146" t="str">
        <f>IFERROR(_xll.qlRateHelperQuoteName(N81,Trigger),"--")</f>
        <v>EUR1E6E25Y_LCHQuote</v>
      </c>
      <c r="Q81" s="98">
        <f>IFERROR(_xll.qlRateHelperQuoteValue($N81,Trigger),"--")</f>
        <v>1.4080000000000001E-2</v>
      </c>
      <c r="R81" s="141" t="b">
        <v>1</v>
      </c>
      <c r="S81" s="94">
        <v>10</v>
      </c>
      <c r="T81" s="94">
        <v>1</v>
      </c>
      <c r="U81" s="99">
        <f>IFERROR(_xll.qlRateHelperEarliestDate(N81,Trigger),"--")</f>
        <v>42256</v>
      </c>
      <c r="V81" s="99">
        <f>IFERROR(_xll.qlRateHelperPillarDate(N81,Trigger),"--")</f>
        <v>51389</v>
      </c>
      <c r="X81" s="4" t="str">
        <f t="shared" si="24"/>
        <v/>
      </c>
      <c r="Y81" s="4" t="e">
        <v>#N/A</v>
      </c>
      <c r="Z81" s="4" t="e">
        <v>#N/A</v>
      </c>
      <c r="AA81" s="4" t="str">
        <f>IFERROR(_xll.qlRateHelperQuoteName(Y81,Trigger),"")</f>
        <v/>
      </c>
      <c r="AB81" s="70" t="str">
        <f>IFERROR(_xll.qlRateHelperRate(Y81,Trigger),"")</f>
        <v/>
      </c>
      <c r="AC81" s="104" t="str">
        <f>IF(ISERROR(_xll.qlSwapRateHelperSpread($Y81)),IF(ISERROR(_xll.qlFuturesRateHelperConvexityAdjustment($Y81)),"",_xll.qlFuturesRateHelperConvexityAdjustment($Y81)),_xll.qlSwapRateHelperSpread($Y81))</f>
        <v/>
      </c>
      <c r="AD81" s="5" t="str">
        <f>IFERROR(_xll.qlRateHelperEarliestDate(Y81,Trigger),"")</f>
        <v/>
      </c>
      <c r="AE81" s="5" t="str">
        <f>IFERROR(_xll.qlRateHelperPillarDate(Y81,Trigger),"")</f>
        <v/>
      </c>
      <c r="AF81" s="70" t="e">
        <v>#N/A</v>
      </c>
      <c r="AG81" s="77" t="e">
        <v>#N/A</v>
      </c>
      <c r="AH81" s="169" t="e">
        <v>#N/A</v>
      </c>
      <c r="AI81" s="170" t="e">
        <v>#N/A</v>
      </c>
      <c r="AJ81" s="172" t="e">
        <f t="shared" si="22"/>
        <v>#N/A</v>
      </c>
      <c r="AK81" s="80" t="e">
        <v>#N/A</v>
      </c>
      <c r="AL81" s="161" t="e">
        <f t="shared" si="23"/>
        <v>#N/A</v>
      </c>
    </row>
    <row r="82" spans="1:38" x14ac:dyDescent="0.2">
      <c r="A82" s="59" t="s">
        <v>118</v>
      </c>
      <c r="B82" s="60" t="s">
        <v>63</v>
      </c>
      <c r="C82" s="61" t="s">
        <v>6</v>
      </c>
      <c r="D82" s="61" t="s">
        <v>8</v>
      </c>
      <c r="E82" s="61" t="s">
        <v>7</v>
      </c>
      <c r="F82" s="61" t="s">
        <v>27</v>
      </c>
      <c r="G82" s="61" t="str">
        <f t="shared" si="19"/>
        <v>Euribor1M</v>
      </c>
      <c r="H82" s="59" t="str">
        <f t="shared" si="20"/>
        <v>EUR1E6E20Y_LCHQuote</v>
      </c>
      <c r="I82" s="154">
        <v>0</v>
      </c>
      <c r="J82" s="64" t="str">
        <f>_xll.qlSwapRateHelper2(,$H82,2,$B82,Calendar,$D82,$E82,$F82,$G82,$I82,$C82,Discounting1,PillarDate,,Permanent,Trigger,ObjectOverwrite)</f>
        <v>obj_00756#0001</v>
      </c>
      <c r="K82" s="64" t="str">
        <f>_xll.qlSwapRateHelper2(,$H82,2,$B82,Calendar,$D82,$E82,$F82,$G82,$I82,$C82,Discounting2,PillarDate,,Permanent,Trigger,ObjectOverwrite)</f>
        <v>obj_00738#0001</v>
      </c>
      <c r="M82" s="10" t="str">
        <f t="shared" si="16"/>
        <v>BasSw</v>
      </c>
      <c r="N82" s="94" t="str">
        <f t="shared" si="17"/>
        <v>--</v>
      </c>
      <c r="O82" s="94" t="str">
        <f t="shared" si="18"/>
        <v>--</v>
      </c>
      <c r="P82" s="146" t="str">
        <f>IFERROR(_xll.qlRateHelperQuoteName(N82,Trigger),"--")</f>
        <v>--</v>
      </c>
      <c r="Q82" s="98" t="str">
        <f>IFERROR(_xll.qlRateHelperQuoteValue($N82,Trigger),"--")</f>
        <v>--</v>
      </c>
      <c r="R82" s="141" t="b">
        <v>0</v>
      </c>
      <c r="S82" s="94">
        <v>10</v>
      </c>
      <c r="T82" s="94">
        <v>1</v>
      </c>
      <c r="U82" s="99" t="str">
        <f>IFERROR(_xll.qlRateHelperEarliestDate(N82,Trigger),"--")</f>
        <v>--</v>
      </c>
      <c r="V82" s="99" t="str">
        <f>IFERROR(_xll.qlRateHelperPillarDate(N82,Trigger),"--")</f>
        <v>--</v>
      </c>
      <c r="X82" s="4" t="str">
        <f t="shared" si="24"/>
        <v/>
      </c>
      <c r="Y82" s="4" t="e">
        <v>#N/A</v>
      </c>
      <c r="Z82" s="4" t="e">
        <v>#N/A</v>
      </c>
      <c r="AA82" s="4" t="str">
        <f>IFERROR(_xll.qlRateHelperQuoteName(Y82,Trigger),"")</f>
        <v/>
      </c>
      <c r="AB82" s="70" t="str">
        <f>IFERROR(_xll.qlRateHelperRate(Y82,Trigger),"")</f>
        <v/>
      </c>
      <c r="AC82" s="104" t="str">
        <f>IF(ISERROR(_xll.qlSwapRateHelperSpread($Y82)),IF(ISERROR(_xll.qlFuturesRateHelperConvexityAdjustment($Y82)),"",_xll.qlFuturesRateHelperConvexityAdjustment($Y82)),_xll.qlSwapRateHelperSpread($Y82))</f>
        <v/>
      </c>
      <c r="AD82" s="5" t="str">
        <f>IFERROR(_xll.qlRateHelperEarliestDate(Y82,Trigger),"")</f>
        <v/>
      </c>
      <c r="AE82" s="5" t="str">
        <f>IFERROR(_xll.qlRateHelperPillarDate(Y82,Trigger),"")</f>
        <v/>
      </c>
      <c r="AF82" s="70" t="e">
        <v>#N/A</v>
      </c>
      <c r="AG82" s="77" t="e">
        <v>#N/A</v>
      </c>
      <c r="AH82" s="169" t="e">
        <v>#N/A</v>
      </c>
      <c r="AI82" s="170" t="e">
        <v>#N/A</v>
      </c>
      <c r="AJ82" s="172" t="e">
        <f t="shared" si="22"/>
        <v>#N/A</v>
      </c>
      <c r="AK82" s="80" t="e">
        <v>#N/A</v>
      </c>
      <c r="AL82" s="161" t="e">
        <f t="shared" si="23"/>
        <v>#N/A</v>
      </c>
    </row>
    <row r="83" spans="1:38" x14ac:dyDescent="0.2">
      <c r="A83" s="59" t="s">
        <v>118</v>
      </c>
      <c r="B83" s="60" t="s">
        <v>105</v>
      </c>
      <c r="C83" s="61" t="s">
        <v>6</v>
      </c>
      <c r="D83" s="61" t="s">
        <v>8</v>
      </c>
      <c r="E83" s="61" t="s">
        <v>7</v>
      </c>
      <c r="F83" s="61" t="s">
        <v>27</v>
      </c>
      <c r="G83" s="61" t="str">
        <f t="shared" si="19"/>
        <v>Euribor1M</v>
      </c>
      <c r="H83" s="59" t="str">
        <f t="shared" si="20"/>
        <v>EUR1E6E21Y_LCHQuote</v>
      </c>
      <c r="I83" s="154">
        <v>0</v>
      </c>
      <c r="J83" s="64"/>
      <c r="K83" s="64"/>
      <c r="M83" s="10" t="str">
        <f t="shared" si="16"/>
        <v>BasSw</v>
      </c>
      <c r="N83" s="94" t="str">
        <f t="shared" si="17"/>
        <v>--</v>
      </c>
      <c r="O83" s="94" t="str">
        <f t="shared" si="18"/>
        <v>--</v>
      </c>
      <c r="P83" s="146" t="str">
        <f>IFERROR(_xll.qlRateHelperQuoteName(N83,Trigger),"--")</f>
        <v>--</v>
      </c>
      <c r="Q83" s="98" t="str">
        <f>IFERROR(_xll.qlRateHelperQuoteValue($N83,Trigger),"--")</f>
        <v>--</v>
      </c>
      <c r="R83" s="141" t="b">
        <v>0</v>
      </c>
      <c r="S83" s="94">
        <v>10</v>
      </c>
      <c r="T83" s="94">
        <v>1</v>
      </c>
      <c r="U83" s="99" t="str">
        <f>IFERROR(_xll.qlRateHelperEarliestDate(N83,Trigger),"--")</f>
        <v>--</v>
      </c>
      <c r="V83" s="99" t="str">
        <f>IFERROR(_xll.qlRateHelperPillarDate(N83,Trigger),"--")</f>
        <v>--</v>
      </c>
      <c r="X83" s="4" t="str">
        <f t="shared" si="24"/>
        <v/>
      </c>
      <c r="Y83" s="4" t="e">
        <v>#N/A</v>
      </c>
      <c r="Z83" s="4" t="e">
        <v>#N/A</v>
      </c>
      <c r="AA83" s="4" t="str">
        <f>IFERROR(_xll.qlRateHelperQuoteName(Y83,Trigger),"")</f>
        <v/>
      </c>
      <c r="AB83" s="70" t="str">
        <f>IFERROR(_xll.qlRateHelperRate(Y83,Trigger),"")</f>
        <v/>
      </c>
      <c r="AC83" s="104" t="str">
        <f>IF(ISERROR(_xll.qlSwapRateHelperSpread($Y83)),IF(ISERROR(_xll.qlFuturesRateHelperConvexityAdjustment($Y83)),"",_xll.qlFuturesRateHelperConvexityAdjustment($Y83)),_xll.qlSwapRateHelperSpread($Y83))</f>
        <v/>
      </c>
      <c r="AD83" s="5" t="str">
        <f>IFERROR(_xll.qlRateHelperEarliestDate(Y83,Trigger),"")</f>
        <v/>
      </c>
      <c r="AE83" s="5" t="str">
        <f>IFERROR(_xll.qlRateHelperPillarDate(Y83,Trigger),"")</f>
        <v/>
      </c>
      <c r="AF83" s="70" t="e">
        <v>#N/A</v>
      </c>
      <c r="AG83" s="77" t="e">
        <v>#N/A</v>
      </c>
      <c r="AH83" s="169" t="e">
        <v>#N/A</v>
      </c>
      <c r="AI83" s="170" t="e">
        <v>#N/A</v>
      </c>
      <c r="AJ83" s="172" t="e">
        <f t="shared" si="22"/>
        <v>#N/A</v>
      </c>
      <c r="AK83" s="80" t="e">
        <v>#N/A</v>
      </c>
      <c r="AL83" s="161" t="e">
        <f t="shared" si="23"/>
        <v>#N/A</v>
      </c>
    </row>
    <row r="84" spans="1:38" x14ac:dyDescent="0.2">
      <c r="A84" s="59" t="s">
        <v>118</v>
      </c>
      <c r="B84" s="60" t="s">
        <v>106</v>
      </c>
      <c r="C84" s="61" t="s">
        <v>6</v>
      </c>
      <c r="D84" s="61" t="s">
        <v>8</v>
      </c>
      <c r="E84" s="61" t="s">
        <v>7</v>
      </c>
      <c r="F84" s="61" t="s">
        <v>27</v>
      </c>
      <c r="G84" s="61" t="str">
        <f t="shared" si="19"/>
        <v>Euribor1M</v>
      </c>
      <c r="H84" s="59" t="str">
        <f t="shared" si="20"/>
        <v>EUR1E6E22Y_LCHQuote</v>
      </c>
      <c r="I84" s="154">
        <v>0</v>
      </c>
      <c r="J84" s="64"/>
      <c r="K84" s="64"/>
      <c r="M84" s="10" t="str">
        <f t="shared" si="16"/>
        <v>BasSw</v>
      </c>
      <c r="N84" s="94" t="str">
        <f t="shared" si="17"/>
        <v>--</v>
      </c>
      <c r="O84" s="94" t="str">
        <f t="shared" si="18"/>
        <v>--</v>
      </c>
      <c r="P84" s="146" t="str">
        <f>IFERROR(_xll.qlRateHelperQuoteName(N84,Trigger),"--")</f>
        <v>--</v>
      </c>
      <c r="Q84" s="98" t="str">
        <f>IFERROR(_xll.qlRateHelperQuoteValue($N84,Trigger),"--")</f>
        <v>--</v>
      </c>
      <c r="R84" s="141" t="b">
        <v>0</v>
      </c>
      <c r="S84" s="94">
        <v>10</v>
      </c>
      <c r="T84" s="94">
        <v>1</v>
      </c>
      <c r="U84" s="99" t="str">
        <f>IFERROR(_xll.qlRateHelperEarliestDate(N84,Trigger),"--")</f>
        <v>--</v>
      </c>
      <c r="V84" s="99" t="str">
        <f>IFERROR(_xll.qlRateHelperPillarDate(N84,Trigger),"--")</f>
        <v>--</v>
      </c>
      <c r="X84" s="4" t="str">
        <f t="shared" si="24"/>
        <v/>
      </c>
      <c r="Y84" s="4" t="e">
        <v>#N/A</v>
      </c>
      <c r="Z84" s="4" t="e">
        <v>#N/A</v>
      </c>
      <c r="AA84" s="4" t="str">
        <f>IFERROR(_xll.qlRateHelperQuoteName(Y84,Trigger),"")</f>
        <v/>
      </c>
      <c r="AB84" s="70" t="str">
        <f>IFERROR(_xll.qlRateHelperRate(Y84,Trigger),"")</f>
        <v/>
      </c>
      <c r="AC84" s="104" t="str">
        <f>IF(ISERROR(_xll.qlSwapRateHelperSpread($Y84)),IF(ISERROR(_xll.qlFuturesRateHelperConvexityAdjustment($Y84)),"",_xll.qlFuturesRateHelperConvexityAdjustment($Y84)),_xll.qlSwapRateHelperSpread($Y84))</f>
        <v/>
      </c>
      <c r="AD84" s="5" t="str">
        <f>IFERROR(_xll.qlRateHelperEarliestDate(Y84,Trigger),"")</f>
        <v/>
      </c>
      <c r="AE84" s="5" t="str">
        <f>IFERROR(_xll.qlRateHelperPillarDate(Y84,Trigger),"")</f>
        <v/>
      </c>
      <c r="AF84" s="70" t="e">
        <v>#N/A</v>
      </c>
      <c r="AG84" s="77" t="e">
        <v>#N/A</v>
      </c>
      <c r="AH84" s="169" t="e">
        <v>#N/A</v>
      </c>
      <c r="AI84" s="170" t="e">
        <v>#N/A</v>
      </c>
      <c r="AJ84" s="172" t="e">
        <f t="shared" si="22"/>
        <v>#N/A</v>
      </c>
      <c r="AK84" s="80" t="e">
        <v>#N/A</v>
      </c>
      <c r="AL84" s="161" t="e">
        <f t="shared" si="23"/>
        <v>#N/A</v>
      </c>
    </row>
    <row r="85" spans="1:38" x14ac:dyDescent="0.2">
      <c r="A85" s="59" t="s">
        <v>118</v>
      </c>
      <c r="B85" s="60" t="s">
        <v>107</v>
      </c>
      <c r="C85" s="61" t="s">
        <v>6</v>
      </c>
      <c r="D85" s="61" t="s">
        <v>8</v>
      </c>
      <c r="E85" s="61" t="s">
        <v>7</v>
      </c>
      <c r="F85" s="61" t="s">
        <v>27</v>
      </c>
      <c r="G85" s="61" t="str">
        <f t="shared" si="19"/>
        <v>Euribor1M</v>
      </c>
      <c r="H85" s="59" t="str">
        <f t="shared" si="20"/>
        <v>EUR1E6E23Y_LCHQuote</v>
      </c>
      <c r="I85" s="154">
        <v>0</v>
      </c>
      <c r="J85" s="64"/>
      <c r="K85" s="64"/>
      <c r="M85" s="10" t="str">
        <f t="shared" si="16"/>
        <v>BasSw</v>
      </c>
      <c r="N85" s="94" t="str">
        <f t="shared" si="17"/>
        <v>--</v>
      </c>
      <c r="O85" s="94" t="str">
        <f t="shared" si="18"/>
        <v>--</v>
      </c>
      <c r="P85" s="146" t="str">
        <f>IFERROR(_xll.qlRateHelperQuoteName(N85,Trigger),"--")</f>
        <v>--</v>
      </c>
      <c r="Q85" s="98" t="str">
        <f>IFERROR(_xll.qlRateHelperQuoteValue($N85,Trigger),"--")</f>
        <v>--</v>
      </c>
      <c r="R85" s="141" t="b">
        <v>0</v>
      </c>
      <c r="S85" s="94">
        <v>10</v>
      </c>
      <c r="T85" s="94">
        <v>1</v>
      </c>
      <c r="U85" s="99" t="str">
        <f>IFERROR(_xll.qlRateHelperEarliestDate(N85,Trigger),"--")</f>
        <v>--</v>
      </c>
      <c r="V85" s="99" t="str">
        <f>IFERROR(_xll.qlRateHelperPillarDate(N85,Trigger),"--")</f>
        <v>--</v>
      </c>
      <c r="X85" s="4" t="str">
        <f t="shared" si="24"/>
        <v/>
      </c>
      <c r="Y85" s="4" t="e">
        <v>#N/A</v>
      </c>
      <c r="Z85" s="4" t="e">
        <v>#N/A</v>
      </c>
      <c r="AA85" s="4" t="str">
        <f>IFERROR(_xll.qlRateHelperQuoteName(Y85,Trigger),"")</f>
        <v/>
      </c>
      <c r="AB85" s="70" t="str">
        <f>IFERROR(_xll.qlRateHelperRate(Y85,Trigger),"")</f>
        <v/>
      </c>
      <c r="AC85" s="104" t="str">
        <f>IF(ISERROR(_xll.qlSwapRateHelperSpread($Y85)),IF(ISERROR(_xll.qlFuturesRateHelperConvexityAdjustment($Y85)),"",_xll.qlFuturesRateHelperConvexityAdjustment($Y85)),_xll.qlSwapRateHelperSpread($Y85))</f>
        <v/>
      </c>
      <c r="AD85" s="5" t="str">
        <f>IFERROR(_xll.qlRateHelperEarliestDate(Y85,Trigger),"")</f>
        <v/>
      </c>
      <c r="AE85" s="5" t="str">
        <f>IFERROR(_xll.qlRateHelperPillarDate(Y85,Trigger),"")</f>
        <v/>
      </c>
      <c r="AF85" s="70" t="e">
        <v>#N/A</v>
      </c>
      <c r="AG85" s="77" t="e">
        <v>#N/A</v>
      </c>
      <c r="AH85" s="169" t="e">
        <v>#N/A</v>
      </c>
      <c r="AI85" s="170" t="e">
        <v>#N/A</v>
      </c>
      <c r="AJ85" s="172" t="e">
        <f t="shared" si="22"/>
        <v>#N/A</v>
      </c>
      <c r="AK85" s="80" t="e">
        <v>#N/A</v>
      </c>
      <c r="AL85" s="161" t="e">
        <f t="shared" si="23"/>
        <v>#N/A</v>
      </c>
    </row>
    <row r="86" spans="1:38" x14ac:dyDescent="0.2">
      <c r="A86" s="59" t="s">
        <v>118</v>
      </c>
      <c r="B86" s="60" t="s">
        <v>108</v>
      </c>
      <c r="C86" s="61" t="s">
        <v>6</v>
      </c>
      <c r="D86" s="61" t="s">
        <v>8</v>
      </c>
      <c r="E86" s="61" t="s">
        <v>7</v>
      </c>
      <c r="F86" s="61" t="s">
        <v>27</v>
      </c>
      <c r="G86" s="61" t="str">
        <f t="shared" si="19"/>
        <v>Euribor1M</v>
      </c>
      <c r="H86" s="59" t="str">
        <f t="shared" si="20"/>
        <v>EUR1E6E24Y_LCHQuote</v>
      </c>
      <c r="I86" s="154">
        <v>0</v>
      </c>
      <c r="J86" s="64"/>
      <c r="K86" s="64"/>
      <c r="M86" s="10" t="str">
        <f t="shared" si="16"/>
        <v>BasSw</v>
      </c>
      <c r="N86" s="94" t="str">
        <f t="shared" si="17"/>
        <v>obj_00745#0001</v>
      </c>
      <c r="O86" s="94" t="str">
        <f t="shared" si="18"/>
        <v>obj_00702#0001</v>
      </c>
      <c r="P86" s="146" t="str">
        <f>IFERROR(_xll.qlRateHelperQuoteName(N86,Trigger),"--")</f>
        <v>EUR1E6E30Y_LCHQuote</v>
      </c>
      <c r="Q86" s="98">
        <f>IFERROR(_xll.qlRateHelperQuoteValue($N86,Trigger),"--")</f>
        <v>1.4297499999999999E-2</v>
      </c>
      <c r="R86" s="141" t="b">
        <v>1</v>
      </c>
      <c r="S86" s="94">
        <v>10</v>
      </c>
      <c r="T86" s="94">
        <v>1</v>
      </c>
      <c r="U86" s="99">
        <f>IFERROR(_xll.qlRateHelperEarliestDate(N86,Trigger),"--")</f>
        <v>42256</v>
      </c>
      <c r="V86" s="99">
        <f>IFERROR(_xll.qlRateHelperPillarDate(N86,Trigger),"--")</f>
        <v>53216</v>
      </c>
      <c r="X86" s="4" t="str">
        <f t="shared" si="24"/>
        <v/>
      </c>
      <c r="Y86" s="4" t="e">
        <v>#N/A</v>
      </c>
      <c r="Z86" s="4" t="e">
        <v>#N/A</v>
      </c>
      <c r="AA86" s="4" t="str">
        <f>IFERROR(_xll.qlRateHelperQuoteName(Y86,Trigger),"")</f>
        <v/>
      </c>
      <c r="AB86" s="70" t="str">
        <f>IFERROR(_xll.qlRateHelperRate(Y86,Trigger),"")</f>
        <v/>
      </c>
      <c r="AC86" s="104" t="str">
        <f>IF(ISERROR(_xll.qlSwapRateHelperSpread($Y86)),IF(ISERROR(_xll.qlFuturesRateHelperConvexityAdjustment($Y86)),"",_xll.qlFuturesRateHelperConvexityAdjustment($Y86)),_xll.qlSwapRateHelperSpread($Y86))</f>
        <v/>
      </c>
      <c r="AD86" s="5" t="str">
        <f>IFERROR(_xll.qlRateHelperEarliestDate(Y86,Trigger),"")</f>
        <v/>
      </c>
      <c r="AE86" s="5" t="str">
        <f>IFERROR(_xll.qlRateHelperPillarDate(Y86,Trigger),"")</f>
        <v/>
      </c>
      <c r="AF86" s="70" t="e">
        <v>#N/A</v>
      </c>
      <c r="AG86" s="77" t="e">
        <v>#N/A</v>
      </c>
      <c r="AH86" s="169" t="e">
        <v>#N/A</v>
      </c>
      <c r="AI86" s="170" t="e">
        <v>#N/A</v>
      </c>
      <c r="AJ86" s="172" t="e">
        <f t="shared" si="22"/>
        <v>#N/A</v>
      </c>
      <c r="AK86" s="80" t="e">
        <v>#N/A</v>
      </c>
      <c r="AL86" s="161" t="e">
        <f t="shared" si="23"/>
        <v>#N/A</v>
      </c>
    </row>
    <row r="87" spans="1:38" x14ac:dyDescent="0.2">
      <c r="A87" s="59" t="s">
        <v>118</v>
      </c>
      <c r="B87" s="60" t="s">
        <v>64</v>
      </c>
      <c r="C87" s="61" t="s">
        <v>6</v>
      </c>
      <c r="D87" s="61" t="s">
        <v>8</v>
      </c>
      <c r="E87" s="61" t="s">
        <v>7</v>
      </c>
      <c r="F87" s="61" t="s">
        <v>27</v>
      </c>
      <c r="G87" s="61" t="str">
        <f t="shared" si="19"/>
        <v>Euribor1M</v>
      </c>
      <c r="H87" s="59" t="str">
        <f t="shared" si="20"/>
        <v>EUR1E6E25Y_LCHQuote</v>
      </c>
      <c r="I87" s="154">
        <v>0</v>
      </c>
      <c r="J87" s="64" t="str">
        <f>_xll.qlSwapRateHelper2(,$H87,2,$B87,Calendar,$D87,$E87,$F87,$G87,$I87,$C87,Discounting1,PillarDate,,Permanent,Trigger,ObjectOverwrite)</f>
        <v>obj_00758#0001</v>
      </c>
      <c r="K87" s="64" t="str">
        <f>_xll.qlSwapRateHelper2(,$H87,2,$B87,Calendar,$D87,$E87,$F87,$G87,$I87,$C87,Discounting2,PillarDate,,Permanent,Trigger,ObjectOverwrite)</f>
        <v>obj_00700#0001</v>
      </c>
      <c r="M87" s="10" t="str">
        <f t="shared" si="16"/>
        <v>BasSw</v>
      </c>
      <c r="N87" s="94" t="str">
        <f t="shared" si="17"/>
        <v>--</v>
      </c>
      <c r="O87" s="94" t="str">
        <f t="shared" si="18"/>
        <v>--</v>
      </c>
      <c r="P87" s="146" t="str">
        <f>IFERROR(_xll.qlRateHelperQuoteName(N87,Trigger),"--")</f>
        <v>--</v>
      </c>
      <c r="Q87" s="98" t="str">
        <f>IFERROR(_xll.qlRateHelperQuoteValue($N87,Trigger),"--")</f>
        <v>--</v>
      </c>
      <c r="R87" s="141" t="b">
        <v>0</v>
      </c>
      <c r="S87" s="94">
        <v>10</v>
      </c>
      <c r="T87" s="94">
        <v>1</v>
      </c>
      <c r="U87" s="99" t="str">
        <f>IFERROR(_xll.qlRateHelperEarliestDate(N87,Trigger),"--")</f>
        <v>--</v>
      </c>
      <c r="V87" s="99" t="str">
        <f>IFERROR(_xll.qlRateHelperPillarDate(N87,Trigger),"--")</f>
        <v>--</v>
      </c>
      <c r="X87" s="4" t="str">
        <f t="shared" si="24"/>
        <v/>
      </c>
      <c r="Y87" s="4" t="e">
        <v>#N/A</v>
      </c>
      <c r="Z87" s="4" t="e">
        <v>#N/A</v>
      </c>
      <c r="AA87" s="4" t="str">
        <f>IFERROR(_xll.qlRateHelperQuoteName(Y87,Trigger),"")</f>
        <v/>
      </c>
      <c r="AB87" s="70" t="str">
        <f>IFERROR(_xll.qlRateHelperRate(Y87,Trigger),"")</f>
        <v/>
      </c>
      <c r="AC87" s="104" t="str">
        <f>IF(ISERROR(_xll.qlSwapRateHelperSpread($Y87)),IF(ISERROR(_xll.qlFuturesRateHelperConvexityAdjustment($Y87)),"",_xll.qlFuturesRateHelperConvexityAdjustment($Y87)),_xll.qlSwapRateHelperSpread($Y87))</f>
        <v/>
      </c>
      <c r="AD87" s="5" t="str">
        <f>IFERROR(_xll.qlRateHelperEarliestDate(Y87,Trigger),"")</f>
        <v/>
      </c>
      <c r="AE87" s="5" t="str">
        <f>IFERROR(_xll.qlRateHelperPillarDate(Y87,Trigger),"")</f>
        <v/>
      </c>
      <c r="AF87" s="70" t="e">
        <v>#N/A</v>
      </c>
      <c r="AG87" s="77" t="e">
        <v>#N/A</v>
      </c>
      <c r="AH87" s="169" t="e">
        <v>#N/A</v>
      </c>
      <c r="AI87" s="170" t="e">
        <v>#N/A</v>
      </c>
      <c r="AJ87" s="172" t="e">
        <f t="shared" si="22"/>
        <v>#N/A</v>
      </c>
      <c r="AK87" s="80" t="e">
        <v>#N/A</v>
      </c>
      <c r="AL87" s="161" t="e">
        <f t="shared" si="23"/>
        <v>#N/A</v>
      </c>
    </row>
    <row r="88" spans="1:38" x14ac:dyDescent="0.2">
      <c r="A88" s="59" t="s">
        <v>118</v>
      </c>
      <c r="B88" s="60" t="s">
        <v>109</v>
      </c>
      <c r="C88" s="61" t="s">
        <v>6</v>
      </c>
      <c r="D88" s="61" t="s">
        <v>8</v>
      </c>
      <c r="E88" s="61" t="s">
        <v>7</v>
      </c>
      <c r="F88" s="61" t="s">
        <v>27</v>
      </c>
      <c r="G88" s="61" t="str">
        <f t="shared" si="19"/>
        <v>Euribor1M</v>
      </c>
      <c r="H88" s="59" t="str">
        <f t="shared" si="20"/>
        <v>EUR1E6E26Y_LCHQuote</v>
      </c>
      <c r="I88" s="154">
        <v>0</v>
      </c>
      <c r="J88" s="64"/>
      <c r="K88" s="64"/>
      <c r="M88" s="10" t="str">
        <f t="shared" si="16"/>
        <v>BasSw</v>
      </c>
      <c r="N88" s="94" t="str">
        <f t="shared" si="17"/>
        <v>obj_00755#0001</v>
      </c>
      <c r="O88" s="94" t="str">
        <f t="shared" si="18"/>
        <v>obj_00730#0001</v>
      </c>
      <c r="P88" s="146" t="str">
        <f>IFERROR(_xll.qlRateHelperQuoteName(N88,Trigger),"--")</f>
        <v>EUR1E6E40Y_LCHQuote</v>
      </c>
      <c r="Q88" s="98">
        <f>IFERROR(_xll.qlRateHelperQuoteValue($N88,Trigger),"--")</f>
        <v>1.46275E-2</v>
      </c>
      <c r="R88" s="141" t="b">
        <v>1</v>
      </c>
      <c r="S88" s="94">
        <v>10</v>
      </c>
      <c r="T88" s="94">
        <v>1</v>
      </c>
      <c r="U88" s="99">
        <f>IFERROR(_xll.qlRateHelperEarliestDate(N88,Trigger),"--")</f>
        <v>42256</v>
      </c>
      <c r="V88" s="99">
        <f>IFERROR(_xll.qlRateHelperPillarDate(N88,Trigger),"--")</f>
        <v>56866</v>
      </c>
      <c r="X88" s="4" t="str">
        <f t="shared" si="24"/>
        <v/>
      </c>
      <c r="Y88" s="4" t="e">
        <v>#N/A</v>
      </c>
      <c r="Z88" s="4" t="e">
        <v>#N/A</v>
      </c>
      <c r="AA88" s="4" t="str">
        <f>IFERROR(_xll.qlRateHelperQuoteName(Y88,Trigger),"")</f>
        <v/>
      </c>
      <c r="AB88" s="70" t="str">
        <f>IFERROR(_xll.qlRateHelperRate(Y88,Trigger),"")</f>
        <v/>
      </c>
      <c r="AC88" s="104" t="str">
        <f>IF(ISERROR(_xll.qlSwapRateHelperSpread($Y88)),IF(ISERROR(_xll.qlFuturesRateHelperConvexityAdjustment($Y88)),"",_xll.qlFuturesRateHelperConvexityAdjustment($Y88)),_xll.qlSwapRateHelperSpread($Y88))</f>
        <v/>
      </c>
      <c r="AD88" s="5" t="str">
        <f>IFERROR(_xll.qlRateHelperEarliestDate(Y88,Trigger),"")</f>
        <v/>
      </c>
      <c r="AE88" s="5" t="str">
        <f>IFERROR(_xll.qlRateHelperPillarDate(Y88,Trigger),"")</f>
        <v/>
      </c>
      <c r="AF88" s="70" t="e">
        <v>#N/A</v>
      </c>
      <c r="AG88" s="77" t="e">
        <v>#N/A</v>
      </c>
      <c r="AH88" s="169" t="e">
        <v>#N/A</v>
      </c>
      <c r="AI88" s="170" t="e">
        <v>#N/A</v>
      </c>
      <c r="AJ88" s="172" t="e">
        <f t="shared" si="22"/>
        <v>#N/A</v>
      </c>
      <c r="AK88" s="80" t="e">
        <v>#N/A</v>
      </c>
      <c r="AL88" s="161" t="e">
        <f t="shared" si="23"/>
        <v>#N/A</v>
      </c>
    </row>
    <row r="89" spans="1:38" x14ac:dyDescent="0.2">
      <c r="A89" s="59" t="s">
        <v>118</v>
      </c>
      <c r="B89" s="60" t="s">
        <v>65</v>
      </c>
      <c r="C89" s="61" t="s">
        <v>6</v>
      </c>
      <c r="D89" s="61" t="s">
        <v>8</v>
      </c>
      <c r="E89" s="61" t="s">
        <v>7</v>
      </c>
      <c r="F89" s="61" t="s">
        <v>27</v>
      </c>
      <c r="G89" s="61" t="str">
        <f t="shared" si="19"/>
        <v>Euribor1M</v>
      </c>
      <c r="H89" s="59" t="str">
        <f t="shared" si="20"/>
        <v>EUR1E6E27Y_LCHQuote</v>
      </c>
      <c r="I89" s="154">
        <v>0</v>
      </c>
      <c r="J89" s="64"/>
      <c r="K89" s="64"/>
      <c r="M89" s="10" t="str">
        <f t="shared" si="16"/>
        <v>BasSw</v>
      </c>
      <c r="N89" s="94" t="str">
        <f t="shared" si="17"/>
        <v>obj_0074b#0001</v>
      </c>
      <c r="O89" s="94" t="str">
        <f t="shared" si="18"/>
        <v>obj_006e9#0001</v>
      </c>
      <c r="P89" s="146" t="str">
        <f>IFERROR(_xll.qlRateHelperQuoteName(N89,Trigger),"--")</f>
        <v>EUR1E6E50Y_LCHQuote</v>
      </c>
      <c r="Q89" s="98">
        <f>IFERROR(_xll.qlRateHelperQuoteValue($N89,Trigger),"--")</f>
        <v>1.43675E-2</v>
      </c>
      <c r="R89" s="141" t="b">
        <v>1</v>
      </c>
      <c r="S89" s="94">
        <v>10</v>
      </c>
      <c r="T89" s="94">
        <v>1</v>
      </c>
      <c r="U89" s="99">
        <f>IFERROR(_xll.qlRateHelperEarliestDate(N89,Trigger),"--")</f>
        <v>42256</v>
      </c>
      <c r="V89" s="99">
        <f>IFERROR(_xll.qlRateHelperPillarDate(N89,Trigger),"--")</f>
        <v>60519</v>
      </c>
      <c r="X89" s="4" t="str">
        <f t="shared" si="24"/>
        <v/>
      </c>
      <c r="Y89" s="4" t="e">
        <v>#N/A</v>
      </c>
      <c r="Z89" s="4" t="e">
        <v>#N/A</v>
      </c>
      <c r="AA89" s="4" t="str">
        <f>IFERROR(_xll.qlRateHelperQuoteName(Y89,Trigger),"")</f>
        <v/>
      </c>
      <c r="AB89" s="70" t="str">
        <f>IFERROR(_xll.qlRateHelperRate(Y89,Trigger),"")</f>
        <v/>
      </c>
      <c r="AC89" s="104" t="str">
        <f>IF(ISERROR(_xll.qlSwapRateHelperSpread($Y89)),IF(ISERROR(_xll.qlFuturesRateHelperConvexityAdjustment($Y89)),"",_xll.qlFuturesRateHelperConvexityAdjustment($Y89)),_xll.qlSwapRateHelperSpread($Y89))</f>
        <v/>
      </c>
      <c r="AD89" s="5" t="str">
        <f>IFERROR(_xll.qlRateHelperEarliestDate(Y89,Trigger),"")</f>
        <v/>
      </c>
      <c r="AE89" s="5" t="str">
        <f>IFERROR(_xll.qlRateHelperPillarDate(Y89,Trigger),"")</f>
        <v/>
      </c>
      <c r="AF89" s="70" t="e">
        <v>#N/A</v>
      </c>
      <c r="AG89" s="77" t="e">
        <v>#N/A</v>
      </c>
      <c r="AH89" s="169" t="e">
        <v>#N/A</v>
      </c>
      <c r="AI89" s="170" t="e">
        <v>#N/A</v>
      </c>
      <c r="AJ89" s="172" t="e">
        <f t="shared" si="22"/>
        <v>#N/A</v>
      </c>
      <c r="AK89" s="80" t="e">
        <v>#N/A</v>
      </c>
      <c r="AL89" s="161" t="e">
        <f t="shared" si="23"/>
        <v>#N/A</v>
      </c>
    </row>
    <row r="90" spans="1:38" x14ac:dyDescent="0.2">
      <c r="A90" s="59" t="s">
        <v>118</v>
      </c>
      <c r="B90" s="60" t="s">
        <v>110</v>
      </c>
      <c r="C90" s="61" t="s">
        <v>6</v>
      </c>
      <c r="D90" s="61" t="s">
        <v>8</v>
      </c>
      <c r="E90" s="61" t="s">
        <v>7</v>
      </c>
      <c r="F90" s="61" t="s">
        <v>27</v>
      </c>
      <c r="G90" s="61" t="str">
        <f t="shared" si="19"/>
        <v>Euribor1M</v>
      </c>
      <c r="H90" s="59" t="str">
        <f t="shared" si="20"/>
        <v>EUR1E6E28Y_LCHQuote</v>
      </c>
      <c r="I90" s="154">
        <v>0</v>
      </c>
      <c r="J90" s="64"/>
      <c r="K90" s="64"/>
      <c r="L90" s="46" t="s">
        <v>36</v>
      </c>
      <c r="M90" s="11" t="str">
        <f t="shared" si="16"/>
        <v>BasSw</v>
      </c>
      <c r="N90" s="95" t="str">
        <f t="shared" si="17"/>
        <v>obj_00754#0001</v>
      </c>
      <c r="O90" s="95" t="str">
        <f t="shared" si="18"/>
        <v>obj_00731#0001</v>
      </c>
      <c r="P90" s="147" t="str">
        <f>IFERROR(_xll.qlRateHelperQuoteName(N90,Trigger),"--")</f>
        <v>EUR1E6E60Y_LCHQuote</v>
      </c>
      <c r="Q90" s="101">
        <f>IFERROR(_xll.qlRateHelperQuoteValue($N90,Trigger),"--")</f>
        <v>1.4154999999999999E-2</v>
      </c>
      <c r="R90" s="144" t="b">
        <v>1</v>
      </c>
      <c r="S90" s="95">
        <v>10</v>
      </c>
      <c r="T90" s="95">
        <v>1</v>
      </c>
      <c r="U90" s="102">
        <f>IFERROR(_xll.qlRateHelperEarliestDate(N90,Trigger),"--")</f>
        <v>42256</v>
      </c>
      <c r="V90" s="102">
        <f>IFERROR(_xll.qlRateHelperPillarDate(N90,Trigger),"--")</f>
        <v>64171</v>
      </c>
      <c r="X90" s="6" t="str">
        <f t="shared" si="24"/>
        <v/>
      </c>
      <c r="Y90" s="6" t="e">
        <v>#N/A</v>
      </c>
      <c r="Z90" s="6" t="e">
        <v>#N/A</v>
      </c>
      <c r="AA90" s="6" t="str">
        <f>IFERROR(_xll.qlRateHelperQuoteName(Y90,Trigger),"")</f>
        <v/>
      </c>
      <c r="AB90" s="79" t="str">
        <f>IFERROR(_xll.qlRateHelperRate(Y90,Trigger),"")</f>
        <v/>
      </c>
      <c r="AC90" s="105" t="str">
        <f>IF(ISERROR(_xll.qlSwapRateHelperSpread($Y90)),IF(ISERROR(_xll.qlFuturesRateHelperConvexityAdjustment($Y90)),"",_xll.qlFuturesRateHelperConvexityAdjustment($Y90)),_xll.qlSwapRateHelperSpread($Y90))</f>
        <v/>
      </c>
      <c r="AD90" s="12" t="str">
        <f>IFERROR(_xll.qlRateHelperEarliestDate(Y90,Trigger),"")</f>
        <v/>
      </c>
      <c r="AE90" s="12" t="str">
        <f>IFERROR(_xll.qlRateHelperPillarDate(Y90,Trigger),"")</f>
        <v/>
      </c>
      <c r="AF90" s="79" t="e">
        <v>#N/A</v>
      </c>
      <c r="AG90" s="78" t="e">
        <v>#N/A</v>
      </c>
      <c r="AH90" s="46" t="e">
        <v>#N/A</v>
      </c>
      <c r="AI90" s="46" t="e">
        <v>#N/A</v>
      </c>
      <c r="AJ90" s="172" t="e">
        <f t="shared" si="22"/>
        <v>#N/A</v>
      </c>
      <c r="AK90" s="46" t="e">
        <v>#N/A</v>
      </c>
      <c r="AL90" s="161" t="e">
        <f t="shared" si="23"/>
        <v>#N/A</v>
      </c>
    </row>
    <row r="91" spans="1:38" x14ac:dyDescent="0.2">
      <c r="A91" s="59" t="s">
        <v>118</v>
      </c>
      <c r="B91" s="60" t="s">
        <v>111</v>
      </c>
      <c r="C91" s="61" t="s">
        <v>6</v>
      </c>
      <c r="D91" s="61" t="s">
        <v>8</v>
      </c>
      <c r="E91" s="61" t="s">
        <v>7</v>
      </c>
      <c r="F91" s="61" t="s">
        <v>27</v>
      </c>
      <c r="G91" s="61" t="str">
        <f t="shared" si="19"/>
        <v>Euribor1M</v>
      </c>
      <c r="H91" s="59" t="str">
        <f t="shared" si="20"/>
        <v>EUR1E6E29Y_LCHQuote</v>
      </c>
      <c r="I91" s="154">
        <v>0</v>
      </c>
      <c r="J91" s="64"/>
      <c r="K91" s="64"/>
      <c r="M91" s="160"/>
    </row>
    <row r="92" spans="1:38" x14ac:dyDescent="0.2">
      <c r="A92" s="59" t="s">
        <v>118</v>
      </c>
      <c r="B92" s="60" t="s">
        <v>66</v>
      </c>
      <c r="C92" s="61" t="s">
        <v>6</v>
      </c>
      <c r="D92" s="61" t="s">
        <v>8</v>
      </c>
      <c r="E92" s="61" t="s">
        <v>7</v>
      </c>
      <c r="F92" s="61" t="s">
        <v>27</v>
      </c>
      <c r="G92" s="61" t="str">
        <f t="shared" si="19"/>
        <v>Euribor1M</v>
      </c>
      <c r="H92" s="59" t="str">
        <f t="shared" si="20"/>
        <v>EUR1E6E30Y_LCHQuote</v>
      </c>
      <c r="I92" s="154">
        <v>0</v>
      </c>
      <c r="J92" s="64" t="str">
        <f>_xll.qlSwapRateHelper2(,$H92,2,$B92,Calendar,$D92,$E92,$F92,$G92,$I92,$C92,Discounting1,PillarDate,,Permanent,Trigger,ObjectOverwrite)</f>
        <v>obj_00745#0001</v>
      </c>
      <c r="K92" s="64" t="str">
        <f>_xll.qlSwapRateHelper2(,$H92,2,$B92,Calendar,$D92,$E92,$F92,$G92,$I92,$C92,Discounting2,PillarDate,,Permanent,Trigger,ObjectOverwrite)</f>
        <v>obj_00702#0001</v>
      </c>
    </row>
    <row r="93" spans="1:38" x14ac:dyDescent="0.2">
      <c r="A93" s="59" t="s">
        <v>118</v>
      </c>
      <c r="B93" s="60" t="s">
        <v>67</v>
      </c>
      <c r="C93" s="61" t="s">
        <v>6</v>
      </c>
      <c r="D93" s="61" t="s">
        <v>8</v>
      </c>
      <c r="E93" s="61" t="s">
        <v>7</v>
      </c>
      <c r="F93" s="61" t="s">
        <v>27</v>
      </c>
      <c r="G93" s="61" t="str">
        <f t="shared" si="19"/>
        <v>Euribor1M</v>
      </c>
      <c r="H93" s="59" t="str">
        <f t="shared" si="20"/>
        <v>EUR1E6E35Y_LCHQuote</v>
      </c>
      <c r="I93" s="154">
        <v>0</v>
      </c>
      <c r="J93" s="64"/>
      <c r="K93" s="64"/>
    </row>
    <row r="94" spans="1:38" x14ac:dyDescent="0.2">
      <c r="A94" s="59" t="s">
        <v>118</v>
      </c>
      <c r="B94" s="60" t="s">
        <v>68</v>
      </c>
      <c r="C94" s="61" t="s">
        <v>6</v>
      </c>
      <c r="D94" s="61" t="s">
        <v>8</v>
      </c>
      <c r="E94" s="61" t="s">
        <v>7</v>
      </c>
      <c r="F94" s="61" t="s">
        <v>27</v>
      </c>
      <c r="G94" s="61" t="str">
        <f t="shared" si="19"/>
        <v>Euribor1M</v>
      </c>
      <c r="H94" s="59" t="str">
        <f t="shared" si="20"/>
        <v>EUR1E6E40Y_LCHQuote</v>
      </c>
      <c r="I94" s="154">
        <v>0</v>
      </c>
      <c r="J94" s="64" t="str">
        <f>_xll.qlSwapRateHelper2(,$H94,2,$B94,Calendar,$D94,$E94,$F94,$G94,$I94,$C94,Discounting1,PillarDate,,Permanent,Trigger,ObjectOverwrite)</f>
        <v>obj_00755#0001</v>
      </c>
      <c r="K94" s="64" t="str">
        <f>_xll.qlSwapRateHelper2(,$H94,2,$B94,Calendar,$D94,$E94,$F94,$G94,$I94,$C94,Discounting2,PillarDate,,Permanent,Trigger,ObjectOverwrite)</f>
        <v>obj_00730#0001</v>
      </c>
    </row>
    <row r="95" spans="1:38" x14ac:dyDescent="0.2">
      <c r="A95" s="59" t="s">
        <v>118</v>
      </c>
      <c r="B95" s="60" t="s">
        <v>69</v>
      </c>
      <c r="C95" s="61" t="s">
        <v>6</v>
      </c>
      <c r="D95" s="61" t="s">
        <v>8</v>
      </c>
      <c r="E95" s="61" t="s">
        <v>7</v>
      </c>
      <c r="F95" s="61" t="s">
        <v>27</v>
      </c>
      <c r="G95" s="61" t="str">
        <f t="shared" si="19"/>
        <v>Euribor1M</v>
      </c>
      <c r="H95" s="59" t="str">
        <f t="shared" si="20"/>
        <v>EUR1E6E50Y_LCHQuote</v>
      </c>
      <c r="I95" s="154">
        <v>0</v>
      </c>
      <c r="J95" s="64" t="str">
        <f>_xll.qlSwapRateHelper2(,$H95,2,$B95,Calendar,$D95,$E95,$F95,$G95,$I95,$C95,Discounting1,PillarDate,,Permanent,Trigger,ObjectOverwrite)</f>
        <v>obj_0074b#0001</v>
      </c>
      <c r="K95" s="64" t="str">
        <f>_xll.qlSwapRateHelper2(,$H95,2,$B95,Calendar,$D95,$E95,$F95,$G95,$I95,$C95,Discounting2,PillarDate,,Permanent,Trigger,ObjectOverwrite)</f>
        <v>obj_006e9#0001</v>
      </c>
    </row>
    <row r="96" spans="1:38" x14ac:dyDescent="0.2">
      <c r="A96" s="1" t="s">
        <v>118</v>
      </c>
      <c r="B96" s="8" t="s">
        <v>112</v>
      </c>
      <c r="C96" s="7" t="s">
        <v>6</v>
      </c>
      <c r="D96" s="7" t="s">
        <v>8</v>
      </c>
      <c r="E96" s="7" t="s">
        <v>7</v>
      </c>
      <c r="F96" s="7" t="s">
        <v>27</v>
      </c>
      <c r="G96" s="7" t="str">
        <f t="shared" si="19"/>
        <v>Euribor1M</v>
      </c>
      <c r="H96" s="1" t="str">
        <f t="shared" si="20"/>
        <v>EUR1E6E60Y_LCHQuote</v>
      </c>
      <c r="I96" s="155">
        <v>0</v>
      </c>
      <c r="J96" s="3" t="str">
        <f>_xll.qlSwapRateHelper2(,$H96,2,$B96,Calendar,$D96,$E96,$F96,$G96,$I96,$C96,Discounting1,PillarDate,,Permanent,Trigger,ObjectOverwrite)</f>
        <v>obj_00754#0001</v>
      </c>
      <c r="K96" s="3" t="str">
        <f>_xll.qlSwapRateHelper2(,$H96,2,$B96,Calendar,$D96,$E96,$F96,$G96,$I96,$C96,Discounting2,PillarDate,,Permanent,Trigger,ObjectOverwrite)</f>
        <v>obj_00731#0001</v>
      </c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6 D59:D96">
      <formula1>"Annual,Semiannual,EveryFourthMonth,Quarterly,Bimonthly,Monthly,Biweekly,Weekly,Daily,Once,NoFrequency"</formula1>
    </dataValidation>
    <dataValidation type="list" allowBlank="1" showInputMessage="1" showErrorMessage="1" sqref="E6:E16 E19:E56 E59:E96">
      <formula1>"Following,Modified Following,Preceding,Modified Preceding,Unadjusted,Half-Month Modified Following"</formula1>
    </dataValidation>
    <dataValidation type="list" allowBlank="1" showInputMessage="1" showErrorMessage="1" sqref="F6:F16 F19:F56 F59:F9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2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5" width="10.85546875" style="46" hidden="1" customWidth="1" outlineLevel="1"/>
    <col min="36" max="36" width="10" style="46" hidden="1" customWidth="1" outlineLevel="1"/>
    <col min="37" max="37" width="12" style="46" hidden="1" customWidth="1" outlineLevel="1"/>
    <col min="38" max="38" width="10.85546875" style="46" hidden="1" customWidth="1" outlineLevel="1"/>
    <col min="39" max="39" width="3.28515625" style="46" customWidth="1" collapsed="1"/>
    <col min="40" max="40" width="24.42578125" style="46" bestFit="1" customWidth="1"/>
    <col min="41" max="41" width="9" style="46" bestFit="1" customWidth="1"/>
    <col min="42" max="16384" width="9.140625" style="46"/>
  </cols>
  <sheetData>
    <row r="1" spans="1:41" ht="18" customHeight="1" x14ac:dyDescent="0.2">
      <c r="G1" s="50" t="s">
        <v>28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EUR1Y</v>
      </c>
      <c r="Y1" s="66"/>
      <c r="Z1" s="66"/>
      <c r="AA1" s="66"/>
      <c r="AB1" s="69"/>
      <c r="AC1" s="69"/>
      <c r="AD1" s="66"/>
      <c r="AE1" s="66"/>
      <c r="AF1" s="73" t="s">
        <v>143</v>
      </c>
      <c r="AG1" s="73" t="s">
        <v>154</v>
      </c>
      <c r="AN1" s="46" t="s">
        <v>132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150</v>
      </c>
      <c r="K2" s="65" t="s">
        <v>152</v>
      </c>
      <c r="M2" s="73" t="s">
        <v>9</v>
      </c>
      <c r="N2" s="73" t="s">
        <v>150</v>
      </c>
      <c r="O2" s="73" t="s">
        <v>151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150</v>
      </c>
      <c r="Z2" s="73" t="s">
        <v>151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53">_xll.qlPiecewiseYieldCurveData(yieldcurve1_1Y,Trigger)</f>
        <v>1.6006591922430463E-3</v>
      </c>
      <c r="AG2" s="76">
        <f t="array" ref="AG2:AG53">_xll.qlPiecewiseYieldCurveData(yieldcurve2_1Y,Trigger)</f>
        <v>1</v>
      </c>
      <c r="AJ2" s="46" t="s">
        <v>155</v>
      </c>
      <c r="AL2" s="46" t="s">
        <v>156</v>
      </c>
      <c r="AN2" s="213" t="s">
        <v>85</v>
      </c>
      <c r="AO2" s="214"/>
    </row>
    <row r="3" spans="1:41" ht="11.25" customHeight="1" x14ac:dyDescent="0.2">
      <c r="A3" s="1" t="s">
        <v>26</v>
      </c>
      <c r="B3" s="8" t="s">
        <v>28</v>
      </c>
      <c r="C3" s="124"/>
      <c r="D3" s="124"/>
      <c r="E3" s="124"/>
      <c r="F3" s="124"/>
      <c r="G3" s="7" t="str">
        <f>PROPER(Currency)&amp;FamilyName&amp;B3</f>
        <v>Euribor1Y</v>
      </c>
      <c r="H3" s="121" t="str">
        <f>IF(LCHQuoteOverwrite,Currency&amp;SUBSTITUTE($B3,"1Y","12M")&amp;"D"&amp;LCHQuoteSuffix,Currency&amp;$B3&amp;"D"&amp;QuoteSuffix)</f>
        <v>EUR12MD_LCHQuote</v>
      </c>
      <c r="I3" s="124"/>
      <c r="J3" s="3" t="str">
        <f>_xll.qlDepositRateHelper(,H3,G3,Permanent,Trigger,ObjectOverwrite)</f>
        <v>obj_0079d#0001</v>
      </c>
      <c r="K3" s="3" t="str">
        <f>J3</f>
        <v>obj_0079d#0001</v>
      </c>
      <c r="L3" s="49"/>
      <c r="M3" s="11" t="str">
        <f>A3</f>
        <v>Dp</v>
      </c>
      <c r="N3" s="95" t="str">
        <f>IF(ISBLANK(J3),"--",J3)</f>
        <v>obj_0079d#0001</v>
      </c>
      <c r="O3" s="95" t="str">
        <f>IF(ISBLANK(K3),"--",K3)</f>
        <v>obj_0079d#0001</v>
      </c>
      <c r="P3" s="147" t="str">
        <f>IFERROR(_xll.qlRateHelperQuoteName(N3,Trigger),"--")</f>
        <v>EUR12MD_LCHQuote</v>
      </c>
      <c r="Q3" s="101">
        <f>IFERROR(_xll.qlRateHelperQuoteValue($N3,Trigger),"--")</f>
        <v>1.58E-3</v>
      </c>
      <c r="R3" s="100" t="b">
        <v>1</v>
      </c>
      <c r="S3" s="95">
        <v>30</v>
      </c>
      <c r="T3" s="95">
        <v>1</v>
      </c>
      <c r="U3" s="102">
        <f>IFERROR(_xll.qlRateHelperEarliestDate(N3,Trigger),"--")</f>
        <v>42256</v>
      </c>
      <c r="V3" s="102">
        <f>IFERROR(_xll.qlRateHelperPillarDate(N3,Trigger),"--")</f>
        <v>42622</v>
      </c>
      <c r="X3" s="4" t="str">
        <f t="shared" ref="X3:X16" si="0">IFERROR(INDEX($M$3:$M$53,MATCH(AA3,$P$3:$P$53,0),1),"")</f>
        <v>Dp</v>
      </c>
      <c r="Y3" s="4" t="str">
        <f t="array" ref="Y3:Y53">_xll.qlRateHelperSelection(_xll.ohFilter(RateHelpers1,IncludeFlag),_xll.ohFilter(Priority,IncludeFlag),$AO$3,$AO$4,$AO$5,$AO$6,_xll.ohFilter(MinDistance,IncludeFlag),Trigger)</f>
        <v>obj_0079d</v>
      </c>
      <c r="Z3" s="4" t="str">
        <f t="array" ref="Z3:Z53">_xll.qlRateHelperSelection(_xll.ohFilter(RateHelpers2,IncludeFlag),_xll.ohFilter(Priority,IncludeFlag),$AO$3,$AO$4,$AO$5,$AO$6,_xll.ohFilter(MinDistance,IncludeFlag),Trigger)</f>
        <v>obj_0079d</v>
      </c>
      <c r="AA3" s="4" t="str">
        <f>IFERROR(_xll.qlRateHelperQuoteName(Y3,Trigger),"")</f>
        <v>EUR12MD_LCHQuote</v>
      </c>
      <c r="AB3" s="70">
        <f>IFERROR(_xll.qlRateHelperRate(Y3,Trigger),"")</f>
        <v>1.58E-3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42256</v>
      </c>
      <c r="AE3" s="5">
        <f>IFERROR(_xll.qlRateHelperPillarDate(Y3,Trigger),"")</f>
        <v>42622</v>
      </c>
      <c r="AF3" s="70">
        <v>1.6006591922430463E-3</v>
      </c>
      <c r="AG3" s="77">
        <v>0.99838685507449554</v>
      </c>
      <c r="AH3" s="169">
        <f t="array" ref="AH3:AH53">_xll.ohFilter([1]REP00100!$C$2:$C$1000,([1]REP00100!$A$2:$A$1000="EUR_EURIBOR_12M_EOD"))</f>
        <v>42622</v>
      </c>
      <c r="AI3" s="170">
        <f t="array" ref="AI3:AI53">_xll.ohFilter([1]REP00100!$E$2:$E$1000,([1]REP00100!$A$2:$A$1000="EUR_EURIBOR_12M_EOD"))</f>
        <v>1.60065919224295E-3</v>
      </c>
      <c r="AJ3" s="172">
        <f>AF3-AI3</f>
        <v>9.6277152916712794E-17</v>
      </c>
      <c r="AK3" s="80">
        <f t="array" ref="AK3:AK53">_xll.ohFilter([1]REP00101!$F$2:$F$1000,([1]REP00101!$A$2:$A$1000="EUR_EURIBOR_12M_EOD"))</f>
        <v>0.99838748620449003</v>
      </c>
      <c r="AL3" s="161">
        <f>AG3-AK3</f>
        <v>-6.3112999448833307E-7</v>
      </c>
      <c r="AM3" s="161"/>
      <c r="AN3" s="107" t="s">
        <v>86</v>
      </c>
      <c r="AO3" s="108">
        <v>0</v>
      </c>
    </row>
    <row r="4" spans="1:41" ht="11.25" customHeight="1" x14ac:dyDescent="0.2">
      <c r="B4" s="46"/>
      <c r="C4" s="46" t="s">
        <v>116</v>
      </c>
      <c r="D4" s="46"/>
      <c r="E4" s="46"/>
      <c r="F4" s="46"/>
      <c r="G4" s="46"/>
      <c r="H4" s="46"/>
      <c r="L4" s="48"/>
      <c r="M4" s="68" t="str">
        <f t="shared" ref="M4" si="1">A6</f>
        <v>FRA</v>
      </c>
      <c r="N4" s="131" t="str">
        <f t="shared" ref="N4" si="2">IF(ISBLANK(J6),"--",J6)</f>
        <v>obj_0079c#0001</v>
      </c>
      <c r="O4" s="131" t="str">
        <f t="shared" ref="O4" si="3">IF(ISBLANK(K6),"--",K6)</f>
        <v>obj_0079c#0001</v>
      </c>
      <c r="P4" s="145" t="str">
        <f>IFERROR(_xll.qlRateHelperQuoteName(N4,Trigger),"--")</f>
        <v>EUR1x13F_LCHQuote</v>
      </c>
      <c r="Q4" s="133">
        <f>IFERROR(_xll.qlRateHelperQuoteValue($N4,Trigger),"--")</f>
        <v>1.56E-3</v>
      </c>
      <c r="R4" s="132" t="b">
        <v>1</v>
      </c>
      <c r="S4" s="131">
        <v>10</v>
      </c>
      <c r="T4" s="131">
        <v>1</v>
      </c>
      <c r="U4" s="134">
        <f>IFERROR(_xll.qlRateHelperEarliestDate(N4,Trigger),"--")</f>
        <v>42286</v>
      </c>
      <c r="V4" s="134">
        <f>IFERROR(_xll.qlRateHelperPillarDate(N4,Trigger),"--")</f>
        <v>42653</v>
      </c>
      <c r="X4" s="4" t="str">
        <f t="shared" si="0"/>
        <v>FRA</v>
      </c>
      <c r="Y4" s="4" t="str">
        <v>obj_0079c</v>
      </c>
      <c r="Z4" s="4" t="str">
        <v>obj_0079c</v>
      </c>
      <c r="AA4" s="4" t="str">
        <f>IFERROR(_xll.qlRateHelperQuoteName(Y4,Trigger),"")</f>
        <v>EUR1x13F_LCHQuote</v>
      </c>
      <c r="AB4" s="70">
        <f>IFERROR(_xll.qlRateHelperRate(Y4,Trigger),"")</f>
        <v>1.56E-3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42286</v>
      </c>
      <c r="AE4" s="5">
        <f>IFERROR(_xll.qlRateHelperPillarDate(Y4,Trigger),"")</f>
        <v>42653</v>
      </c>
      <c r="AF4" s="70">
        <v>1.5820342804104574E-3</v>
      </c>
      <c r="AG4" s="77">
        <v>0.99826207150555757</v>
      </c>
      <c r="AH4" s="169">
        <v>42653</v>
      </c>
      <c r="AI4" s="170">
        <v>1.58203428041038E-3</v>
      </c>
      <c r="AJ4" s="172">
        <f t="shared" ref="AJ4:AJ53" si="4">AF4-AI4</f>
        <v>7.7412035115465017E-17</v>
      </c>
      <c r="AK4" s="80">
        <v>0.99827209269649098</v>
      </c>
      <c r="AL4" s="161">
        <f t="shared" ref="AL4:AL53" si="5">AG4-AK4</f>
        <v>-1.002119093340692E-5</v>
      </c>
      <c r="AM4" s="161"/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91</v>
      </c>
      <c r="C5" s="65" t="s">
        <v>92</v>
      </c>
      <c r="D5" s="65"/>
      <c r="E5" s="65"/>
      <c r="F5" s="65"/>
      <c r="G5" s="65" t="s">
        <v>4</v>
      </c>
      <c r="H5" s="65" t="s">
        <v>1</v>
      </c>
      <c r="I5" s="65"/>
      <c r="J5" s="65" t="s">
        <v>150</v>
      </c>
      <c r="K5" s="65" t="s">
        <v>152</v>
      </c>
      <c r="L5" s="48"/>
      <c r="M5" s="10" t="str">
        <f t="shared" ref="M5:M15" si="6">A7</f>
        <v>FRA</v>
      </c>
      <c r="N5" s="94" t="str">
        <f t="shared" ref="N5:N15" si="7">IF(ISBLANK(J7),"--",J7)</f>
        <v>obj_0077e#0001</v>
      </c>
      <c r="O5" s="94" t="str">
        <f t="shared" ref="O5:O15" si="8">IF(ISBLANK(K7),"--",K7)</f>
        <v>obj_0077e#0001</v>
      </c>
      <c r="P5" s="146" t="str">
        <f>IFERROR(_xll.qlRateHelperQuoteName(N5,Trigger),"--")</f>
        <v>EUR2x14F_LCHQuote</v>
      </c>
      <c r="Q5" s="98">
        <f>IFERROR(_xll.qlRateHelperQuoteValue($N5,Trigger),"--")</f>
        <v>1.58E-3</v>
      </c>
      <c r="R5" s="97" t="b">
        <v>1</v>
      </c>
      <c r="S5" s="94">
        <v>10</v>
      </c>
      <c r="T5" s="94">
        <v>1</v>
      </c>
      <c r="U5" s="99">
        <f>IFERROR(_xll.qlRateHelperEarliestDate(N5,Trigger),"--")</f>
        <v>42317</v>
      </c>
      <c r="V5" s="99">
        <f>IFERROR(_xll.qlRateHelperPillarDate(N5,Trigger),"--")</f>
        <v>42683</v>
      </c>
      <c r="X5" s="4" t="str">
        <f t="shared" si="0"/>
        <v>FRA</v>
      </c>
      <c r="Y5" s="4" t="str">
        <v>obj_0077e</v>
      </c>
      <c r="Z5" s="4" t="str">
        <v>obj_0077e</v>
      </c>
      <c r="AA5" s="4" t="str">
        <f>IFERROR(_xll.qlRateHelperQuoteName(Y5,Trigger),"")</f>
        <v>EUR2x14F_LCHQuote</v>
      </c>
      <c r="AB5" s="70">
        <f>IFERROR(_xll.qlRateHelperRate(Y5,Trigger),"")</f>
        <v>1.58E-3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42317</v>
      </c>
      <c r="AE5" s="5">
        <f>IFERROR(_xll.qlRateHelperPillarDate(Y5,Trigger),"")</f>
        <v>42683</v>
      </c>
      <c r="AF5" s="70">
        <v>1.6006591922408354E-3</v>
      </c>
      <c r="AG5" s="77">
        <v>0.9981011496033898</v>
      </c>
      <c r="AH5" s="169">
        <v>42683</v>
      </c>
      <c r="AI5" s="170">
        <v>1.60065919224295E-3</v>
      </c>
      <c r="AJ5" s="172">
        <f t="shared" si="4"/>
        <v>-2.1146279172157278E-15</v>
      </c>
      <c r="AK5" s="80">
        <v>0.99812044585648696</v>
      </c>
      <c r="AL5" s="161">
        <f t="shared" si="5"/>
        <v>-1.9296253097156324E-5</v>
      </c>
      <c r="AM5" s="161"/>
      <c r="AN5" s="107" t="s">
        <v>88</v>
      </c>
      <c r="AO5" s="108">
        <v>0</v>
      </c>
    </row>
    <row r="6" spans="1:41" ht="11.25" customHeight="1" x14ac:dyDescent="0.2">
      <c r="A6" s="53" t="s">
        <v>93</v>
      </c>
      <c r="B6" s="115">
        <v>1</v>
      </c>
      <c r="C6" s="56" t="str">
        <f t="shared" ref="C6:C17" si="9">"x"&amp;B6+SUBSTITUTE($C$4,"M","")&amp;"F"</f>
        <v>x13F</v>
      </c>
      <c r="D6" s="129"/>
      <c r="E6" s="129"/>
      <c r="F6" s="129"/>
      <c r="G6" s="55" t="str">
        <f t="shared" ref="G6:G17" si="10">PROPER(Currency)&amp;FamilyName&amp;Tenor</f>
        <v>Euribor1Y</v>
      </c>
      <c r="H6" s="118" t="str">
        <f t="shared" ref="H6:H17" si="11">IF(LCHQuoteOverwrite,Currency&amp;B6&amp;C6&amp;LCHQuoteSuffix,Currency&amp;B6&amp;C6&amp;QuoteSuffix)</f>
        <v>EUR1x13F_LCHQuote</v>
      </c>
      <c r="I6" s="129"/>
      <c r="J6" s="58" t="str">
        <f>_xll.qlFraRateHelper(,H6,B6&amp;"M",G6,PillarDate,,Permanent,Trigger,ObjectOverwrite)</f>
        <v>obj_0079c#0001</v>
      </c>
      <c r="K6" s="58" t="str">
        <f>J6</f>
        <v>obj_0079c#0001</v>
      </c>
      <c r="L6" s="48"/>
      <c r="M6" s="10" t="str">
        <f t="shared" si="6"/>
        <v>FRA</v>
      </c>
      <c r="N6" s="94" t="str">
        <f t="shared" si="7"/>
        <v>obj_0077d#0001</v>
      </c>
      <c r="O6" s="94" t="str">
        <f t="shared" si="8"/>
        <v>obj_0077d#0001</v>
      </c>
      <c r="P6" s="146" t="str">
        <f>IFERROR(_xll.qlRateHelperQuoteName(N6,Trigger),"--")</f>
        <v>EUR3x15F_LCHQuote</v>
      </c>
      <c r="Q6" s="98">
        <f>IFERROR(_xll.qlRateHelperQuoteValue($N6,Trigger),"--")</f>
        <v>1.6050000000000001E-3</v>
      </c>
      <c r="R6" s="97" t="b">
        <v>1</v>
      </c>
      <c r="S6" s="94">
        <v>10</v>
      </c>
      <c r="T6" s="94">
        <v>1</v>
      </c>
      <c r="U6" s="99">
        <f>IFERROR(_xll.qlRateHelperEarliestDate(N6,Trigger),"--")</f>
        <v>42347</v>
      </c>
      <c r="V6" s="99">
        <f>IFERROR(_xll.qlRateHelperPillarDate(N6,Trigger),"--")</f>
        <v>42713</v>
      </c>
      <c r="X6" s="4" t="str">
        <f t="shared" si="0"/>
        <v>FRA</v>
      </c>
      <c r="Y6" s="4" t="str">
        <v>obj_0077d</v>
      </c>
      <c r="Z6" s="4" t="str">
        <v>obj_0077d</v>
      </c>
      <c r="AA6" s="4" t="str">
        <f>IFERROR(_xll.qlRateHelperQuoteName(Y6,Trigger),"")</f>
        <v>EUR3x15F_LCHQuote</v>
      </c>
      <c r="AB6" s="70">
        <f>IFERROR(_xll.qlRateHelperRate(Y6,Trigger),"")</f>
        <v>1.6050000000000001E-3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42347</v>
      </c>
      <c r="AE6" s="5">
        <f>IFERROR(_xll.qlRateHelperPillarDate(Y6,Trigger),"")</f>
        <v>42713</v>
      </c>
      <c r="AF6" s="70">
        <v>1.6208380323479452E-3</v>
      </c>
      <c r="AG6" s="77">
        <v>0.99793634441648105</v>
      </c>
      <c r="AH6" s="169">
        <v>42713</v>
      </c>
      <c r="AI6" s="170">
        <v>1.6208380323913E-3</v>
      </c>
      <c r="AJ6" s="172">
        <f t="shared" si="4"/>
        <v>-4.3354859632915854E-14</v>
      </c>
      <c r="AK6" s="80">
        <v>0.99796381650606603</v>
      </c>
      <c r="AL6" s="161">
        <f t="shared" si="5"/>
        <v>-2.7472089584978931E-5</v>
      </c>
      <c r="AM6" s="161"/>
      <c r="AN6" s="107" t="s">
        <v>89</v>
      </c>
      <c r="AO6" s="109" t="s">
        <v>90</v>
      </c>
    </row>
    <row r="7" spans="1:41" ht="11.25" customHeight="1" x14ac:dyDescent="0.2">
      <c r="A7" s="59" t="s">
        <v>93</v>
      </c>
      <c r="B7" s="116">
        <v>2</v>
      </c>
      <c r="C7" s="62" t="str">
        <f t="shared" si="9"/>
        <v>x14F</v>
      </c>
      <c r="D7" s="123"/>
      <c r="E7" s="123"/>
      <c r="F7" s="123"/>
      <c r="G7" s="61" t="str">
        <f t="shared" si="10"/>
        <v>Euribor1Y</v>
      </c>
      <c r="H7" s="119" t="str">
        <f t="shared" si="11"/>
        <v>EUR2x14F_LCHQuote</v>
      </c>
      <c r="I7" s="123"/>
      <c r="J7" s="64" t="str">
        <f>_xll.qlFraRateHelper(,H7,B7&amp;"M",G7,PillarDate,,Permanent,Trigger,ObjectOverwrite)</f>
        <v>obj_0077e#0001</v>
      </c>
      <c r="K7" s="64" t="str">
        <f t="shared" ref="K7:K17" si="12">J7</f>
        <v>obj_0077e#0001</v>
      </c>
      <c r="L7" s="48"/>
      <c r="M7" s="10" t="str">
        <f t="shared" si="6"/>
        <v>FRA</v>
      </c>
      <c r="N7" s="94" t="str">
        <f t="shared" si="7"/>
        <v>obj_00775#0001</v>
      </c>
      <c r="O7" s="94" t="str">
        <f t="shared" si="8"/>
        <v>obj_00775#0001</v>
      </c>
      <c r="P7" s="146" t="str">
        <f>IFERROR(_xll.qlRateHelperQuoteName(N7,Trigger),"--")</f>
        <v>EUR4x16F_LCHQuote</v>
      </c>
      <c r="Q7" s="98">
        <f>IFERROR(_xll.qlRateHelperQuoteValue($N7,Trigger),"--")</f>
        <v>1.6050000000000001E-3</v>
      </c>
      <c r="R7" s="97" t="b">
        <v>1</v>
      </c>
      <c r="S7" s="94">
        <v>10</v>
      </c>
      <c r="T7" s="94">
        <v>1</v>
      </c>
      <c r="U7" s="99">
        <f>IFERROR(_xll.qlRateHelperEarliestDate(N7,Trigger),"--")</f>
        <v>42380</v>
      </c>
      <c r="V7" s="99">
        <f>IFERROR(_xll.qlRateHelperPillarDate(N7,Trigger),"--")</f>
        <v>42744</v>
      </c>
      <c r="X7" s="4" t="str">
        <f t="shared" si="0"/>
        <v>FRA</v>
      </c>
      <c r="Y7" s="4" t="str">
        <v>obj_00775</v>
      </c>
      <c r="Z7" s="4" t="str">
        <v>obj_00775</v>
      </c>
      <c r="AA7" s="4" t="str">
        <f>IFERROR(_xll.qlRateHelperQuoteName(Y7,Trigger),"")</f>
        <v>EUR4x16F_LCHQuote</v>
      </c>
      <c r="AB7" s="70">
        <f>IFERROR(_xll.qlRateHelperRate(Y7,Trigger),"")</f>
        <v>1.6050000000000001E-3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42380</v>
      </c>
      <c r="AE7" s="5">
        <f>IFERROR(_xll.qlRateHelperPillarDate(Y7,Trigger),"")</f>
        <v>42744</v>
      </c>
      <c r="AF7" s="70">
        <v>1.6156337343566176E-3</v>
      </c>
      <c r="AG7" s="77">
        <v>0.99779672361650062</v>
      </c>
      <c r="AH7" s="169">
        <v>42744</v>
      </c>
      <c r="AI7" s="170">
        <v>1.6156337343602399E-3</v>
      </c>
      <c r="AJ7" s="172">
        <f t="shared" si="4"/>
        <v>-3.6223194582740703E-15</v>
      </c>
      <c r="AK7" s="80">
        <v>0.99783141589704805</v>
      </c>
      <c r="AL7" s="161">
        <f t="shared" si="5"/>
        <v>-3.4692280547421461E-5</v>
      </c>
      <c r="AM7" s="161"/>
    </row>
    <row r="8" spans="1:41" ht="11.25" customHeight="1" x14ac:dyDescent="0.2">
      <c r="A8" s="59" t="s">
        <v>93</v>
      </c>
      <c r="B8" s="116">
        <v>3</v>
      </c>
      <c r="C8" s="62" t="str">
        <f t="shared" si="9"/>
        <v>x15F</v>
      </c>
      <c r="D8" s="123"/>
      <c r="E8" s="123"/>
      <c r="F8" s="123"/>
      <c r="G8" s="61" t="str">
        <f t="shared" si="10"/>
        <v>Euribor1Y</v>
      </c>
      <c r="H8" s="119" t="str">
        <f t="shared" si="11"/>
        <v>EUR3x15F_LCHQuote</v>
      </c>
      <c r="I8" s="123"/>
      <c r="J8" s="64" t="str">
        <f>_xll.qlFraRateHelper(,H8,B8&amp;"M",G8,PillarDate,,Permanent,Trigger,ObjectOverwrite)</f>
        <v>obj_0077d#0001</v>
      </c>
      <c r="K8" s="64" t="str">
        <f t="shared" si="12"/>
        <v>obj_0077d#0001</v>
      </c>
      <c r="L8" s="48"/>
      <c r="M8" s="10" t="str">
        <f t="shared" si="6"/>
        <v>FRA</v>
      </c>
      <c r="N8" s="94" t="str">
        <f t="shared" si="7"/>
        <v>obj_00777#0001</v>
      </c>
      <c r="O8" s="94" t="str">
        <f t="shared" si="8"/>
        <v>obj_00777#0001</v>
      </c>
      <c r="P8" s="146" t="str">
        <f>IFERROR(_xll.qlRateHelperQuoteName(N8,Trigger),"--")</f>
        <v>EUR5x17F_LCHQuote</v>
      </c>
      <c r="Q8" s="98">
        <f>IFERROR(_xll.qlRateHelperQuoteValue($N8,Trigger),"--")</f>
        <v>1.6850000000000001E-3</v>
      </c>
      <c r="R8" s="97" t="b">
        <v>1</v>
      </c>
      <c r="S8" s="94">
        <v>10</v>
      </c>
      <c r="T8" s="94">
        <v>1</v>
      </c>
      <c r="U8" s="99">
        <f>IFERROR(_xll.qlRateHelperEarliestDate(N8,Trigger),"--")</f>
        <v>42409</v>
      </c>
      <c r="V8" s="99">
        <f>IFERROR(_xll.qlRateHelperPillarDate(N8,Trigger),"--")</f>
        <v>42775</v>
      </c>
      <c r="X8" s="4" t="str">
        <f t="shared" si="0"/>
        <v>FRA</v>
      </c>
      <c r="Y8" s="4" t="str">
        <v>obj_00777</v>
      </c>
      <c r="Z8" s="4" t="str">
        <v>obj_00777</v>
      </c>
      <c r="AA8" s="4" t="str">
        <f>IFERROR(_xll.qlRateHelperQuoteName(Y8,Trigger),"")</f>
        <v>EUR5x17F_LCHQuote</v>
      </c>
      <c r="AB8" s="70">
        <f>IFERROR(_xll.qlRateHelperRate(Y8,Trigger),"")</f>
        <v>1.6850000000000001E-3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42409</v>
      </c>
      <c r="AE8" s="5">
        <f>IFERROR(_xll.qlRateHelperPillarDate(Y8,Trigger),"")</f>
        <v>42775</v>
      </c>
      <c r="AF8" s="70">
        <v>1.6753217425683378E-3</v>
      </c>
      <c r="AG8" s="77">
        <v>0.99757125605101071</v>
      </c>
      <c r="AH8" s="169">
        <v>42775</v>
      </c>
      <c r="AI8" s="170">
        <v>1.6753217425870301E-3</v>
      </c>
      <c r="AJ8" s="172">
        <f t="shared" si="4"/>
        <v>-1.8692295974953588E-14</v>
      </c>
      <c r="AK8" s="80">
        <v>0.99761150733335002</v>
      </c>
      <c r="AL8" s="161">
        <f t="shared" si="5"/>
        <v>-4.0251282339309746E-5</v>
      </c>
      <c r="AM8" s="161"/>
    </row>
    <row r="9" spans="1:41" ht="11.25" customHeight="1" x14ac:dyDescent="0.2">
      <c r="A9" s="59" t="s">
        <v>93</v>
      </c>
      <c r="B9" s="116">
        <v>4</v>
      </c>
      <c r="C9" s="62" t="str">
        <f t="shared" si="9"/>
        <v>x16F</v>
      </c>
      <c r="D9" s="123"/>
      <c r="E9" s="123"/>
      <c r="F9" s="123"/>
      <c r="G9" s="61" t="str">
        <f t="shared" si="10"/>
        <v>Euribor1Y</v>
      </c>
      <c r="H9" s="119" t="str">
        <f t="shared" si="11"/>
        <v>EUR4x16F_LCHQuote</v>
      </c>
      <c r="I9" s="123"/>
      <c r="J9" s="64" t="str">
        <f>_xll.qlFraRateHelper(,H9,B9&amp;"M",G9,PillarDate,,Permanent,Trigger,ObjectOverwrite)</f>
        <v>obj_00775#0001</v>
      </c>
      <c r="K9" s="64" t="str">
        <f t="shared" si="12"/>
        <v>obj_00775#0001</v>
      </c>
      <c r="L9" s="48"/>
      <c r="M9" s="10" t="str">
        <f t="shared" si="6"/>
        <v>FRA</v>
      </c>
      <c r="N9" s="94" t="str">
        <f t="shared" si="7"/>
        <v>obj_00764#0001</v>
      </c>
      <c r="O9" s="94" t="str">
        <f t="shared" si="8"/>
        <v>obj_00764#0001</v>
      </c>
      <c r="P9" s="146" t="str">
        <f>IFERROR(_xll.qlRateHelperQuoteName(N9,Trigger),"--")</f>
        <v>EUR6x18F_LCHQuote</v>
      </c>
      <c r="Q9" s="98">
        <f>IFERROR(_xll.qlRateHelperQuoteValue($N9,Trigger),"--")</f>
        <v>1.74E-3</v>
      </c>
      <c r="R9" s="97" t="b">
        <v>1</v>
      </c>
      <c r="S9" s="94">
        <v>10</v>
      </c>
      <c r="T9" s="94">
        <v>1</v>
      </c>
      <c r="U9" s="99">
        <f>IFERROR(_xll.qlRateHelperEarliestDate(N9,Trigger),"--")</f>
        <v>42438</v>
      </c>
      <c r="V9" s="99">
        <f>IFERROR(_xll.qlRateHelperPillarDate(N9,Trigger),"--")</f>
        <v>42803</v>
      </c>
      <c r="X9" s="4" t="str">
        <f t="shared" si="0"/>
        <v>FRA</v>
      </c>
      <c r="Y9" s="4" t="str">
        <v>obj_00764</v>
      </c>
      <c r="Z9" s="4" t="str">
        <v>obj_00764</v>
      </c>
      <c r="AA9" s="4" t="str">
        <f>IFERROR(_xll.qlRateHelperQuoteName(Y9,Trigger),"")</f>
        <v>EUR6x18F_LCHQuote</v>
      </c>
      <c r="AB9" s="70">
        <f>IFERROR(_xll.qlRateHelperRate(Y9,Trigger),"")</f>
        <v>1.74E-3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42438</v>
      </c>
      <c r="AE9" s="5">
        <f>IFERROR(_xll.qlRateHelperPillarDate(Y9,Trigger),"")</f>
        <v>42803</v>
      </c>
      <c r="AF9" s="70">
        <v>1.7083329690524584E-3</v>
      </c>
      <c r="AG9" s="77">
        <v>0.99739019302886933</v>
      </c>
      <c r="AH9" s="169">
        <v>42803</v>
      </c>
      <c r="AI9" s="170">
        <v>1.70833296905244E-3</v>
      </c>
      <c r="AJ9" s="172">
        <f t="shared" si="4"/>
        <v>1.8431436932253575E-17</v>
      </c>
      <c r="AK9" s="80">
        <v>0.99743377839078995</v>
      </c>
      <c r="AL9" s="161">
        <f t="shared" si="5"/>
        <v>-4.3585361920617238E-5</v>
      </c>
      <c r="AM9" s="161"/>
    </row>
    <row r="10" spans="1:41" ht="11.25" customHeight="1" x14ac:dyDescent="0.2">
      <c r="A10" s="59" t="s">
        <v>93</v>
      </c>
      <c r="B10" s="116">
        <v>5</v>
      </c>
      <c r="C10" s="62" t="str">
        <f t="shared" si="9"/>
        <v>x17F</v>
      </c>
      <c r="D10" s="123"/>
      <c r="E10" s="123"/>
      <c r="F10" s="123"/>
      <c r="G10" s="61" t="str">
        <f t="shared" si="10"/>
        <v>Euribor1Y</v>
      </c>
      <c r="H10" s="119" t="str">
        <f t="shared" si="11"/>
        <v>EUR5x17F_LCHQuote</v>
      </c>
      <c r="I10" s="123"/>
      <c r="J10" s="64" t="str">
        <f>_xll.qlFraRateHelper(,H10,B10&amp;"M",G10,PillarDate,,Permanent,Trigger,ObjectOverwrite)</f>
        <v>obj_00777#0001</v>
      </c>
      <c r="K10" s="64" t="str">
        <f t="shared" si="12"/>
        <v>obj_00777#0001</v>
      </c>
      <c r="L10" s="48"/>
      <c r="M10" s="10" t="str">
        <f t="shared" si="6"/>
        <v>FRA</v>
      </c>
      <c r="N10" s="94" t="str">
        <f t="shared" si="7"/>
        <v>obj_00789#0001</v>
      </c>
      <c r="O10" s="94" t="str">
        <f t="shared" si="8"/>
        <v>obj_00789#0001</v>
      </c>
      <c r="P10" s="146" t="str">
        <f>IFERROR(_xll.qlRateHelperQuoteName(N10,Trigger),"--")</f>
        <v>EUR7x19F_LCHQuote</v>
      </c>
      <c r="Q10" s="98">
        <f>IFERROR(_xll.qlRateHelperQuoteValue($N10,Trigger),"--")</f>
        <v>1.92E-3</v>
      </c>
      <c r="R10" s="97" t="b">
        <v>1</v>
      </c>
      <c r="S10" s="94">
        <v>10</v>
      </c>
      <c r="T10" s="94">
        <v>1</v>
      </c>
      <c r="U10" s="99">
        <f>IFERROR(_xll.qlRateHelperEarliestDate(N10,Trigger),"--")</f>
        <v>42471</v>
      </c>
      <c r="V10" s="99">
        <f>IFERROR(_xll.qlRateHelperPillarDate(N10,Trigger),"--")</f>
        <v>42835</v>
      </c>
      <c r="X10" s="4" t="str">
        <f t="shared" si="0"/>
        <v>FRA</v>
      </c>
      <c r="Y10" s="4" t="str">
        <v>obj_00789</v>
      </c>
      <c r="Z10" s="4" t="str">
        <v>obj_00789</v>
      </c>
      <c r="AA10" s="4" t="str">
        <f>IFERROR(_xll.qlRateHelperQuoteName(Y10,Trigger),"")</f>
        <v>EUR7x19F_LCHQuote</v>
      </c>
      <c r="AB10" s="70">
        <f>IFERROR(_xll.qlRateHelperRate(Y10,Trigger),"")</f>
        <v>1.92E-3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42471</v>
      </c>
      <c r="AE10" s="5">
        <f>IFERROR(_xll.qlRateHelperPillarDate(Y10,Trigger),"")</f>
        <v>42835</v>
      </c>
      <c r="AF10" s="70">
        <v>1.8148779063987387E-3</v>
      </c>
      <c r="AG10" s="77">
        <v>0.99707230649406431</v>
      </c>
      <c r="AH10" s="169">
        <v>42835</v>
      </c>
      <c r="AI10" s="170">
        <v>1.8148779063974199E-3</v>
      </c>
      <c r="AJ10" s="172">
        <f t="shared" si="4"/>
        <v>1.3188235226113676E-15</v>
      </c>
      <c r="AK10" s="80">
        <v>0.99711705708805598</v>
      </c>
      <c r="AL10" s="161">
        <f t="shared" si="5"/>
        <v>-4.4750593991671472E-5</v>
      </c>
      <c r="AM10" s="161"/>
    </row>
    <row r="11" spans="1:41" ht="11.25" customHeight="1" x14ac:dyDescent="0.2">
      <c r="A11" s="59" t="s">
        <v>93</v>
      </c>
      <c r="B11" s="116">
        <v>6</v>
      </c>
      <c r="C11" s="62" t="str">
        <f t="shared" si="9"/>
        <v>x18F</v>
      </c>
      <c r="D11" s="123"/>
      <c r="E11" s="123"/>
      <c r="F11" s="123"/>
      <c r="G11" s="61" t="str">
        <f t="shared" si="10"/>
        <v>Euribor1Y</v>
      </c>
      <c r="H11" s="119" t="str">
        <f t="shared" si="11"/>
        <v>EUR6x18F_LCHQuote</v>
      </c>
      <c r="I11" s="123"/>
      <c r="J11" s="64" t="str">
        <f>_xll.qlFraRateHelper(,H11,B11&amp;"M",G11,PillarDate,,Permanent,Trigger,ObjectOverwrite)</f>
        <v>obj_00764#0001</v>
      </c>
      <c r="K11" s="64" t="str">
        <f t="shared" si="12"/>
        <v>obj_00764#0001</v>
      </c>
      <c r="L11" s="48"/>
      <c r="M11" s="10" t="str">
        <f t="shared" si="6"/>
        <v>FRA</v>
      </c>
      <c r="N11" s="94" t="str">
        <f t="shared" si="7"/>
        <v>obj_00799#0001</v>
      </c>
      <c r="O11" s="94" t="str">
        <f t="shared" si="8"/>
        <v>obj_00799#0001</v>
      </c>
      <c r="P11" s="146" t="str">
        <f>IFERROR(_xll.qlRateHelperQuoteName(N11,Trigger),"--")</f>
        <v>EUR8x20F_LCHQuote</v>
      </c>
      <c r="Q11" s="98">
        <f>IFERROR(_xll.qlRateHelperQuoteValue($N11,Trigger),"--")</f>
        <v>2.0100000000000001E-3</v>
      </c>
      <c r="R11" s="97" t="b">
        <v>1</v>
      </c>
      <c r="S11" s="94">
        <v>10</v>
      </c>
      <c r="T11" s="94">
        <v>1</v>
      </c>
      <c r="U11" s="99">
        <f>IFERROR(_xll.qlRateHelperEarliestDate(N11,Trigger),"--")</f>
        <v>42499</v>
      </c>
      <c r="V11" s="99">
        <f>IFERROR(_xll.qlRateHelperPillarDate(N11,Trigger),"--")</f>
        <v>42864</v>
      </c>
      <c r="X11" s="4" t="str">
        <f t="shared" si="0"/>
        <v>FRA</v>
      </c>
      <c r="Y11" s="4" t="str">
        <v>obj_00799</v>
      </c>
      <c r="Z11" s="4" t="str">
        <v>obj_00799</v>
      </c>
      <c r="AA11" s="4" t="str">
        <f>IFERROR(_xll.qlRateHelperQuoteName(Y11,Trigger),"")</f>
        <v>EUR8x20F_LCHQuote</v>
      </c>
      <c r="AB11" s="70">
        <f>IFERROR(_xll.qlRateHelperRate(Y11,Trigger),"")</f>
        <v>2.0100000000000001E-3</v>
      </c>
      <c r="AC11" s="104" t="str">
        <f>IF(ISERROR(_xll.qlSwapRateHelperSpread($Y11)),IF(ISERROR(_xll.qlFuturesRateHelperConvexityAdjustment($Y11)),"",_xll.qlFuturesRateHelperConvexityAdjustment($Y11)),_xll.qlSwapRateHelperSpread($Y11))</f>
        <v/>
      </c>
      <c r="AD11" s="5">
        <f>IFERROR(_xll.qlRateHelperEarliestDate(Y11,Trigger),"")</f>
        <v>42499</v>
      </c>
      <c r="AE11" s="5">
        <f>IFERROR(_xll.qlRateHelperPillarDate(Y11,Trigger),"")</f>
        <v>42864</v>
      </c>
      <c r="AF11" s="70">
        <v>1.8610560197047296E-3</v>
      </c>
      <c r="AG11" s="77">
        <v>0.99685140684846929</v>
      </c>
      <c r="AH11" s="169">
        <v>42864</v>
      </c>
      <c r="AI11" s="170">
        <v>1.86105601978185E-3</v>
      </c>
      <c r="AJ11" s="172">
        <f t="shared" si="4"/>
        <v>-7.7120384731066416E-14</v>
      </c>
      <c r="AK11" s="80">
        <v>0.99689457383604496</v>
      </c>
      <c r="AL11" s="161">
        <f t="shared" si="5"/>
        <v>-4.3166987575671278E-5</v>
      </c>
      <c r="AM11" s="161"/>
    </row>
    <row r="12" spans="1:41" ht="11.25" customHeight="1" x14ac:dyDescent="0.2">
      <c r="A12" s="59" t="s">
        <v>93</v>
      </c>
      <c r="B12" s="116">
        <v>7</v>
      </c>
      <c r="C12" s="62" t="str">
        <f t="shared" si="9"/>
        <v>x19F</v>
      </c>
      <c r="D12" s="123"/>
      <c r="E12" s="123"/>
      <c r="F12" s="123"/>
      <c r="G12" s="61" t="str">
        <f t="shared" si="10"/>
        <v>Euribor1Y</v>
      </c>
      <c r="H12" s="119" t="str">
        <f t="shared" si="11"/>
        <v>EUR7x19F_LCHQuote</v>
      </c>
      <c r="I12" s="123"/>
      <c r="J12" s="64" t="str">
        <f>_xll.qlFraRateHelper(,H12,B12&amp;"M",G12,PillarDate,,Permanent,Trigger,ObjectOverwrite)</f>
        <v>obj_00789#0001</v>
      </c>
      <c r="K12" s="64" t="str">
        <f t="shared" si="12"/>
        <v>obj_00789#0001</v>
      </c>
      <c r="L12" s="48" t="s">
        <v>36</v>
      </c>
      <c r="M12" s="10" t="str">
        <f t="shared" si="6"/>
        <v>FRA</v>
      </c>
      <c r="N12" s="94" t="str">
        <f t="shared" si="7"/>
        <v>obj_00792#0001</v>
      </c>
      <c r="O12" s="94" t="str">
        <f t="shared" si="8"/>
        <v>obj_00792#0001</v>
      </c>
      <c r="P12" s="146" t="str">
        <f>IFERROR(_xll.qlRateHelperQuoteName(N12,Trigger),"--")</f>
        <v>EUR9x21F_LCHQuote</v>
      </c>
      <c r="Q12" s="98">
        <f>IFERROR(_xll.qlRateHelperQuoteValue($N12,Trigger),"--")</f>
        <v>2.0999999999999999E-3</v>
      </c>
      <c r="R12" s="97" t="b">
        <v>1</v>
      </c>
      <c r="S12" s="94">
        <v>10</v>
      </c>
      <c r="T12" s="94">
        <v>1</v>
      </c>
      <c r="U12" s="99">
        <f>IFERROR(_xll.qlRateHelperEarliestDate(N12,Trigger),"--")</f>
        <v>42530</v>
      </c>
      <c r="V12" s="99">
        <f>IFERROR(_xll.qlRateHelperPillarDate(N12,Trigger),"--")</f>
        <v>42895</v>
      </c>
      <c r="X12" s="4" t="str">
        <f t="shared" si="0"/>
        <v>FRA</v>
      </c>
      <c r="Y12" s="4" t="str">
        <v>obj_00792</v>
      </c>
      <c r="Z12" s="4" t="str">
        <v>obj_00792</v>
      </c>
      <c r="AA12" s="4" t="str">
        <f>IFERROR(_xll.qlRateHelperQuoteName(Y12,Trigger),"")</f>
        <v>EUR9x21F_LCHQuote</v>
      </c>
      <c r="AB12" s="70">
        <f>IFERROR(_xll.qlRateHelperRate(Y12,Trigger),"")</f>
        <v>2.0999999999999999E-3</v>
      </c>
      <c r="AC12" s="104" t="str">
        <f>IF(ISERROR(_xll.qlSwapRateHelperSpread($Y12)),IF(ISERROR(_xll.qlFuturesRateHelperConvexityAdjustment($Y12)),"",_xll.qlFuturesRateHelperConvexityAdjustment($Y12)),_xll.qlSwapRateHelperSpread($Y12))</f>
        <v/>
      </c>
      <c r="AD12" s="5">
        <f>IFERROR(_xll.qlRateHelperEarliestDate(Y12,Trigger),"")</f>
        <v>42530</v>
      </c>
      <c r="AE12" s="5">
        <f>IFERROR(_xll.qlRateHelperPillarDate(Y12,Trigger),"")</f>
        <v>42895</v>
      </c>
      <c r="AF12" s="70">
        <v>1.9003145185270921E-3</v>
      </c>
      <c r="AG12" s="77">
        <v>0.99662999289480469</v>
      </c>
      <c r="AH12" s="169">
        <v>42895</v>
      </c>
      <c r="AI12" s="170">
        <v>1.9003145185272599E-3</v>
      </c>
      <c r="AJ12" s="172">
        <f t="shared" si="4"/>
        <v>-1.6783449630075609E-16</v>
      </c>
      <c r="AK12" s="80">
        <v>0.99666829780321198</v>
      </c>
      <c r="AL12" s="161">
        <f t="shared" si="5"/>
        <v>-3.8304908407282845E-5</v>
      </c>
      <c r="AM12" s="161"/>
    </row>
    <row r="13" spans="1:41" ht="11.25" customHeight="1" x14ac:dyDescent="0.2">
      <c r="A13" s="59" t="s">
        <v>93</v>
      </c>
      <c r="B13" s="116">
        <v>8</v>
      </c>
      <c r="C13" s="62" t="str">
        <f t="shared" si="9"/>
        <v>x20F</v>
      </c>
      <c r="D13" s="123"/>
      <c r="E13" s="123"/>
      <c r="F13" s="123"/>
      <c r="G13" s="61" t="str">
        <f t="shared" si="10"/>
        <v>Euribor1Y</v>
      </c>
      <c r="H13" s="119" t="str">
        <f t="shared" si="11"/>
        <v>EUR8x20F_LCHQuote</v>
      </c>
      <c r="I13" s="123"/>
      <c r="J13" s="64" t="str">
        <f>_xll.qlFraRateHelper(,H13,B13&amp;"M",G13,PillarDate,,Permanent,Trigger,ObjectOverwrite)</f>
        <v>obj_00799#0001</v>
      </c>
      <c r="K13" s="64" t="str">
        <f t="shared" si="12"/>
        <v>obj_00799#0001</v>
      </c>
      <c r="L13" s="48"/>
      <c r="M13" s="10" t="str">
        <f t="shared" si="6"/>
        <v>FRA</v>
      </c>
      <c r="N13" s="94" t="str">
        <f t="shared" si="7"/>
        <v>obj_00794#0001</v>
      </c>
      <c r="O13" s="94" t="str">
        <f t="shared" si="8"/>
        <v>obj_00794#0001</v>
      </c>
      <c r="P13" s="146" t="str">
        <f>IFERROR(_xll.qlRateHelperQuoteName(N13,Trigger),"--")</f>
        <v>EUR10x22F_LCHQuote</v>
      </c>
      <c r="Q13" s="98">
        <f>IFERROR(_xll.qlRateHelperQuoteValue($N13,Trigger),"--")</f>
        <v>2.2200000000000002E-3</v>
      </c>
      <c r="R13" s="97" t="b">
        <v>1</v>
      </c>
      <c r="S13" s="94">
        <v>10</v>
      </c>
      <c r="T13" s="94">
        <v>1</v>
      </c>
      <c r="U13" s="99">
        <f>IFERROR(_xll.qlRateHelperEarliestDate(N13,Trigger),"--")</f>
        <v>42562</v>
      </c>
      <c r="V13" s="99">
        <f>IFERROR(_xll.qlRateHelperPillarDate(N13,Trigger),"--")</f>
        <v>42926</v>
      </c>
      <c r="X13" s="4" t="str">
        <f t="shared" si="0"/>
        <v>FRA</v>
      </c>
      <c r="Y13" s="4" t="str">
        <v>obj_00794</v>
      </c>
      <c r="Z13" s="4" t="str">
        <v>obj_00794</v>
      </c>
      <c r="AA13" s="4" t="str">
        <f>IFERROR(_xll.qlRateHelperQuoteName(Y13,Trigger),"")</f>
        <v>EUR10x22F_LCHQuote</v>
      </c>
      <c r="AB13" s="70">
        <f>IFERROR(_xll.qlRateHelperRate(Y13,Trigger),"")</f>
        <v>2.2200000000000002E-3</v>
      </c>
      <c r="AC13" s="104" t="str">
        <f>IF(ISERROR(_xll.qlSwapRateHelperSpread($Y13)),IF(ISERROR(_xll.qlFuturesRateHelperConvexityAdjustment($Y13)),"",_xll.qlFuturesRateHelperConvexityAdjustment($Y13)),_xll.qlSwapRateHelperSpread($Y13))</f>
        <v/>
      </c>
      <c r="AD13" s="5">
        <f>IFERROR(_xll.qlRateHelperEarliestDate(Y13,Trigger),"")</f>
        <v>42562</v>
      </c>
      <c r="AE13" s="5">
        <f>IFERROR(_xll.qlRateHelperPillarDate(Y13,Trigger),"")</f>
        <v>42926</v>
      </c>
      <c r="AF13" s="70">
        <v>1.9504132301451193E-3</v>
      </c>
      <c r="AG13" s="77">
        <v>0.99638592612467269</v>
      </c>
      <c r="AH13" s="169">
        <v>42926</v>
      </c>
      <c r="AI13" s="170">
        <v>1.9504132301404701E-3</v>
      </c>
      <c r="AJ13" s="172">
        <f t="shared" si="4"/>
        <v>4.6492757560523401E-15</v>
      </c>
      <c r="AK13" s="80">
        <v>0.99641568736840203</v>
      </c>
      <c r="AL13" s="161">
        <f t="shared" si="5"/>
        <v>-2.9761243729331532E-5</v>
      </c>
      <c r="AM13" s="161"/>
    </row>
    <row r="14" spans="1:41" ht="11.25" customHeight="1" x14ac:dyDescent="0.2">
      <c r="A14" s="59" t="s">
        <v>93</v>
      </c>
      <c r="B14" s="116">
        <v>9</v>
      </c>
      <c r="C14" s="62" t="str">
        <f t="shared" si="9"/>
        <v>x21F</v>
      </c>
      <c r="D14" s="123"/>
      <c r="E14" s="123"/>
      <c r="F14" s="123"/>
      <c r="G14" s="61" t="str">
        <f t="shared" si="10"/>
        <v>Euribor1Y</v>
      </c>
      <c r="H14" s="119" t="str">
        <f t="shared" si="11"/>
        <v>EUR9x21F_LCHQuote</v>
      </c>
      <c r="I14" s="123"/>
      <c r="J14" s="64" t="str">
        <f>_xll.qlFraRateHelper(,H14,B14&amp;"M",G14,PillarDate,,Permanent,Trigger,ObjectOverwrite)</f>
        <v>obj_00792#0001</v>
      </c>
      <c r="K14" s="64" t="str">
        <f t="shared" si="12"/>
        <v>obj_00792#0001</v>
      </c>
      <c r="L14" s="48"/>
      <c r="M14" s="10" t="str">
        <f t="shared" si="6"/>
        <v>FRA</v>
      </c>
      <c r="N14" s="94" t="str">
        <f t="shared" si="7"/>
        <v>obj_00617#0001</v>
      </c>
      <c r="O14" s="94" t="str">
        <f t="shared" si="8"/>
        <v>obj_00617#0001</v>
      </c>
      <c r="P14" s="146" t="str">
        <f>IFERROR(_xll.qlRateHelperQuoteName(N14,Trigger),"--")</f>
        <v>EUR11x23F_LCHQuote</v>
      </c>
      <c r="Q14" s="98">
        <f>IFERROR(_xll.qlRateHelperQuoteValue($N14,Trigger),"--")</f>
        <v>2.33E-3</v>
      </c>
      <c r="R14" s="97" t="b">
        <v>1</v>
      </c>
      <c r="S14" s="94">
        <v>10</v>
      </c>
      <c r="T14" s="94">
        <v>1</v>
      </c>
      <c r="U14" s="99">
        <f>IFERROR(_xll.qlRateHelperEarliestDate(N14,Trigger),"--")</f>
        <v>42591</v>
      </c>
      <c r="V14" s="99">
        <f>IFERROR(_xll.qlRateHelperPillarDate(N14,Trigger),"--")</f>
        <v>42956</v>
      </c>
      <c r="X14" s="4" t="str">
        <f t="shared" si="0"/>
        <v>FRA</v>
      </c>
      <c r="Y14" s="4" t="str">
        <v>obj_00617</v>
      </c>
      <c r="Z14" s="4" t="str">
        <v>obj_00617</v>
      </c>
      <c r="AA14" s="4" t="str">
        <f>IFERROR(_xll.qlRateHelperQuoteName(Y14,Trigger),"")</f>
        <v>EUR11x23F_LCHQuote</v>
      </c>
      <c r="AB14" s="70">
        <f>IFERROR(_xll.qlRateHelperRate(Y14,Trigger),"")</f>
        <v>2.33E-3</v>
      </c>
      <c r="AC14" s="104" t="str">
        <f>IF(ISERROR(_xll.qlSwapRateHelperSpread($Y14)),IF(ISERROR(_xll.qlFuturesRateHelperConvexityAdjustment($Y14)),"",_xll.qlFuturesRateHelperConvexityAdjustment($Y14)),_xll.qlSwapRateHelperSpread($Y14))</f>
        <v/>
      </c>
      <c r="AD14" s="5">
        <f>IFERROR(_xll.qlRateHelperEarliestDate(Y14,Trigger),"")</f>
        <v>42591</v>
      </c>
      <c r="AE14" s="5">
        <f>IFERROR(_xll.qlRateHelperPillarDate(Y14,Trigger),"")</f>
        <v>42956</v>
      </c>
      <c r="AF14" s="70">
        <v>1.9952522331180291E-3</v>
      </c>
      <c r="AG14" s="77">
        <v>0.99615230153871803</v>
      </c>
      <c r="AH14" s="169">
        <v>42956</v>
      </c>
      <c r="AI14" s="170">
        <v>1.9952522331055599E-3</v>
      </c>
      <c r="AJ14" s="172">
        <f t="shared" si="4"/>
        <v>1.2469192345321289E-14</v>
      </c>
      <c r="AK14" s="80">
        <v>0.99616990955805196</v>
      </c>
      <c r="AL14" s="161">
        <f t="shared" si="5"/>
        <v>-1.760801933392564E-5</v>
      </c>
      <c r="AM14" s="161"/>
    </row>
    <row r="15" spans="1:41" ht="11.25" customHeight="1" x14ac:dyDescent="0.2">
      <c r="A15" s="59" t="s">
        <v>93</v>
      </c>
      <c r="B15" s="116">
        <v>10</v>
      </c>
      <c r="C15" s="62" t="str">
        <f t="shared" si="9"/>
        <v>x22F</v>
      </c>
      <c r="D15" s="123"/>
      <c r="E15" s="123"/>
      <c r="F15" s="123"/>
      <c r="G15" s="61" t="str">
        <f t="shared" si="10"/>
        <v>Euribor1Y</v>
      </c>
      <c r="H15" s="119" t="str">
        <f t="shared" si="11"/>
        <v>EUR10x22F_LCHQuote</v>
      </c>
      <c r="I15" s="123"/>
      <c r="J15" s="64" t="str">
        <f>_xll.qlFraRateHelper(,H15,B15&amp;"M",G15,PillarDate,,Permanent,Trigger,ObjectOverwrite)</f>
        <v>obj_00794#0001</v>
      </c>
      <c r="K15" s="64" t="str">
        <f t="shared" si="12"/>
        <v>obj_00794#0001</v>
      </c>
      <c r="L15" s="48"/>
      <c r="M15" s="10" t="str">
        <f t="shared" si="6"/>
        <v>FRA</v>
      </c>
      <c r="N15" s="94" t="str">
        <f t="shared" si="7"/>
        <v>obj_0076f#0001</v>
      </c>
      <c r="O15" s="94" t="str">
        <f t="shared" si="8"/>
        <v>obj_0076f#0001</v>
      </c>
      <c r="P15" s="146" t="str">
        <f>IFERROR(_xll.qlRateHelperQuoteName(N15,Trigger),"--")</f>
        <v>EUR12x24F_LCHQuote</v>
      </c>
      <c r="Q15" s="98" t="str">
        <f>IFERROR(_xll.qlRateHelperQuoteValue($N15,Trigger),"--")</f>
        <v>--</v>
      </c>
      <c r="R15" s="97" t="b">
        <v>0</v>
      </c>
      <c r="S15" s="94">
        <v>10</v>
      </c>
      <c r="T15" s="94">
        <v>1</v>
      </c>
      <c r="U15" s="99">
        <f>IFERROR(_xll.qlRateHelperEarliestDate(N15,Trigger),"--")</f>
        <v>42622</v>
      </c>
      <c r="V15" s="99">
        <f>IFERROR(_xll.qlRateHelperPillarDate(N15,Trigger),"--")</f>
        <v>42989</v>
      </c>
      <c r="X15" s="4" t="str">
        <f t="shared" si="0"/>
        <v>BasSw</v>
      </c>
      <c r="Y15" s="4" t="str">
        <v>obj_006fc</v>
      </c>
      <c r="Z15" s="4" t="str">
        <v>obj_00715</v>
      </c>
      <c r="AA15" s="4" t="str">
        <f>IFERROR(_xll.qlRateHelperQuoteName(Y15,Trigger),"")</f>
        <v>EUR6E12E2Y_LCHQuote</v>
      </c>
      <c r="AB15" s="70">
        <f>IFERROR(_xll.qlRateHelperRate(Y15,Trigger),"")</f>
        <v>2.0542500000000001E-3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42256</v>
      </c>
      <c r="AE15" s="5">
        <f>IFERROR(_xll.qlRateHelperPillarDate(Y15,Trigger),"")</f>
        <v>42989</v>
      </c>
      <c r="AF15" s="70">
        <v>2.0478352577783959E-3</v>
      </c>
      <c r="AG15" s="77">
        <v>0.99588413827130207</v>
      </c>
      <c r="AH15" s="169">
        <v>42989</v>
      </c>
      <c r="AI15" s="170">
        <v>2.0478352577715602E-3</v>
      </c>
      <c r="AJ15" s="172">
        <f t="shared" si="4"/>
        <v>6.8356778570866084E-15</v>
      </c>
      <c r="AK15" s="80">
        <v>0.995884767817247</v>
      </c>
      <c r="AL15" s="161">
        <f t="shared" si="5"/>
        <v>-6.2954594493014326E-7</v>
      </c>
      <c r="AM15" s="161"/>
    </row>
    <row r="16" spans="1:41" ht="11.25" customHeight="1" x14ac:dyDescent="0.2">
      <c r="A16" s="59" t="s">
        <v>93</v>
      </c>
      <c r="B16" s="116">
        <v>11</v>
      </c>
      <c r="C16" s="62" t="str">
        <f t="shared" ref="C16" si="13">"x"&amp;B16+SUBSTITUTE($C$4,"M","")&amp;"F"</f>
        <v>x23F</v>
      </c>
      <c r="D16" s="123"/>
      <c r="E16" s="123"/>
      <c r="F16" s="123"/>
      <c r="G16" s="61" t="str">
        <f t="shared" si="10"/>
        <v>Euribor1Y</v>
      </c>
      <c r="H16" s="119" t="str">
        <f t="shared" ref="H16" si="14">IF(LCHQuoteOverwrite,Currency&amp;B16&amp;C16&amp;LCHQuoteSuffix,Currency&amp;B16&amp;C16&amp;QuoteSuffix)</f>
        <v>EUR11x23F_LCHQuote</v>
      </c>
      <c r="I16" s="123"/>
      <c r="J16" s="64" t="str">
        <f>_xll.qlFraRateHelper(,H16,B16&amp;"M",G16,PillarDate,,Permanent,Trigger,ObjectOverwrite)</f>
        <v>obj_00617#0001</v>
      </c>
      <c r="K16" s="64" t="str">
        <f t="shared" ref="K16" si="15">J16</f>
        <v>obj_00617#0001</v>
      </c>
      <c r="L16" s="48"/>
      <c r="M16" s="68" t="str">
        <f>A20</f>
        <v>BasSw</v>
      </c>
      <c r="N16" s="131" t="str">
        <f>IF(ISBLANK(J20),"--",J20)</f>
        <v>obj_00739#0001</v>
      </c>
      <c r="O16" s="131" t="str">
        <f>IF(ISBLANK(K20),"--",K20)</f>
        <v>obj_00701#0001</v>
      </c>
      <c r="P16" s="145" t="str">
        <f>IFERROR(_xll.qlRateHelperQuoteName(N16,Trigger),"--")</f>
        <v>EUR6E12E6M_LCHQuote</v>
      </c>
      <c r="Q16" s="133" t="str">
        <f>IFERROR(_xll.qlRateHelperQuoteValue($N16,Trigger),"--")</f>
        <v>--</v>
      </c>
      <c r="R16" s="132" t="b">
        <v>0</v>
      </c>
      <c r="S16" s="131">
        <v>20</v>
      </c>
      <c r="T16" s="131">
        <v>1</v>
      </c>
      <c r="U16" s="134">
        <f>IFERROR(_xll.qlRateHelperEarliestDate(N16,Trigger),"--")</f>
        <v>42256</v>
      </c>
      <c r="V16" s="134">
        <f>IFERROR(_xll.qlRateHelperPillarDate(N16,Trigger),"--")</f>
        <v>42438</v>
      </c>
      <c r="X16" s="4" t="str">
        <f t="shared" si="0"/>
        <v>BasSw</v>
      </c>
      <c r="Y16" s="4" t="str">
        <v>obj_00729</v>
      </c>
      <c r="Z16" s="4" t="str">
        <v>obj_00717</v>
      </c>
      <c r="AA16" s="4" t="str">
        <f>IFERROR(_xll.qlRateHelperQuoteName(Y16,Trigger),"")</f>
        <v>EUR6E12E3Y_LCHQuote</v>
      </c>
      <c r="AB16" s="70">
        <f>IFERROR(_xll.qlRateHelperRate(Y16,Trigger),"")</f>
        <v>2.8465000000000001E-3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42256</v>
      </c>
      <c r="AE16" s="5">
        <f>IFERROR(_xll.qlRateHelperPillarDate(Y16,Trigger),"")</f>
        <v>43353</v>
      </c>
      <c r="AF16" s="70">
        <v>2.8351179172238388E-3</v>
      </c>
      <c r="AG16" s="77">
        <v>0.99149855569175527</v>
      </c>
      <c r="AH16" s="169">
        <v>43353</v>
      </c>
      <c r="AI16" s="170">
        <v>2.8351179172853101E-3</v>
      </c>
      <c r="AJ16" s="172">
        <f t="shared" si="4"/>
        <v>-6.1471227413845142E-14</v>
      </c>
      <c r="AK16" s="80">
        <v>0.99149905179099596</v>
      </c>
      <c r="AL16" s="161">
        <f t="shared" si="5"/>
        <v>-4.960992406877196E-7</v>
      </c>
      <c r="AM16" s="161"/>
    </row>
    <row r="17" spans="1:39" ht="11.25" customHeight="1" x14ac:dyDescent="0.2">
      <c r="A17" s="1" t="s">
        <v>93</v>
      </c>
      <c r="B17" s="117">
        <v>12</v>
      </c>
      <c r="C17" s="9" t="str">
        <f t="shared" si="9"/>
        <v>x24F</v>
      </c>
      <c r="D17" s="124"/>
      <c r="E17" s="124"/>
      <c r="F17" s="124"/>
      <c r="G17" s="7" t="str">
        <f t="shared" si="10"/>
        <v>Euribor1Y</v>
      </c>
      <c r="H17" s="120" t="str">
        <f t="shared" si="11"/>
        <v>EUR12x24F_LCHQuote</v>
      </c>
      <c r="I17" s="124"/>
      <c r="J17" s="3" t="str">
        <f>_xll.qlFraRateHelper(,H17,B17&amp;"M",G17,PillarDate,,Permanent,Trigger,ObjectOverwrite)</f>
        <v>obj_0076f#0001</v>
      </c>
      <c r="K17" s="3" t="str">
        <f t="shared" si="12"/>
        <v>obj_0076f#0001</v>
      </c>
      <c r="L17" s="48"/>
      <c r="M17" s="10" t="str">
        <f t="shared" ref="M17:M53" si="16">A21</f>
        <v>BasSw</v>
      </c>
      <c r="N17" s="94" t="str">
        <f t="shared" ref="N17:O17" si="17">IF(ISBLANK(J21),"--",J21)</f>
        <v>obj_00620#0001</v>
      </c>
      <c r="O17" s="94" t="str">
        <f t="shared" si="17"/>
        <v>obj_00629#0001</v>
      </c>
      <c r="P17" s="146" t="str">
        <f>IFERROR(_xll.qlRateHelperQuoteName(N17,Trigger),"--")</f>
        <v>EUR6E12E1Y_LCHQuote</v>
      </c>
      <c r="Q17" s="98" t="str">
        <f>IFERROR(_xll.qlRateHelperQuoteValue($N17,Trigger),"--")</f>
        <v>--</v>
      </c>
      <c r="R17" s="97" t="b">
        <v>0</v>
      </c>
      <c r="S17" s="94">
        <v>20</v>
      </c>
      <c r="T17" s="94">
        <v>1</v>
      </c>
      <c r="U17" s="99">
        <f>IFERROR(_xll.qlRateHelperEarliestDate(N17,Trigger),"--")</f>
        <v>42256</v>
      </c>
      <c r="V17" s="99">
        <f>IFERROR(_xll.qlRateHelperPillarDate(N17,Trigger),"--")</f>
        <v>42622</v>
      </c>
      <c r="X17" s="4" t="str">
        <f t="shared" ref="X17:X53" si="18">IFERROR(INDEX($M$3:$M$53,MATCH(AA17,$P$3:$P$53,0),1),"")</f>
        <v>BasSw</v>
      </c>
      <c r="Y17" s="4" t="str">
        <v>obj_00734</v>
      </c>
      <c r="Z17" s="4" t="str">
        <v>obj_006f5</v>
      </c>
      <c r="AA17" s="4" t="str">
        <f>IFERROR(_xll.qlRateHelperQuoteName(Y17,Trigger),"")</f>
        <v>EUR6E12E4Y_LCHQuote</v>
      </c>
      <c r="AB17" s="70">
        <f>IFERROR(_xll.qlRateHelperRate(Y17,Trigger),"")</f>
        <v>3.9099167000000001E-3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42256</v>
      </c>
      <c r="AE17" s="5">
        <f>IFERROR(_xll.qlRateHelperPillarDate(Y17,Trigger),"")</f>
        <v>43717</v>
      </c>
      <c r="AF17" s="70">
        <v>3.8939149976335709E-3</v>
      </c>
      <c r="AG17" s="77">
        <v>0.98451153293638605</v>
      </c>
      <c r="AH17" s="169">
        <v>43717</v>
      </c>
      <c r="AI17" s="170">
        <v>3.8939149677308998E-3</v>
      </c>
      <c r="AJ17" s="172">
        <f t="shared" si="4"/>
        <v>2.9902671051101892E-11</v>
      </c>
      <c r="AK17" s="80">
        <v>0.98451206043441297</v>
      </c>
      <c r="AL17" s="161">
        <f t="shared" si="5"/>
        <v>-5.2749802692542147E-7</v>
      </c>
      <c r="AM17" s="161"/>
    </row>
    <row r="18" spans="1:39" ht="11.25" customHeight="1" x14ac:dyDescent="0.2">
      <c r="B18" s="46"/>
      <c r="C18" s="46"/>
      <c r="D18" s="46"/>
      <c r="E18" s="46"/>
      <c r="F18" s="46"/>
      <c r="G18" s="46" t="s">
        <v>126</v>
      </c>
      <c r="H18" s="46" t="s">
        <v>131</v>
      </c>
      <c r="L18" s="48"/>
      <c r="M18" s="10" t="str">
        <f t="shared" si="16"/>
        <v>BasSw</v>
      </c>
      <c r="N18" s="94" t="str">
        <f t="shared" ref="N18:O18" si="19">IF(ISBLANK(J22),"--",J22)</f>
        <v>obj_00714#0001</v>
      </c>
      <c r="O18" s="94" t="str">
        <f t="shared" si="19"/>
        <v>obj_006e5#0001</v>
      </c>
      <c r="P18" s="146" t="str">
        <f>IFERROR(_xll.qlRateHelperQuoteName(N18,Trigger),"--")</f>
        <v>EUR6E12E15M_LCHQuote</v>
      </c>
      <c r="Q18" s="98" t="str">
        <f>IFERROR(_xll.qlRateHelperQuoteValue($N18,Trigger),"--")</f>
        <v>--</v>
      </c>
      <c r="R18" s="97" t="b">
        <v>0</v>
      </c>
      <c r="S18" s="94">
        <v>20</v>
      </c>
      <c r="T18" s="94">
        <v>1</v>
      </c>
      <c r="U18" s="99">
        <f>IFERROR(_xll.qlRateHelperEarliestDate(N18,Trigger),"--")</f>
        <v>42256</v>
      </c>
      <c r="V18" s="99">
        <f>IFERROR(_xll.qlRateHelperPillarDate(N18,Trigger),"--")</f>
        <v>42713</v>
      </c>
      <c r="X18" s="4" t="str">
        <f t="shared" si="18"/>
        <v>BasSw</v>
      </c>
      <c r="Y18" s="4" t="str">
        <v>obj_00722</v>
      </c>
      <c r="Z18" s="4" t="str">
        <v>obj_00735</v>
      </c>
      <c r="AA18" s="4" t="str">
        <f>IFERROR(_xll.qlRateHelperQuoteName(Y18,Trigger),"")</f>
        <v>EUR6E12E5Y_LCHQuote</v>
      </c>
      <c r="AB18" s="70">
        <f>IFERROR(_xll.qlRateHelperRate(Y18,Trigger),"")</f>
        <v>5.1008332999999996E-3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42256</v>
      </c>
      <c r="AE18" s="5">
        <f>IFERROR(_xll.qlRateHelperPillarDate(Y18,Trigger),"")</f>
        <v>44083</v>
      </c>
      <c r="AF18" s="70">
        <v>5.0810030387256544E-3</v>
      </c>
      <c r="AG18" s="77">
        <v>0.97485874138401662</v>
      </c>
      <c r="AH18" s="169">
        <v>44083</v>
      </c>
      <c r="AI18" s="170">
        <v>5.0810030743881299E-3</v>
      </c>
      <c r="AJ18" s="172">
        <f t="shared" si="4"/>
        <v>-3.566247557679203E-11</v>
      </c>
      <c r="AK18" s="80">
        <v>0.97485926342358598</v>
      </c>
      <c r="AL18" s="161">
        <f t="shared" si="5"/>
        <v>-5.2203956935059637E-7</v>
      </c>
      <c r="AM18" s="161"/>
    </row>
    <row r="19" spans="1:39" ht="11.25" customHeight="1" x14ac:dyDescent="0.2">
      <c r="A19" s="65" t="s">
        <v>9</v>
      </c>
      <c r="B19" s="65" t="s">
        <v>29</v>
      </c>
      <c r="C19" s="65" t="s">
        <v>114</v>
      </c>
      <c r="D19" s="65" t="s">
        <v>5</v>
      </c>
      <c r="E19" s="65" t="s">
        <v>34</v>
      </c>
      <c r="F19" s="65" t="s">
        <v>115</v>
      </c>
      <c r="G19" s="65" t="s">
        <v>4</v>
      </c>
      <c r="H19" s="65" t="s">
        <v>1</v>
      </c>
      <c r="I19" s="65" t="s">
        <v>113</v>
      </c>
      <c r="J19" s="65" t="s">
        <v>150</v>
      </c>
      <c r="K19" s="65" t="s">
        <v>152</v>
      </c>
      <c r="L19" s="48"/>
      <c r="M19" s="10" t="str">
        <f t="shared" si="16"/>
        <v>BasSw</v>
      </c>
      <c r="N19" s="94" t="str">
        <f t="shared" ref="N19:O19" si="20">IF(ISBLANK(J23),"--",J23)</f>
        <v>obj_00719#0001</v>
      </c>
      <c r="O19" s="94" t="str">
        <f t="shared" si="20"/>
        <v>obj_00736#0001</v>
      </c>
      <c r="P19" s="146" t="str">
        <f>IFERROR(_xll.qlRateHelperQuoteName(N19,Trigger),"--")</f>
        <v>EUR6E12E18M_LCHQuote</v>
      </c>
      <c r="Q19" s="98" t="str">
        <f>IFERROR(_xll.qlRateHelperQuoteValue($N19,Trigger),"--")</f>
        <v>--</v>
      </c>
      <c r="R19" s="97" t="b">
        <v>0</v>
      </c>
      <c r="S19" s="94">
        <v>20</v>
      </c>
      <c r="T19" s="94">
        <v>1</v>
      </c>
      <c r="U19" s="99">
        <f>IFERROR(_xll.qlRateHelperEarliestDate(N19,Trigger),"--")</f>
        <v>42256</v>
      </c>
      <c r="V19" s="99">
        <f>IFERROR(_xll.qlRateHelperPillarDate(N19,Trigger),"--")</f>
        <v>42803</v>
      </c>
      <c r="X19" s="4" t="str">
        <f t="shared" si="18"/>
        <v>BasSw</v>
      </c>
      <c r="Y19" s="4" t="str">
        <v>obj_0073b</v>
      </c>
      <c r="Z19" s="4" t="str">
        <v>obj_00711</v>
      </c>
      <c r="AA19" s="4" t="str">
        <f>IFERROR(_xll.qlRateHelperQuoteName(Y19,Trigger),"")</f>
        <v>EUR6E12E6Y_LCHQuote</v>
      </c>
      <c r="AB19" s="70">
        <f>IFERROR(_xll.qlRateHelperRate(Y19,Trigger),"")</f>
        <v>6.4124166999999996E-3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42256</v>
      </c>
      <c r="AE19" s="5">
        <f>IFERROR(_xll.qlRateHelperPillarDate(Y19,Trigger),"")</f>
        <v>44448</v>
      </c>
      <c r="AF19" s="70">
        <v>6.3964153225852761E-3</v>
      </c>
      <c r="AG19" s="77">
        <v>0.96227924850191671</v>
      </c>
      <c r="AH19" s="169">
        <v>44448</v>
      </c>
      <c r="AI19" s="170">
        <v>6.39641529315232E-3</v>
      </c>
      <c r="AJ19" s="172">
        <f t="shared" si="4"/>
        <v>2.9432956072383831E-11</v>
      </c>
      <c r="AK19" s="80">
        <v>0.96227976414733296</v>
      </c>
      <c r="AL19" s="161">
        <f t="shared" si="5"/>
        <v>-5.1564541625470639E-7</v>
      </c>
      <c r="AM19" s="161"/>
    </row>
    <row r="20" spans="1:39" ht="11.25" customHeight="1" x14ac:dyDescent="0.2">
      <c r="A20" s="53" t="s">
        <v>118</v>
      </c>
      <c r="B20" s="54" t="s">
        <v>3</v>
      </c>
      <c r="C20" s="55" t="s">
        <v>6</v>
      </c>
      <c r="D20" s="55" t="s">
        <v>8</v>
      </c>
      <c r="E20" s="55" t="s">
        <v>7</v>
      </c>
      <c r="F20" s="55" t="s">
        <v>125</v>
      </c>
      <c r="G20" s="55" t="str">
        <f t="shared" ref="G20:G57" si="21">PROPER(Currency)&amp;FamilyName&amp;Tenor</f>
        <v>Euribor1Y</v>
      </c>
      <c r="H20" s="53" t="str">
        <f t="shared" ref="H20:H57" si="22">IF(LCHQuoteOverwrite,Currency&amp;"6E12E"&amp;$B20&amp;LCHQuoteSuffix,Currency&amp;$G$18&amp;$H$18&amp;"BASIS"&amp;$B20&amp;QuoteSuffix)</f>
        <v>EUR6E12E6M_LCHQuote</v>
      </c>
      <c r="I20" s="126">
        <v>0</v>
      </c>
      <c r="J20" s="64" t="str">
        <f>_xll.qlSwapRateHelper2(,$H20,2,$B20,Calendar,$D20,$E20,$F20,$G20,$I20,$C20,Discounting1,PillarDate,,Permanent,Trigger,ObjectOverwrite)</f>
        <v>obj_00739#0001</v>
      </c>
      <c r="K20" s="64" t="str">
        <f>_xll.qlSwapRateHelper2(,$H20,2,$B20,Calendar,$D20,$E20,$F20,$G20,$I20,$C20,Discounting2,PillarDate,,Permanent,Trigger,ObjectOverwrite)</f>
        <v>obj_00701#0001</v>
      </c>
      <c r="L20" s="48"/>
      <c r="M20" s="10" t="str">
        <f t="shared" si="16"/>
        <v>BasSw</v>
      </c>
      <c r="N20" s="94" t="str">
        <f t="shared" ref="N20:O20" si="23">IF(ISBLANK(J24),"--",J24)</f>
        <v>obj_00704#0001</v>
      </c>
      <c r="O20" s="94" t="str">
        <f t="shared" si="23"/>
        <v>obj_0071e#0001</v>
      </c>
      <c r="P20" s="146" t="str">
        <f>IFERROR(_xll.qlRateHelperQuoteName(N20,Trigger),"--")</f>
        <v>EUR6E12E21M_LCHQuote</v>
      </c>
      <c r="Q20" s="98" t="str">
        <f>IFERROR(_xll.qlRateHelperQuoteValue($N20,Trigger),"--")</f>
        <v>--</v>
      </c>
      <c r="R20" s="97" t="b">
        <v>0</v>
      </c>
      <c r="S20" s="94">
        <v>20</v>
      </c>
      <c r="T20" s="94">
        <v>1</v>
      </c>
      <c r="U20" s="99">
        <f>IFERROR(_xll.qlRateHelperEarliestDate(N20,Trigger),"--")</f>
        <v>42256</v>
      </c>
      <c r="V20" s="99">
        <f>IFERROR(_xll.qlRateHelperPillarDate(N20,Trigger),"--")</f>
        <v>42895</v>
      </c>
      <c r="X20" s="4" t="str">
        <f t="shared" si="18"/>
        <v>BasSw</v>
      </c>
      <c r="Y20" s="4" t="str">
        <v>obj_0070f</v>
      </c>
      <c r="Z20" s="4" t="str">
        <v>obj_006e8</v>
      </c>
      <c r="AA20" s="4" t="str">
        <f>IFERROR(_xll.qlRateHelperQuoteName(Y20,Trigger),"")</f>
        <v>EUR6E12E7Y_LCHQuote</v>
      </c>
      <c r="AB20" s="70">
        <f>IFERROR(_xll.qlRateHelperRate(Y20,Trigger),"")</f>
        <v>7.7762500000000002E-3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42256</v>
      </c>
      <c r="AE20" s="5">
        <f>IFERROR(_xll.qlRateHelperPillarDate(Y20,Trigger),"")</f>
        <v>44813</v>
      </c>
      <c r="AF20" s="70">
        <v>7.7719493552057626E-3</v>
      </c>
      <c r="AG20" s="77">
        <v>0.9469672027081506</v>
      </c>
      <c r="AH20" s="169">
        <v>44813</v>
      </c>
      <c r="AI20" s="170">
        <v>7.7719493558553602E-3</v>
      </c>
      <c r="AJ20" s="172">
        <f t="shared" si="4"/>
        <v>-6.4959756324034501E-13</v>
      </c>
      <c r="AK20" s="80">
        <v>0.94696770997663005</v>
      </c>
      <c r="AL20" s="161">
        <f t="shared" si="5"/>
        <v>-5.0726847944382314E-7</v>
      </c>
      <c r="AM20" s="161"/>
    </row>
    <row r="21" spans="1:39" ht="11.25" customHeight="1" x14ac:dyDescent="0.2">
      <c r="A21" s="59" t="s">
        <v>118</v>
      </c>
      <c r="B21" s="60" t="s">
        <v>28</v>
      </c>
      <c r="C21" s="61" t="s">
        <v>6</v>
      </c>
      <c r="D21" s="61" t="s">
        <v>8</v>
      </c>
      <c r="E21" s="61" t="s">
        <v>7</v>
      </c>
      <c r="F21" s="61" t="s">
        <v>125</v>
      </c>
      <c r="G21" s="61" t="str">
        <f t="shared" si="21"/>
        <v>Euribor1Y</v>
      </c>
      <c r="H21" s="59" t="str">
        <f t="shared" si="22"/>
        <v>EUR6E12E1Y_LCHQuote</v>
      </c>
      <c r="I21" s="127">
        <v>0</v>
      </c>
      <c r="J21" s="64" t="str">
        <f>_xll.qlSwapRateHelper2(,$H21,2,$B21,Calendar,$D21,$E21,$F21,$G21,$I21,$C21,Discounting1,PillarDate,,Permanent,Trigger,ObjectOverwrite)</f>
        <v>obj_00620#0001</v>
      </c>
      <c r="K21" s="64" t="str">
        <f>_xll.qlSwapRateHelper2(,$H21,2,$B21,Calendar,$D21,$E21,$F21,$G21,$I21,$C21,Discounting2,PillarDate,,Permanent,Trigger,ObjectOverwrite)</f>
        <v>obj_00629#0001</v>
      </c>
      <c r="L21" s="48"/>
      <c r="M21" s="10" t="str">
        <f t="shared" si="16"/>
        <v>BasSw</v>
      </c>
      <c r="N21" s="94" t="str">
        <f t="shared" ref="N21:O21" si="24">IF(ISBLANK(J25),"--",J25)</f>
        <v>obj_006fc#0001</v>
      </c>
      <c r="O21" s="94" t="str">
        <f t="shared" si="24"/>
        <v>obj_00715#0001</v>
      </c>
      <c r="P21" s="146" t="str">
        <f>IFERROR(_xll.qlRateHelperQuoteName(N21,Trigger),"--")</f>
        <v>EUR6E12E2Y_LCHQuote</v>
      </c>
      <c r="Q21" s="98">
        <f>IFERROR(_xll.qlRateHelperQuoteValue($N21,Trigger),"--")</f>
        <v>2.0542500000000001E-3</v>
      </c>
      <c r="R21" s="97" t="b">
        <v>1</v>
      </c>
      <c r="S21" s="94">
        <v>20</v>
      </c>
      <c r="T21" s="94">
        <v>1</v>
      </c>
      <c r="U21" s="99">
        <f>IFERROR(_xll.qlRateHelperEarliestDate(N21,Trigger),"--")</f>
        <v>42256</v>
      </c>
      <c r="V21" s="99">
        <f>IFERROR(_xll.qlRateHelperPillarDate(N21,Trigger),"--")</f>
        <v>42989</v>
      </c>
      <c r="X21" s="4" t="str">
        <f t="shared" si="18"/>
        <v>BasSw</v>
      </c>
      <c r="Y21" s="4" t="str">
        <v>obj_006eb</v>
      </c>
      <c r="Z21" s="4" t="str">
        <v>obj_00712</v>
      </c>
      <c r="AA21" s="4" t="str">
        <f>IFERROR(_xll.qlRateHelperQuoteName(Y21,Trigger),"")</f>
        <v>EUR6E12E8Y_LCHQuote</v>
      </c>
      <c r="AB21" s="70">
        <f>IFERROR(_xll.qlRateHelperRate(Y21,Trigger),"")</f>
        <v>9.0740833000000007E-3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42256</v>
      </c>
      <c r="AE21" s="5">
        <f>IFERROR(_xll.qlRateHelperPillarDate(Y21,Trigger),"")</f>
        <v>45180</v>
      </c>
      <c r="AF21" s="70">
        <v>9.090076670981162E-3</v>
      </c>
      <c r="AG21" s="77">
        <v>0.92971978844839387</v>
      </c>
      <c r="AH21" s="169">
        <v>45180</v>
      </c>
      <c r="AI21" s="170">
        <v>9.0900767069682503E-3</v>
      </c>
      <c r="AJ21" s="172">
        <f t="shared" si="4"/>
        <v>-3.5987088309319404E-11</v>
      </c>
      <c r="AK21" s="80">
        <v>0.92972028621384994</v>
      </c>
      <c r="AL21" s="161">
        <f t="shared" si="5"/>
        <v>-4.9776545607560507E-7</v>
      </c>
      <c r="AM21" s="161"/>
    </row>
    <row r="22" spans="1:39" ht="11.25" customHeight="1" x14ac:dyDescent="0.2">
      <c r="A22" s="59" t="s">
        <v>118</v>
      </c>
      <c r="B22" s="60" t="s">
        <v>49</v>
      </c>
      <c r="C22" s="61" t="s">
        <v>6</v>
      </c>
      <c r="D22" s="61" t="s">
        <v>8</v>
      </c>
      <c r="E22" s="61" t="s">
        <v>7</v>
      </c>
      <c r="F22" s="61" t="s">
        <v>125</v>
      </c>
      <c r="G22" s="61" t="str">
        <f t="shared" si="21"/>
        <v>Euribor1Y</v>
      </c>
      <c r="H22" s="59" t="str">
        <f t="shared" si="22"/>
        <v>EUR6E12E15M_LCHQuote</v>
      </c>
      <c r="I22" s="127">
        <v>0</v>
      </c>
      <c r="J22" s="64" t="str">
        <f>_xll.qlSwapRateHelper2(,$H22,2,$B22,Calendar,$D22,$E22,$F22,$G22,$I22,$C22,Discounting1,PillarDate,,Permanent,Trigger,ObjectOverwrite)</f>
        <v>obj_00714#0001</v>
      </c>
      <c r="K22" s="64" t="str">
        <f>_xll.qlSwapRateHelper2(,$H22,2,$B22,Calendar,$D22,$E22,$F22,$G22,$I22,$C22,Discounting2,PillarDate,,Permanent,Trigger,ObjectOverwrite)</f>
        <v>obj_006e5#0001</v>
      </c>
      <c r="L22" s="48"/>
      <c r="M22" s="10" t="str">
        <f t="shared" si="16"/>
        <v>BasSw</v>
      </c>
      <c r="N22" s="94" t="str">
        <f t="shared" ref="N22:O22" si="25">IF(ISBLANK(J26),"--",J26)</f>
        <v>obj_00729#0001</v>
      </c>
      <c r="O22" s="94" t="str">
        <f t="shared" si="25"/>
        <v>obj_00717#0001</v>
      </c>
      <c r="P22" s="146" t="str">
        <f>IFERROR(_xll.qlRateHelperQuoteName(N22,Trigger),"--")</f>
        <v>EUR6E12E3Y_LCHQuote</v>
      </c>
      <c r="Q22" s="98">
        <f>IFERROR(_xll.qlRateHelperQuoteValue($N22,Trigger),"--")</f>
        <v>2.8465000000000001E-3</v>
      </c>
      <c r="R22" s="97" t="b">
        <v>1</v>
      </c>
      <c r="S22" s="94">
        <v>20</v>
      </c>
      <c r="T22" s="94">
        <v>1</v>
      </c>
      <c r="U22" s="99">
        <f>IFERROR(_xll.qlRateHelperEarliestDate(N22,Trigger),"--")</f>
        <v>42256</v>
      </c>
      <c r="V22" s="99">
        <f>IFERROR(_xll.qlRateHelperPillarDate(N22,Trigger),"--")</f>
        <v>43353</v>
      </c>
      <c r="X22" s="4" t="str">
        <f t="shared" si="18"/>
        <v>BasSw</v>
      </c>
      <c r="Y22" s="4" t="str">
        <v>obj_00709</v>
      </c>
      <c r="Z22" s="4" t="str">
        <v>obj_00725</v>
      </c>
      <c r="AA22" s="4" t="str">
        <f>IFERROR(_xll.qlRateHelperQuoteName(Y22,Trigger),"")</f>
        <v>EUR6E12E9Y_LCHQuote</v>
      </c>
      <c r="AB22" s="70">
        <f>IFERROR(_xll.qlRateHelperRate(Y22,Trigger),"")</f>
        <v>1.0243499999999999E-2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42256</v>
      </c>
      <c r="AE22" s="5">
        <f>IFERROR(_xll.qlRateHelperPillarDate(Y22,Trigger),"")</f>
        <v>45544</v>
      </c>
      <c r="AF22" s="70">
        <v>1.0283762979827075E-2</v>
      </c>
      <c r="AG22" s="77">
        <v>0.91147325388120537</v>
      </c>
      <c r="AH22" s="169">
        <v>45544</v>
      </c>
      <c r="AI22" s="170">
        <v>1.0283762979089801E-2</v>
      </c>
      <c r="AJ22" s="172">
        <f t="shared" si="4"/>
        <v>7.3727482452490278E-13</v>
      </c>
      <c r="AK22" s="80">
        <v>0.91147374205076404</v>
      </c>
      <c r="AL22" s="161">
        <f t="shared" si="5"/>
        <v>-4.8816955866559653E-7</v>
      </c>
      <c r="AM22" s="161"/>
    </row>
    <row r="23" spans="1:39" ht="11.25" customHeight="1" x14ac:dyDescent="0.2">
      <c r="A23" s="59" t="s">
        <v>118</v>
      </c>
      <c r="B23" s="60" t="s">
        <v>50</v>
      </c>
      <c r="C23" s="61" t="s">
        <v>6</v>
      </c>
      <c r="D23" s="61" t="s">
        <v>8</v>
      </c>
      <c r="E23" s="61" t="s">
        <v>7</v>
      </c>
      <c r="F23" s="61" t="s">
        <v>125</v>
      </c>
      <c r="G23" s="61" t="str">
        <f t="shared" si="21"/>
        <v>Euribor1Y</v>
      </c>
      <c r="H23" s="59" t="str">
        <f t="shared" si="22"/>
        <v>EUR6E12E18M_LCHQuote</v>
      </c>
      <c r="I23" s="127">
        <v>0</v>
      </c>
      <c r="J23" s="64" t="str">
        <f>_xll.qlSwapRateHelper2(,$H23,2,$B23,Calendar,$D23,$E23,$F23,$G23,$I23,$C23,Discounting1,PillarDate,,Permanent,Trigger,ObjectOverwrite)</f>
        <v>obj_00719#0001</v>
      </c>
      <c r="K23" s="64" t="str">
        <f>_xll.qlSwapRateHelper2(,$H23,2,$B23,Calendar,$D23,$E23,$F23,$G23,$I23,$C23,Discounting2,PillarDate,,Permanent,Trigger,ObjectOverwrite)</f>
        <v>obj_00736#0001</v>
      </c>
      <c r="L23" s="48"/>
      <c r="M23" s="10" t="str">
        <f t="shared" si="16"/>
        <v>BasSw</v>
      </c>
      <c r="N23" s="94" t="str">
        <f t="shared" ref="N23:O23" si="26">IF(ISBLANK(J27),"--",J27)</f>
        <v>obj_00734#0001</v>
      </c>
      <c r="O23" s="94" t="str">
        <f t="shared" si="26"/>
        <v>obj_006f5#0001</v>
      </c>
      <c r="P23" s="146" t="str">
        <f>IFERROR(_xll.qlRateHelperQuoteName(N23,Trigger),"--")</f>
        <v>EUR6E12E4Y_LCHQuote</v>
      </c>
      <c r="Q23" s="98">
        <f>IFERROR(_xll.qlRateHelperQuoteValue($N23,Trigger),"--")</f>
        <v>3.9099167000000001E-3</v>
      </c>
      <c r="R23" s="97" t="b">
        <v>1</v>
      </c>
      <c r="S23" s="94">
        <v>20</v>
      </c>
      <c r="T23" s="94">
        <v>1</v>
      </c>
      <c r="U23" s="99">
        <f>IFERROR(_xll.qlRateHelperEarliestDate(N23,Trigger),"--")</f>
        <v>42256</v>
      </c>
      <c r="V23" s="99">
        <f>IFERROR(_xll.qlRateHelperPillarDate(N23,Trigger),"--")</f>
        <v>43717</v>
      </c>
      <c r="X23" s="4" t="str">
        <f t="shared" si="18"/>
        <v>BasSw</v>
      </c>
      <c r="Y23" s="4" t="str">
        <v>obj_0072b</v>
      </c>
      <c r="Z23" s="4" t="str">
        <v>obj_006f4</v>
      </c>
      <c r="AA23" s="4" t="str">
        <f>IFERROR(_xll.qlRateHelperQuoteName(Y23,Trigger),"")</f>
        <v>EUR6E12E10Y_LCHQuote</v>
      </c>
      <c r="AB23" s="70">
        <f>IFERROR(_xll.qlRateHelperRate(Y23,Trigger),"")</f>
        <v>1.1247500000000001E-2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42256</v>
      </c>
      <c r="AE23" s="5">
        <f>IFERROR(_xll.qlRateHelperPillarDate(Y23,Trigger),"")</f>
        <v>45909</v>
      </c>
      <c r="AF23" s="70">
        <v>1.1319029044680434E-2</v>
      </c>
      <c r="AG23" s="77">
        <v>0.8928437962456125</v>
      </c>
      <c r="AH23" s="169">
        <v>45909</v>
      </c>
      <c r="AI23" s="170">
        <v>1.1319029044257399E-2</v>
      </c>
      <c r="AJ23" s="172">
        <f t="shared" si="4"/>
        <v>4.2303487102213211E-13</v>
      </c>
      <c r="AK23" s="80">
        <v>0.89284427443775205</v>
      </c>
      <c r="AL23" s="161">
        <f t="shared" si="5"/>
        <v>-4.7819213955246909E-7</v>
      </c>
      <c r="AM23" s="161"/>
    </row>
    <row r="24" spans="1:39" ht="11.25" customHeight="1" x14ac:dyDescent="0.2">
      <c r="A24" s="59" t="s">
        <v>118</v>
      </c>
      <c r="B24" s="60" t="s">
        <v>51</v>
      </c>
      <c r="C24" s="61" t="s">
        <v>6</v>
      </c>
      <c r="D24" s="61" t="s">
        <v>8</v>
      </c>
      <c r="E24" s="61" t="s">
        <v>7</v>
      </c>
      <c r="F24" s="61" t="s">
        <v>125</v>
      </c>
      <c r="G24" s="61" t="str">
        <f t="shared" si="21"/>
        <v>Euribor1Y</v>
      </c>
      <c r="H24" s="59" t="str">
        <f t="shared" si="22"/>
        <v>EUR6E12E21M_LCHQuote</v>
      </c>
      <c r="I24" s="127">
        <v>0</v>
      </c>
      <c r="J24" s="64" t="str">
        <f>_xll.qlSwapRateHelper2(,$H24,2,$B24,Calendar,$D24,$E24,$F24,$G24,$I24,$C24,Discounting1,PillarDate,,Permanent,Trigger,ObjectOverwrite)</f>
        <v>obj_00704#0001</v>
      </c>
      <c r="K24" s="64" t="str">
        <f>_xll.qlSwapRateHelper2(,$H24,2,$B24,Calendar,$D24,$E24,$F24,$G24,$I24,$C24,Discounting2,PillarDate,,Permanent,Trigger,ObjectOverwrite)</f>
        <v>obj_0071e#0001</v>
      </c>
      <c r="L24" s="48"/>
      <c r="M24" s="10" t="str">
        <f t="shared" si="16"/>
        <v>BasSw</v>
      </c>
      <c r="N24" s="94" t="str">
        <f t="shared" ref="N24:O24" si="27">IF(ISBLANK(J28),"--",J28)</f>
        <v>obj_00722#0001</v>
      </c>
      <c r="O24" s="94" t="str">
        <f t="shared" si="27"/>
        <v>obj_00735#0001</v>
      </c>
      <c r="P24" s="146" t="str">
        <f>IFERROR(_xll.qlRateHelperQuoteName(N24,Trigger),"--")</f>
        <v>EUR6E12E5Y_LCHQuote</v>
      </c>
      <c r="Q24" s="98">
        <f>IFERROR(_xll.qlRateHelperQuoteValue($N24,Trigger),"--")</f>
        <v>5.1008332999999996E-3</v>
      </c>
      <c r="R24" s="97" t="b">
        <v>1</v>
      </c>
      <c r="S24" s="94">
        <v>20</v>
      </c>
      <c r="T24" s="94">
        <v>1</v>
      </c>
      <c r="U24" s="99">
        <f>IFERROR(_xll.qlRateHelperEarliestDate(N24,Trigger),"--")</f>
        <v>42256</v>
      </c>
      <c r="V24" s="99">
        <f>IFERROR(_xll.qlRateHelperPillarDate(N24,Trigger),"--")</f>
        <v>44083</v>
      </c>
      <c r="X24" s="4" t="str">
        <f t="shared" si="18"/>
        <v>BasSw</v>
      </c>
      <c r="Y24" s="4" t="str">
        <v>obj_0070b</v>
      </c>
      <c r="Z24" s="4" t="str">
        <v>obj_0071c</v>
      </c>
      <c r="AA24" s="4" t="str">
        <f>IFERROR(_xll.qlRateHelperQuoteName(Y24,Trigger),"")</f>
        <v>EUR6E12E12Y_LCHQuote</v>
      </c>
      <c r="AB24" s="70">
        <f>IFERROR(_xll.qlRateHelperRate(Y24,Trigger),"")</f>
        <v>1.2949499999999999E-2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42256</v>
      </c>
      <c r="AE24" s="5">
        <f>IFERROR(_xll.qlRateHelperPillarDate(Y24,Trigger),"")</f>
        <v>46639</v>
      </c>
      <c r="AF24" s="70">
        <v>1.3095163790763437E-2</v>
      </c>
      <c r="AG24" s="77">
        <v>0.85443655017851627</v>
      </c>
      <c r="AH24" s="169">
        <v>46639</v>
      </c>
      <c r="AI24" s="170">
        <v>1.3095163790387099E-2</v>
      </c>
      <c r="AJ24" s="172">
        <f t="shared" si="4"/>
        <v>3.7633784977231244E-13</v>
      </c>
      <c r="AK24" s="80">
        <v>0.85443700783425602</v>
      </c>
      <c r="AL24" s="161">
        <f t="shared" si="5"/>
        <v>-4.5765573974954066E-7</v>
      </c>
      <c r="AM24" s="161"/>
    </row>
    <row r="25" spans="1:39" ht="11.25" customHeight="1" x14ac:dyDescent="0.2">
      <c r="A25" s="59" t="s">
        <v>118</v>
      </c>
      <c r="B25" s="60" t="s">
        <v>52</v>
      </c>
      <c r="C25" s="61" t="s">
        <v>6</v>
      </c>
      <c r="D25" s="61" t="s">
        <v>8</v>
      </c>
      <c r="E25" s="61" t="s">
        <v>7</v>
      </c>
      <c r="F25" s="61" t="s">
        <v>125</v>
      </c>
      <c r="G25" s="61" t="str">
        <f t="shared" si="21"/>
        <v>Euribor1Y</v>
      </c>
      <c r="H25" s="59" t="str">
        <f t="shared" si="22"/>
        <v>EUR6E12E2Y_LCHQuote</v>
      </c>
      <c r="I25" s="127">
        <v>0</v>
      </c>
      <c r="J25" s="64" t="str">
        <f>_xll.qlSwapRateHelper2(,$H25,2,$B25,Calendar,$D25,$E25,$F25,$G25,$I25,$C25,Discounting1,PillarDate,,Permanent,Trigger,ObjectOverwrite)</f>
        <v>obj_006fc#0001</v>
      </c>
      <c r="K25" s="64" t="str">
        <f>_xll.qlSwapRateHelper2(,$H25,2,$B25,Calendar,$D25,$E25,$F25,$G25,$I25,$C25,Discounting2,PillarDate,,Permanent,Trigger,ObjectOverwrite)</f>
        <v>obj_00715#0001</v>
      </c>
      <c r="L25" s="48"/>
      <c r="M25" s="10" t="str">
        <f t="shared" si="16"/>
        <v>BasSw</v>
      </c>
      <c r="N25" s="94" t="str">
        <f t="shared" ref="N25:O25" si="28">IF(ISBLANK(J29),"--",J29)</f>
        <v>obj_0073b#0001</v>
      </c>
      <c r="O25" s="94" t="str">
        <f t="shared" si="28"/>
        <v>obj_00711#0001</v>
      </c>
      <c r="P25" s="146" t="str">
        <f>IFERROR(_xll.qlRateHelperQuoteName(N25,Trigger),"--")</f>
        <v>EUR6E12E6Y_LCHQuote</v>
      </c>
      <c r="Q25" s="98">
        <f>IFERROR(_xll.qlRateHelperQuoteValue($N25,Trigger),"--")</f>
        <v>6.4124166999999996E-3</v>
      </c>
      <c r="R25" s="97" t="b">
        <v>1</v>
      </c>
      <c r="S25" s="94">
        <v>20</v>
      </c>
      <c r="T25" s="94">
        <v>1</v>
      </c>
      <c r="U25" s="99">
        <f>IFERROR(_xll.qlRateHelperEarliestDate(N25,Trigger),"--")</f>
        <v>42256</v>
      </c>
      <c r="V25" s="99">
        <f>IFERROR(_xll.qlRateHelperPillarDate(N25,Trigger),"--")</f>
        <v>44448</v>
      </c>
      <c r="X25" s="4" t="str">
        <f t="shared" si="18"/>
        <v>BasSw</v>
      </c>
      <c r="Y25" s="4" t="str">
        <v>obj_006f3</v>
      </c>
      <c r="Z25" s="4" t="str">
        <v>obj_00732</v>
      </c>
      <c r="AA25" s="4" t="str">
        <f>IFERROR(_xll.qlRateHelperQuoteName(Y25,Trigger),"")</f>
        <v>EUR6E12E15Y_LCHQuote</v>
      </c>
      <c r="AB25" s="70">
        <f>IFERROR(_xll.qlRateHelperRate(Y25,Trigger),"")</f>
        <v>1.4628499999999999E-2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42256</v>
      </c>
      <c r="AE25" s="5">
        <f>IFERROR(_xll.qlRateHelperPillarDate(Y25,Trigger),"")</f>
        <v>47735</v>
      </c>
      <c r="AF25" s="70">
        <v>1.4871427940933621E-2</v>
      </c>
      <c r="AG25" s="77">
        <v>0.79990625334940824</v>
      </c>
      <c r="AH25" s="169">
        <v>47735</v>
      </c>
      <c r="AI25" s="170">
        <v>1.4871427940412201E-2</v>
      </c>
      <c r="AJ25" s="172">
        <f t="shared" si="4"/>
        <v>5.2141971296215672E-13</v>
      </c>
      <c r="AK25" s="80">
        <v>0.79990668176897195</v>
      </c>
      <c r="AL25" s="161">
        <f t="shared" si="5"/>
        <v>-4.2841956371386658E-7</v>
      </c>
      <c r="AM25" s="161"/>
    </row>
    <row r="26" spans="1:39" ht="11.25" customHeight="1" x14ac:dyDescent="0.2">
      <c r="A26" s="59" t="s">
        <v>118</v>
      </c>
      <c r="B26" s="60" t="s">
        <v>53</v>
      </c>
      <c r="C26" s="61" t="s">
        <v>6</v>
      </c>
      <c r="D26" s="61" t="s">
        <v>8</v>
      </c>
      <c r="E26" s="61" t="s">
        <v>7</v>
      </c>
      <c r="F26" s="61" t="s">
        <v>125</v>
      </c>
      <c r="G26" s="61" t="str">
        <f t="shared" si="21"/>
        <v>Euribor1Y</v>
      </c>
      <c r="H26" s="59" t="str">
        <f t="shared" si="22"/>
        <v>EUR6E12E3Y_LCHQuote</v>
      </c>
      <c r="I26" s="127">
        <v>0</v>
      </c>
      <c r="J26" s="64" t="str">
        <f>_xll.qlSwapRateHelper2(,$H26,2,$B26,Calendar,$D26,$E26,$F26,$G26,$I26,$C26,Discounting1,PillarDate,,Permanent,Trigger,ObjectOverwrite)</f>
        <v>obj_00729#0001</v>
      </c>
      <c r="K26" s="64" t="str">
        <f>_xll.qlSwapRateHelper2(,$H26,2,$B26,Calendar,$D26,$E26,$F26,$G26,$I26,$C26,Discounting2,PillarDate,,Permanent,Trigger,ObjectOverwrite)</f>
        <v>obj_00717#0001</v>
      </c>
      <c r="L26" s="48"/>
      <c r="M26" s="10" t="str">
        <f t="shared" si="16"/>
        <v>BasSw</v>
      </c>
      <c r="N26" s="94" t="str">
        <f t="shared" ref="N26:O26" si="29">IF(ISBLANK(J30),"--",J30)</f>
        <v>obj_0070f#0001</v>
      </c>
      <c r="O26" s="94" t="str">
        <f t="shared" si="29"/>
        <v>obj_006e8#0001</v>
      </c>
      <c r="P26" s="146" t="str">
        <f>IFERROR(_xll.qlRateHelperQuoteName(N26,Trigger),"--")</f>
        <v>EUR6E12E7Y_LCHQuote</v>
      </c>
      <c r="Q26" s="98">
        <f>IFERROR(_xll.qlRateHelperQuoteValue($N26,Trigger),"--")</f>
        <v>7.7762500000000002E-3</v>
      </c>
      <c r="R26" s="97" t="b">
        <v>1</v>
      </c>
      <c r="S26" s="94">
        <v>20</v>
      </c>
      <c r="T26" s="94">
        <v>1</v>
      </c>
      <c r="U26" s="99">
        <f>IFERROR(_xll.qlRateHelperEarliestDate(N26,Trigger),"--")</f>
        <v>42256</v>
      </c>
      <c r="V26" s="99">
        <f>IFERROR(_xll.qlRateHelperPillarDate(N26,Trigger),"--")</f>
        <v>44813</v>
      </c>
      <c r="X26" s="4" t="str">
        <f t="shared" si="18"/>
        <v>BasSw</v>
      </c>
      <c r="Y26" s="4" t="str">
        <v>obj_006fe</v>
      </c>
      <c r="Z26" s="4" t="str">
        <v>obj_00720</v>
      </c>
      <c r="AA26" s="4" t="str">
        <f>IFERROR(_xll.qlRateHelperQuoteName(Y26,Trigger),"")</f>
        <v>EUR6E12E20Y_LCHQuote</v>
      </c>
      <c r="AB26" s="70">
        <f>IFERROR(_xll.qlRateHelperRate(Y26,Trigger),"")</f>
        <v>1.5965166699999998E-2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42256</v>
      </c>
      <c r="AE26" s="5">
        <f>IFERROR(_xll.qlRateHelperPillarDate(Y26,Trigger),"")</f>
        <v>49562</v>
      </c>
      <c r="AF26" s="70">
        <v>1.6292559753669097E-2</v>
      </c>
      <c r="AG26" s="77">
        <v>0.72182463697217758</v>
      </c>
      <c r="AH26" s="169">
        <v>49562</v>
      </c>
      <c r="AI26" s="170">
        <v>1.6292559713827599E-2</v>
      </c>
      <c r="AJ26" s="172">
        <f t="shared" si="4"/>
        <v>3.9841498156167887E-11</v>
      </c>
      <c r="AK26" s="80">
        <v>0.72182502418855599</v>
      </c>
      <c r="AL26" s="161">
        <f t="shared" si="5"/>
        <v>-3.8721637840577472E-7</v>
      </c>
      <c r="AM26" s="161"/>
    </row>
    <row r="27" spans="1:39" ht="11.25" customHeight="1" x14ac:dyDescent="0.2">
      <c r="A27" s="59" t="s">
        <v>118</v>
      </c>
      <c r="B27" s="60" t="s">
        <v>54</v>
      </c>
      <c r="C27" s="61" t="s">
        <v>6</v>
      </c>
      <c r="D27" s="61" t="s">
        <v>8</v>
      </c>
      <c r="E27" s="61" t="s">
        <v>7</v>
      </c>
      <c r="F27" s="61" t="s">
        <v>125</v>
      </c>
      <c r="G27" s="61" t="str">
        <f t="shared" si="21"/>
        <v>Euribor1Y</v>
      </c>
      <c r="H27" s="59" t="str">
        <f t="shared" si="22"/>
        <v>EUR6E12E4Y_LCHQuote</v>
      </c>
      <c r="I27" s="127">
        <v>0</v>
      </c>
      <c r="J27" s="64" t="str">
        <f>_xll.qlSwapRateHelper2(,$H27,2,$B27,Calendar,$D27,$E27,$F27,$G27,$I27,$C27,Discounting1,PillarDate,,Permanent,Trigger,ObjectOverwrite)</f>
        <v>obj_00734#0001</v>
      </c>
      <c r="K27" s="64" t="str">
        <f>_xll.qlSwapRateHelper2(,$H27,2,$B27,Calendar,$D27,$E27,$F27,$G27,$I27,$C27,Discounting2,PillarDate,,Permanent,Trigger,ObjectOverwrite)</f>
        <v>obj_006f5#0001</v>
      </c>
      <c r="L27" s="48"/>
      <c r="M27" s="10" t="str">
        <f t="shared" si="16"/>
        <v>BasSw</v>
      </c>
      <c r="N27" s="94" t="str">
        <f t="shared" ref="N27:O27" si="30">IF(ISBLANK(J31),"--",J31)</f>
        <v>obj_006eb#0001</v>
      </c>
      <c r="O27" s="94" t="str">
        <f t="shared" si="30"/>
        <v>obj_00712#0001</v>
      </c>
      <c r="P27" s="146" t="str">
        <f>IFERROR(_xll.qlRateHelperQuoteName(N27,Trigger),"--")</f>
        <v>EUR6E12E8Y_LCHQuote</v>
      </c>
      <c r="Q27" s="98">
        <f>IFERROR(_xll.qlRateHelperQuoteValue($N27,Trigger),"--")</f>
        <v>9.0740833000000007E-3</v>
      </c>
      <c r="R27" s="97" t="b">
        <v>1</v>
      </c>
      <c r="S27" s="94">
        <v>20</v>
      </c>
      <c r="T27" s="94">
        <v>1</v>
      </c>
      <c r="U27" s="99">
        <f>IFERROR(_xll.qlRateHelperEarliestDate(N27,Trigger),"--")</f>
        <v>42256</v>
      </c>
      <c r="V27" s="99">
        <f>IFERROR(_xll.qlRateHelperPillarDate(N27,Trigger),"--")</f>
        <v>45180</v>
      </c>
      <c r="X27" s="4" t="str">
        <f t="shared" si="18"/>
        <v>BasSw</v>
      </c>
      <c r="Y27" s="4" t="str">
        <v>obj_00737</v>
      </c>
      <c r="Z27" s="4" t="str">
        <v>obj_006fa</v>
      </c>
      <c r="AA27" s="4" t="str">
        <f>IFERROR(_xll.qlRateHelperQuoteName(Y27,Trigger),"")</f>
        <v>EUR6E12E25Y_LCHQuote</v>
      </c>
      <c r="AB27" s="70">
        <f>IFERROR(_xll.qlRateHelperRate(Y27,Trigger),"")</f>
        <v>1.6213999999999999E-2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42256</v>
      </c>
      <c r="AE27" s="5">
        <f>IFERROR(_xll.qlRateHelperPillarDate(Y27,Trigger),"")</f>
        <v>51389</v>
      </c>
      <c r="AF27" s="70">
        <v>1.6493230201521342E-2</v>
      </c>
      <c r="AG27" s="77">
        <v>0.66202513092752091</v>
      </c>
      <c r="AH27" s="169">
        <v>51389</v>
      </c>
      <c r="AI27" s="170">
        <v>1.64932302037545E-2</v>
      </c>
      <c r="AJ27" s="172">
        <f t="shared" si="4"/>
        <v>-2.2331581028822711E-12</v>
      </c>
      <c r="AK27" s="80">
        <v>0.66202548540706396</v>
      </c>
      <c r="AL27" s="161">
        <f t="shared" si="5"/>
        <v>-3.5447954305212193E-7</v>
      </c>
      <c r="AM27" s="161"/>
    </row>
    <row r="28" spans="1:39" ht="11.25" customHeight="1" x14ac:dyDescent="0.2">
      <c r="A28" s="59" t="s">
        <v>118</v>
      </c>
      <c r="B28" s="60" t="s">
        <v>55</v>
      </c>
      <c r="C28" s="61" t="s">
        <v>6</v>
      </c>
      <c r="D28" s="61" t="s">
        <v>8</v>
      </c>
      <c r="E28" s="61" t="s">
        <v>7</v>
      </c>
      <c r="F28" s="61" t="s">
        <v>125</v>
      </c>
      <c r="G28" s="61" t="str">
        <f t="shared" si="21"/>
        <v>Euribor1Y</v>
      </c>
      <c r="H28" s="59" t="str">
        <f t="shared" si="22"/>
        <v>EUR6E12E5Y_LCHQuote</v>
      </c>
      <c r="I28" s="127">
        <v>0</v>
      </c>
      <c r="J28" s="64" t="str">
        <f>_xll.qlSwapRateHelper2(,$H28,2,$B28,Calendar,$D28,$E28,$F28,$G28,$I28,$C28,Discounting1,PillarDate,,Permanent,Trigger,ObjectOverwrite)</f>
        <v>obj_00722#0001</v>
      </c>
      <c r="K28" s="64" t="str">
        <f>_xll.qlSwapRateHelper2(,$H28,2,$B28,Calendar,$D28,$E28,$F28,$G28,$I28,$C28,Discounting2,PillarDate,,Permanent,Trigger,ObjectOverwrite)</f>
        <v>obj_00735#0001</v>
      </c>
      <c r="L28" s="48"/>
      <c r="M28" s="10" t="str">
        <f t="shared" si="16"/>
        <v>BasSw</v>
      </c>
      <c r="N28" s="94" t="str">
        <f t="shared" ref="N28:O28" si="31">IF(ISBLANK(J32),"--",J32)</f>
        <v>obj_00709#0001</v>
      </c>
      <c r="O28" s="94" t="str">
        <f t="shared" si="31"/>
        <v>obj_00725#0001</v>
      </c>
      <c r="P28" s="146" t="str">
        <f>IFERROR(_xll.qlRateHelperQuoteName(N28,Trigger),"--")</f>
        <v>EUR6E12E9Y_LCHQuote</v>
      </c>
      <c r="Q28" s="98">
        <f>IFERROR(_xll.qlRateHelperQuoteValue($N28,Trigger),"--")</f>
        <v>1.0243499999999999E-2</v>
      </c>
      <c r="R28" s="97" t="b">
        <v>1</v>
      </c>
      <c r="S28" s="94">
        <v>20</v>
      </c>
      <c r="T28" s="94">
        <v>1</v>
      </c>
      <c r="U28" s="99">
        <f>IFERROR(_xll.qlRateHelperEarliestDate(N28,Trigger),"--")</f>
        <v>42256</v>
      </c>
      <c r="V28" s="99">
        <f>IFERROR(_xll.qlRateHelperPillarDate(N28,Trigger),"--")</f>
        <v>45544</v>
      </c>
      <c r="X28" s="4" t="str">
        <f t="shared" si="18"/>
        <v>BasSw</v>
      </c>
      <c r="Y28" s="4" t="str">
        <v>obj_006ea</v>
      </c>
      <c r="Z28" s="4" t="str">
        <v>obj_006ed</v>
      </c>
      <c r="AA28" s="4" t="str">
        <f>IFERROR(_xll.qlRateHelperQuoteName(Y28,Trigger),"")</f>
        <v>EUR6E12E30Y_LCHQuote</v>
      </c>
      <c r="AB28" s="70">
        <f>IFERROR(_xll.qlRateHelperRate(Y28,Trigger),"")</f>
        <v>1.6245833300000002E-2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42256</v>
      </c>
      <c r="AE28" s="5">
        <f>IFERROR(_xll.qlRateHelperPillarDate(Y28,Trigger),"")</f>
        <v>53216</v>
      </c>
      <c r="AF28" s="70">
        <v>1.6462759790367851E-2</v>
      </c>
      <c r="AG28" s="77">
        <v>0.61011492556397862</v>
      </c>
      <c r="AH28" s="169">
        <v>53216</v>
      </c>
      <c r="AI28" s="170">
        <v>1.6462759835427401E-2</v>
      </c>
      <c r="AJ28" s="172">
        <f t="shared" si="4"/>
        <v>-4.5059549841353075E-11</v>
      </c>
      <c r="AK28" s="80">
        <v>0.610115251706287</v>
      </c>
      <c r="AL28" s="161">
        <f t="shared" si="5"/>
        <v>-3.261423083822379E-7</v>
      </c>
      <c r="AM28" s="161"/>
    </row>
    <row r="29" spans="1:39" ht="11.25" customHeight="1" x14ac:dyDescent="0.2">
      <c r="A29" s="59" t="s">
        <v>118</v>
      </c>
      <c r="B29" s="60" t="s">
        <v>56</v>
      </c>
      <c r="C29" s="61" t="s">
        <v>6</v>
      </c>
      <c r="D29" s="61" t="s">
        <v>8</v>
      </c>
      <c r="E29" s="61" t="s">
        <v>7</v>
      </c>
      <c r="F29" s="61" t="s">
        <v>125</v>
      </c>
      <c r="G29" s="61" t="str">
        <f t="shared" si="21"/>
        <v>Euribor1Y</v>
      </c>
      <c r="H29" s="59" t="str">
        <f t="shared" si="22"/>
        <v>EUR6E12E6Y_LCHQuote</v>
      </c>
      <c r="I29" s="127">
        <v>0</v>
      </c>
      <c r="J29" s="64" t="str">
        <f>_xll.qlSwapRateHelper2(,$H29,2,$B29,Calendar,$D29,$E29,$F29,$G29,$I29,$C29,Discounting1,PillarDate,,Permanent,Trigger,ObjectOverwrite)</f>
        <v>obj_0073b#0001</v>
      </c>
      <c r="K29" s="64" t="str">
        <f>_xll.qlSwapRateHelper2(,$H29,2,$B29,Calendar,$D29,$E29,$F29,$G29,$I29,$C29,Discounting2,PillarDate,,Permanent,Trigger,ObjectOverwrite)</f>
        <v>obj_00711#0001</v>
      </c>
      <c r="L29" s="48"/>
      <c r="M29" s="10" t="str">
        <f t="shared" si="16"/>
        <v>BasSw</v>
      </c>
      <c r="N29" s="94" t="str">
        <f t="shared" ref="N29:O29" si="32">IF(ISBLANK(J33),"--",J33)</f>
        <v>obj_0072b#0001</v>
      </c>
      <c r="O29" s="94" t="str">
        <f t="shared" si="32"/>
        <v>obj_006f4#0001</v>
      </c>
      <c r="P29" s="146" t="str">
        <f>IFERROR(_xll.qlRateHelperQuoteName(N29,Trigger),"--")</f>
        <v>EUR6E12E10Y_LCHQuote</v>
      </c>
      <c r="Q29" s="98">
        <f>IFERROR(_xll.qlRateHelperQuoteValue($N29,Trigger),"--")</f>
        <v>1.1247500000000001E-2</v>
      </c>
      <c r="R29" s="97" t="b">
        <v>1</v>
      </c>
      <c r="S29" s="94">
        <v>20</v>
      </c>
      <c r="T29" s="94">
        <v>1</v>
      </c>
      <c r="U29" s="99">
        <f>IFERROR(_xll.qlRateHelperEarliestDate(N29,Trigger),"--")</f>
        <v>42256</v>
      </c>
      <c r="V29" s="99">
        <f>IFERROR(_xll.qlRateHelperPillarDate(N29,Trigger),"--")</f>
        <v>45909</v>
      </c>
      <c r="X29" s="4" t="str">
        <f t="shared" si="18"/>
        <v>BasSw</v>
      </c>
      <c r="Y29" s="4" t="str">
        <v>obj_006f8</v>
      </c>
      <c r="Z29" s="4" t="str">
        <v>obj_00733</v>
      </c>
      <c r="AA29" s="4" t="str">
        <f>IFERROR(_xll.qlRateHelperQuoteName(Y29,Trigger),"")</f>
        <v>EUR6E12E40Y_LCHQuote</v>
      </c>
      <c r="AB29" s="70">
        <f>IFERROR(_xll.qlRateHelperRate(Y29,Trigger),"")</f>
        <v>1.6372500000000002E-2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42256</v>
      </c>
      <c r="AE29" s="5">
        <f>IFERROR(_xll.qlRateHelperPillarDate(Y29,Trigger),"")</f>
        <v>56866</v>
      </c>
      <c r="AF29" s="70">
        <v>1.6537340226678493E-2</v>
      </c>
      <c r="AG29" s="77">
        <v>0.51608101229420078</v>
      </c>
      <c r="AH29" s="169">
        <v>56866</v>
      </c>
      <c r="AI29" s="170">
        <v>1.65373402238621E-2</v>
      </c>
      <c r="AJ29" s="172">
        <f t="shared" si="4"/>
        <v>2.8163929521873854E-12</v>
      </c>
      <c r="AK29" s="80">
        <v>0.51608128432630995</v>
      </c>
      <c r="AL29" s="161">
        <f t="shared" si="5"/>
        <v>-2.7203210917203791E-7</v>
      </c>
      <c r="AM29" s="161"/>
    </row>
    <row r="30" spans="1:39" ht="11.25" customHeight="1" x14ac:dyDescent="0.2">
      <c r="A30" s="59" t="s">
        <v>118</v>
      </c>
      <c r="B30" s="60" t="s">
        <v>57</v>
      </c>
      <c r="C30" s="61" t="s">
        <v>6</v>
      </c>
      <c r="D30" s="61" t="s">
        <v>8</v>
      </c>
      <c r="E30" s="61" t="s">
        <v>7</v>
      </c>
      <c r="F30" s="61" t="s">
        <v>125</v>
      </c>
      <c r="G30" s="61" t="str">
        <f t="shared" si="21"/>
        <v>Euribor1Y</v>
      </c>
      <c r="H30" s="59" t="str">
        <f t="shared" si="22"/>
        <v>EUR6E12E7Y_LCHQuote</v>
      </c>
      <c r="I30" s="127">
        <v>0</v>
      </c>
      <c r="J30" s="64" t="str">
        <f>_xll.qlSwapRateHelper2(,$H30,2,$B30,Calendar,$D30,$E30,$F30,$G30,$I30,$C30,Discounting1,PillarDate,,Permanent,Trigger,ObjectOverwrite)</f>
        <v>obj_0070f#0001</v>
      </c>
      <c r="K30" s="64" t="str">
        <f>_xll.qlSwapRateHelper2(,$H30,2,$B30,Calendar,$D30,$E30,$F30,$G30,$I30,$C30,Discounting2,PillarDate,,Permanent,Trigger,ObjectOverwrite)</f>
        <v>obj_006e8#0001</v>
      </c>
      <c r="L30" s="48"/>
      <c r="M30" s="10" t="str">
        <f t="shared" si="16"/>
        <v>BasSw</v>
      </c>
      <c r="N30" s="94" t="str">
        <f t="shared" ref="N30:O30" si="33">IF(ISBLANK(J34),"--",J34)</f>
        <v>obj_0073c#0001</v>
      </c>
      <c r="O30" s="94" t="str">
        <f t="shared" si="33"/>
        <v>obj_00728#0001</v>
      </c>
      <c r="P30" s="146" t="str">
        <f>IFERROR(_xll.qlRateHelperQuoteName(N30,Trigger),"--")</f>
        <v>EUR6E12E11Y_LCHQuote</v>
      </c>
      <c r="Q30" s="98" t="str">
        <f>IFERROR(_xll.qlRateHelperQuoteValue($N30,Trigger),"--")</f>
        <v>--</v>
      </c>
      <c r="R30" s="97" t="b">
        <v>0</v>
      </c>
      <c r="S30" s="94">
        <v>20</v>
      </c>
      <c r="T30" s="94">
        <v>1</v>
      </c>
      <c r="U30" s="99">
        <f>IFERROR(_xll.qlRateHelperEarliestDate(N30,Trigger),"--")</f>
        <v>42256</v>
      </c>
      <c r="V30" s="99">
        <f>IFERROR(_xll.qlRateHelperPillarDate(N30,Trigger),"--")</f>
        <v>46274</v>
      </c>
      <c r="X30" s="4" t="str">
        <f t="shared" si="18"/>
        <v>BasSw</v>
      </c>
      <c r="Y30" s="4" t="str">
        <v>obj_00724</v>
      </c>
      <c r="Z30" s="4" t="str">
        <v>obj_006f9</v>
      </c>
      <c r="AA30" s="4" t="str">
        <f>IFERROR(_xll.qlRateHelperQuoteName(Y30,Trigger),"")</f>
        <v>EUR6E12E50Y_LCHQuote</v>
      </c>
      <c r="AB30" s="70">
        <f>IFERROR(_xll.qlRateHelperRate(Y30,Trigger),"")</f>
        <v>1.59475E-2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42256</v>
      </c>
      <c r="AE30" s="5">
        <f>IFERROR(_xll.qlRateHelperPillarDate(Y30,Trigger),"")</f>
        <v>60519</v>
      </c>
      <c r="AF30" s="70">
        <v>1.5880383176454762E-2</v>
      </c>
      <c r="AG30" s="77">
        <v>0.45203266068728698</v>
      </c>
      <c r="AH30" s="169">
        <v>60519</v>
      </c>
      <c r="AI30" s="170">
        <v>1.5880383174226301E-2</v>
      </c>
      <c r="AJ30" s="172">
        <f t="shared" si="4"/>
        <v>2.2284604717093259E-12</v>
      </c>
      <c r="AK30" s="80">
        <v>0.45203291239872201</v>
      </c>
      <c r="AL30" s="161">
        <f t="shared" si="5"/>
        <v>-2.5171143502866755E-7</v>
      </c>
      <c r="AM30" s="161"/>
    </row>
    <row r="31" spans="1:39" ht="11.25" customHeight="1" x14ac:dyDescent="0.2">
      <c r="A31" s="59" t="s">
        <v>118</v>
      </c>
      <c r="B31" s="60" t="s">
        <v>58</v>
      </c>
      <c r="C31" s="61" t="s">
        <v>6</v>
      </c>
      <c r="D31" s="61" t="s">
        <v>8</v>
      </c>
      <c r="E31" s="61" t="s">
        <v>7</v>
      </c>
      <c r="F31" s="61" t="s">
        <v>125</v>
      </c>
      <c r="G31" s="61" t="str">
        <f t="shared" si="21"/>
        <v>Euribor1Y</v>
      </c>
      <c r="H31" s="59" t="str">
        <f t="shared" si="22"/>
        <v>EUR6E12E8Y_LCHQuote</v>
      </c>
      <c r="I31" s="127">
        <v>0</v>
      </c>
      <c r="J31" s="64" t="str">
        <f>_xll.qlSwapRateHelper2(,$H31,2,$B31,Calendar,$D31,$E31,$F31,$G31,$I31,$C31,Discounting1,PillarDate,,Permanent,Trigger,ObjectOverwrite)</f>
        <v>obj_006eb#0001</v>
      </c>
      <c r="K31" s="64" t="str">
        <f>_xll.qlSwapRateHelper2(,$H31,2,$B31,Calendar,$D31,$E31,$F31,$G31,$I31,$C31,Discounting2,PillarDate,,Permanent,Trigger,ObjectOverwrite)</f>
        <v>obj_00712#0001</v>
      </c>
      <c r="L31" s="48"/>
      <c r="M31" s="10" t="str">
        <f t="shared" si="16"/>
        <v>BasSw</v>
      </c>
      <c r="N31" s="94" t="str">
        <f t="shared" ref="N31:O31" si="34">IF(ISBLANK(J35),"--",J35)</f>
        <v>obj_0070b#0001</v>
      </c>
      <c r="O31" s="94" t="str">
        <f t="shared" si="34"/>
        <v>obj_0071c#0001</v>
      </c>
      <c r="P31" s="146" t="str">
        <f>IFERROR(_xll.qlRateHelperQuoteName(N31,Trigger),"--")</f>
        <v>EUR6E12E12Y_LCHQuote</v>
      </c>
      <c r="Q31" s="98">
        <f>IFERROR(_xll.qlRateHelperQuoteValue($N31,Trigger),"--")</f>
        <v>1.2949499999999999E-2</v>
      </c>
      <c r="R31" s="97" t="b">
        <v>1</v>
      </c>
      <c r="S31" s="94">
        <v>20</v>
      </c>
      <c r="T31" s="94">
        <v>1</v>
      </c>
      <c r="U31" s="99">
        <f>IFERROR(_xll.qlRateHelperEarliestDate(N31,Trigger),"--")</f>
        <v>42256</v>
      </c>
      <c r="V31" s="99">
        <f>IFERROR(_xll.qlRateHelperPillarDate(N31,Trigger),"--")</f>
        <v>46639</v>
      </c>
      <c r="X31" s="4" t="str">
        <f t="shared" si="18"/>
        <v>BasSw</v>
      </c>
      <c r="Y31" s="4" t="str">
        <v>obj_00721</v>
      </c>
      <c r="Z31" s="4" t="str">
        <v>obj_006fd</v>
      </c>
      <c r="AA31" s="4" t="str">
        <f>IFERROR(_xll.qlRateHelperQuoteName(Y31,Trigger),"")</f>
        <v>EUR6E12E60Y_LCHQuote</v>
      </c>
      <c r="AB31" s="70">
        <f>IFERROR(_xll.qlRateHelperRate(Y31,Trigger),"")</f>
        <v>1.5664999999999998E-2</v>
      </c>
      <c r="AC31" s="104">
        <f>IF(ISERROR(_xll.qlSwapRateHelperSpread($Y31)),IF(ISERROR(_xll.qlFuturesRateHelperConvexityAdjustment($Y31)),"",_xll.qlFuturesRateHelperConvexityAdjustment($Y31)),_xll.qlSwapRateHelperSpread($Y31))</f>
        <v>0</v>
      </c>
      <c r="AD31" s="5">
        <f>IFERROR(_xll.qlRateHelperEarliestDate(Y31,Trigger),"")</f>
        <v>42256</v>
      </c>
      <c r="AE31" s="5">
        <f>IFERROR(_xll.qlRateHelperPillarDate(Y31,Trigger),"")</f>
        <v>64171</v>
      </c>
      <c r="AF31" s="70">
        <v>1.5449633305809169E-2</v>
      </c>
      <c r="AG31" s="77">
        <v>0.39564279278333081</v>
      </c>
      <c r="AH31" s="169">
        <v>64171</v>
      </c>
      <c r="AI31" s="170">
        <v>1.5449521471203801E-2</v>
      </c>
      <c r="AJ31" s="172">
        <f t="shared" si="4"/>
        <v>1.1183460536801082E-7</v>
      </c>
      <c r="AK31" s="80">
        <v>0.39564490781884398</v>
      </c>
      <c r="AL31" s="161">
        <f t="shared" si="5"/>
        <v>-2.1150355131727139E-6</v>
      </c>
      <c r="AM31" s="161"/>
    </row>
    <row r="32" spans="1:39" ht="11.25" customHeight="1" x14ac:dyDescent="0.2">
      <c r="A32" s="59" t="s">
        <v>118</v>
      </c>
      <c r="B32" s="60" t="s">
        <v>59</v>
      </c>
      <c r="C32" s="61" t="s">
        <v>6</v>
      </c>
      <c r="D32" s="61" t="s">
        <v>8</v>
      </c>
      <c r="E32" s="61" t="s">
        <v>7</v>
      </c>
      <c r="F32" s="61" t="s">
        <v>125</v>
      </c>
      <c r="G32" s="61" t="str">
        <f t="shared" si="21"/>
        <v>Euribor1Y</v>
      </c>
      <c r="H32" s="59" t="str">
        <f t="shared" si="22"/>
        <v>EUR6E12E9Y_LCHQuote</v>
      </c>
      <c r="I32" s="127">
        <v>0</v>
      </c>
      <c r="J32" s="64" t="str">
        <f>_xll.qlSwapRateHelper2(,$H32,2,$B32,Calendar,$D32,$E32,$F32,$G32,$I32,$C32,Discounting1,PillarDate,,Permanent,Trigger,ObjectOverwrite)</f>
        <v>obj_00709#0001</v>
      </c>
      <c r="K32" s="64" t="str">
        <f>_xll.qlSwapRateHelper2(,$H32,2,$B32,Calendar,$D32,$E32,$F32,$G32,$I32,$C32,Discounting2,PillarDate,,Permanent,Trigger,ObjectOverwrite)</f>
        <v>obj_00725#0001</v>
      </c>
      <c r="L32" s="48"/>
      <c r="M32" s="10" t="str">
        <f t="shared" si="16"/>
        <v>BasSw</v>
      </c>
      <c r="N32" s="94" t="str">
        <f t="shared" ref="N32:O32" si="35">IF(ISBLANK(J36),"--",J36)</f>
        <v>obj_0073f#0001</v>
      </c>
      <c r="O32" s="94" t="str">
        <f t="shared" si="35"/>
        <v>obj_00705#0001</v>
      </c>
      <c r="P32" s="146" t="str">
        <f>IFERROR(_xll.qlRateHelperQuoteName(N32,Trigger),"--")</f>
        <v>EUR6E12E13Y_LCHQuote</v>
      </c>
      <c r="Q32" s="98" t="str">
        <f>IFERROR(_xll.qlRateHelperQuoteValue($N32,Trigger),"--")</f>
        <v>--</v>
      </c>
      <c r="R32" s="97" t="b">
        <v>0</v>
      </c>
      <c r="S32" s="94">
        <v>20</v>
      </c>
      <c r="T32" s="94">
        <v>1</v>
      </c>
      <c r="U32" s="99">
        <f>IFERROR(_xll.qlRateHelperEarliestDate(N32,Trigger),"--")</f>
        <v>42256</v>
      </c>
      <c r="V32" s="99">
        <f>IFERROR(_xll.qlRateHelperPillarDate(N32,Trigger),"--")</f>
        <v>47007</v>
      </c>
      <c r="X32" s="4" t="str">
        <f t="shared" si="18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4"/>
        <v>#N/A</v>
      </c>
      <c r="AK32" s="80" t="e">
        <v>#N/A</v>
      </c>
      <c r="AL32" s="161" t="e">
        <f t="shared" si="5"/>
        <v>#N/A</v>
      </c>
      <c r="AM32" s="161"/>
    </row>
    <row r="33" spans="1:39" ht="11.25" customHeight="1" x14ac:dyDescent="0.2">
      <c r="A33" s="59" t="s">
        <v>118</v>
      </c>
      <c r="B33" s="60" t="s">
        <v>60</v>
      </c>
      <c r="C33" s="61" t="s">
        <v>6</v>
      </c>
      <c r="D33" s="61" t="s">
        <v>8</v>
      </c>
      <c r="E33" s="61" t="s">
        <v>7</v>
      </c>
      <c r="F33" s="61" t="s">
        <v>125</v>
      </c>
      <c r="G33" s="61" t="str">
        <f t="shared" si="21"/>
        <v>Euribor1Y</v>
      </c>
      <c r="H33" s="59" t="str">
        <f t="shared" si="22"/>
        <v>EUR6E12E10Y_LCHQuote</v>
      </c>
      <c r="I33" s="127">
        <v>0</v>
      </c>
      <c r="J33" s="64" t="str">
        <f>_xll.qlSwapRateHelper2(,$H33,2,$B33,Calendar,$D33,$E33,$F33,$G33,$I33,$C33,Discounting1,PillarDate,,Permanent,Trigger,ObjectOverwrite)</f>
        <v>obj_0072b#0001</v>
      </c>
      <c r="K33" s="64" t="str">
        <f>_xll.qlSwapRateHelper2(,$H33,2,$B33,Calendar,$D33,$E33,$F33,$G33,$I33,$C33,Discounting2,PillarDate,,Permanent,Trigger,ObjectOverwrite)</f>
        <v>obj_006f4#0001</v>
      </c>
      <c r="L33" s="48"/>
      <c r="M33" s="10" t="str">
        <f t="shared" si="16"/>
        <v>BasSw</v>
      </c>
      <c r="N33" s="94" t="str">
        <f t="shared" ref="N33:O33" si="36">IF(ISBLANK(J37),"--",J37)</f>
        <v>obj_00726#0001</v>
      </c>
      <c r="O33" s="94" t="str">
        <f t="shared" si="36"/>
        <v>obj_0073a#0001</v>
      </c>
      <c r="P33" s="146" t="str">
        <f>IFERROR(_xll.qlRateHelperQuoteName(N33,Trigger),"--")</f>
        <v>EUR6E12E14Y_LCHQuote</v>
      </c>
      <c r="Q33" s="98" t="str">
        <f>IFERROR(_xll.qlRateHelperQuoteValue($N33,Trigger),"--")</f>
        <v>--</v>
      </c>
      <c r="R33" s="97" t="b">
        <v>0</v>
      </c>
      <c r="S33" s="94">
        <v>20</v>
      </c>
      <c r="T33" s="94">
        <v>1</v>
      </c>
      <c r="U33" s="99">
        <f>IFERROR(_xll.qlRateHelperEarliestDate(N33,Trigger),"--")</f>
        <v>42256</v>
      </c>
      <c r="V33" s="99">
        <f>IFERROR(_xll.qlRateHelperPillarDate(N33,Trigger),"--")</f>
        <v>47371</v>
      </c>
      <c r="X33" s="4" t="str">
        <f t="shared" si="18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4"/>
        <v>#N/A</v>
      </c>
      <c r="AK33" s="80" t="e">
        <v>#N/A</v>
      </c>
      <c r="AL33" s="161" t="e">
        <f t="shared" si="5"/>
        <v>#N/A</v>
      </c>
      <c r="AM33" s="161"/>
    </row>
    <row r="34" spans="1:39" ht="11.25" customHeight="1" x14ac:dyDescent="0.2">
      <c r="A34" s="59" t="s">
        <v>118</v>
      </c>
      <c r="B34" s="60" t="s">
        <v>98</v>
      </c>
      <c r="C34" s="61" t="s">
        <v>6</v>
      </c>
      <c r="D34" s="61" t="s">
        <v>8</v>
      </c>
      <c r="E34" s="61" t="s">
        <v>7</v>
      </c>
      <c r="F34" s="61" t="s">
        <v>125</v>
      </c>
      <c r="G34" s="61" t="str">
        <f t="shared" si="21"/>
        <v>Euribor1Y</v>
      </c>
      <c r="H34" s="59" t="str">
        <f t="shared" si="22"/>
        <v>EUR6E12E11Y_LCHQuote</v>
      </c>
      <c r="I34" s="127">
        <v>0</v>
      </c>
      <c r="J34" s="64" t="str">
        <f>_xll.qlSwapRateHelper2(,$H34,2,$B34,Calendar,$D34,$E34,$F34,$G34,$I34,$C34,Discounting1,PillarDate,,Permanent,Trigger,ObjectOverwrite)</f>
        <v>obj_0073c#0001</v>
      </c>
      <c r="K34" s="64" t="str">
        <f>_xll.qlSwapRateHelper2(,$H34,2,$B34,Calendar,$D34,$E34,$F34,$G34,$I34,$C34,Discounting2,PillarDate,,Permanent,Trigger,ObjectOverwrite)</f>
        <v>obj_00728#0001</v>
      </c>
      <c r="L34" s="48"/>
      <c r="M34" s="10" t="str">
        <f t="shared" si="16"/>
        <v>BasSw</v>
      </c>
      <c r="N34" s="94" t="str">
        <f t="shared" ref="N34:O34" si="37">IF(ISBLANK(J38),"--",J38)</f>
        <v>obj_006f3#0001</v>
      </c>
      <c r="O34" s="94" t="str">
        <f t="shared" si="37"/>
        <v>obj_00732#0001</v>
      </c>
      <c r="P34" s="146" t="str">
        <f>IFERROR(_xll.qlRateHelperQuoteName(N34,Trigger),"--")</f>
        <v>EUR6E12E15Y_LCHQuote</v>
      </c>
      <c r="Q34" s="98">
        <f>IFERROR(_xll.qlRateHelperQuoteValue($N34,Trigger),"--")</f>
        <v>1.4628499999999999E-2</v>
      </c>
      <c r="R34" s="97" t="b">
        <v>1</v>
      </c>
      <c r="S34" s="94">
        <v>20</v>
      </c>
      <c r="T34" s="94">
        <v>1</v>
      </c>
      <c r="U34" s="99">
        <f>IFERROR(_xll.qlRateHelperEarliestDate(N34,Trigger),"--")</f>
        <v>42256</v>
      </c>
      <c r="V34" s="99">
        <f>IFERROR(_xll.qlRateHelperPillarDate(N34,Trigger),"--")</f>
        <v>47735</v>
      </c>
      <c r="X34" s="4" t="str">
        <f t="shared" si="18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4"/>
        <v>#N/A</v>
      </c>
      <c r="AK34" s="80" t="e">
        <v>#N/A</v>
      </c>
      <c r="AL34" s="161" t="e">
        <f t="shared" si="5"/>
        <v>#N/A</v>
      </c>
      <c r="AM34" s="161"/>
    </row>
    <row r="35" spans="1:39" ht="11.25" customHeight="1" x14ac:dyDescent="0.2">
      <c r="A35" s="59" t="s">
        <v>118</v>
      </c>
      <c r="B35" s="60" t="s">
        <v>61</v>
      </c>
      <c r="C35" s="61" t="s">
        <v>6</v>
      </c>
      <c r="D35" s="61" t="s">
        <v>8</v>
      </c>
      <c r="E35" s="61" t="s">
        <v>7</v>
      </c>
      <c r="F35" s="61" t="s">
        <v>125</v>
      </c>
      <c r="G35" s="61" t="str">
        <f t="shared" si="21"/>
        <v>Euribor1Y</v>
      </c>
      <c r="H35" s="59" t="str">
        <f t="shared" si="22"/>
        <v>EUR6E12E12Y_LCHQuote</v>
      </c>
      <c r="I35" s="127">
        <v>0</v>
      </c>
      <c r="J35" s="64" t="str">
        <f>_xll.qlSwapRateHelper2(,$H35,2,$B35,Calendar,$D35,$E35,$F35,$G35,$I35,$C35,Discounting1,PillarDate,,Permanent,Trigger,ObjectOverwrite)</f>
        <v>obj_0070b#0001</v>
      </c>
      <c r="K35" s="64" t="str">
        <f>_xll.qlSwapRateHelper2(,$H35,2,$B35,Calendar,$D35,$E35,$F35,$G35,$I35,$C35,Discounting2,PillarDate,,Permanent,Trigger,ObjectOverwrite)</f>
        <v>obj_0071c#0001</v>
      </c>
      <c r="L35" s="48"/>
      <c r="M35" s="10" t="str">
        <f t="shared" si="16"/>
        <v>BasSw</v>
      </c>
      <c r="N35" s="94" t="str">
        <f t="shared" ref="N35:O35" si="38">IF(ISBLANK(J39),"--",J39)</f>
        <v>obj_006f7#0001</v>
      </c>
      <c r="O35" s="94" t="str">
        <f t="shared" si="38"/>
        <v>obj_0072c#0001</v>
      </c>
      <c r="P35" s="146" t="str">
        <f>IFERROR(_xll.qlRateHelperQuoteName(N35,Trigger),"--")</f>
        <v>EUR6E12E16Y_LCHQuote</v>
      </c>
      <c r="Q35" s="98" t="str">
        <f>IFERROR(_xll.qlRateHelperQuoteValue($N35,Trigger),"--")</f>
        <v>--</v>
      </c>
      <c r="R35" s="97" t="b">
        <v>0</v>
      </c>
      <c r="S35" s="94">
        <v>20</v>
      </c>
      <c r="T35" s="94">
        <v>1</v>
      </c>
      <c r="U35" s="99">
        <f>IFERROR(_xll.qlRateHelperEarliestDate(N35,Trigger),"--")</f>
        <v>42256</v>
      </c>
      <c r="V35" s="99">
        <f>IFERROR(_xll.qlRateHelperPillarDate(N35,Trigger),"--")</f>
        <v>48100</v>
      </c>
      <c r="X35" s="4" t="str">
        <f t="shared" si="18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4"/>
        <v>#N/A</v>
      </c>
      <c r="AK35" s="80" t="e">
        <v>#N/A</v>
      </c>
      <c r="AL35" s="161" t="e">
        <f t="shared" si="5"/>
        <v>#N/A</v>
      </c>
    </row>
    <row r="36" spans="1:39" ht="11.25" customHeight="1" x14ac:dyDescent="0.2">
      <c r="A36" s="59" t="s">
        <v>118</v>
      </c>
      <c r="B36" s="60" t="s">
        <v>99</v>
      </c>
      <c r="C36" s="61" t="s">
        <v>6</v>
      </c>
      <c r="D36" s="61" t="s">
        <v>8</v>
      </c>
      <c r="E36" s="61" t="s">
        <v>7</v>
      </c>
      <c r="F36" s="61" t="s">
        <v>125</v>
      </c>
      <c r="G36" s="61" t="str">
        <f t="shared" si="21"/>
        <v>Euribor1Y</v>
      </c>
      <c r="H36" s="59" t="str">
        <f t="shared" si="22"/>
        <v>EUR6E12E13Y_LCHQuote</v>
      </c>
      <c r="I36" s="127">
        <v>0</v>
      </c>
      <c r="J36" s="64" t="str">
        <f>_xll.qlSwapRateHelper2(,$H36,2,$B36,Calendar,$D36,$E36,$F36,$G36,$I36,$C36,Discounting1,PillarDate,,Permanent,Trigger,ObjectOverwrite)</f>
        <v>obj_0073f#0001</v>
      </c>
      <c r="K36" s="64" t="str">
        <f>_xll.qlSwapRateHelper2(,$H36,2,$B36,Calendar,$D36,$E36,$F36,$G36,$I36,$C36,Discounting2,PillarDate,,Permanent,Trigger,ObjectOverwrite)</f>
        <v>obj_00705#0001</v>
      </c>
      <c r="L36" s="48"/>
      <c r="M36" s="10" t="str">
        <f t="shared" si="16"/>
        <v>BasSw</v>
      </c>
      <c r="N36" s="94" t="str">
        <f t="shared" ref="N36:O36" si="39">IF(ISBLANK(J40),"--",J40)</f>
        <v>obj_006f6#0001</v>
      </c>
      <c r="O36" s="94" t="str">
        <f t="shared" si="39"/>
        <v>obj_00716#0001</v>
      </c>
      <c r="P36" s="146" t="str">
        <f>IFERROR(_xll.qlRateHelperQuoteName(N36,Trigger),"--")</f>
        <v>EUR6E12E17Y_LCHQuote</v>
      </c>
      <c r="Q36" s="98" t="str">
        <f>IFERROR(_xll.qlRateHelperQuoteValue($N36,Trigger),"--")</f>
        <v>--</v>
      </c>
      <c r="R36" s="97" t="b">
        <v>0</v>
      </c>
      <c r="S36" s="94">
        <v>20</v>
      </c>
      <c r="T36" s="94">
        <v>1</v>
      </c>
      <c r="U36" s="99">
        <f>IFERROR(_xll.qlRateHelperEarliestDate(N36,Trigger),"--")</f>
        <v>42256</v>
      </c>
      <c r="V36" s="99">
        <f>IFERROR(_xll.qlRateHelperPillarDate(N36,Trigger),"--")</f>
        <v>48466</v>
      </c>
      <c r="X36" s="4" t="str">
        <f t="shared" si="18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4"/>
        <v>#N/A</v>
      </c>
      <c r="AK36" s="80" t="e">
        <v>#N/A</v>
      </c>
      <c r="AL36" s="161" t="e">
        <f t="shared" si="5"/>
        <v>#N/A</v>
      </c>
    </row>
    <row r="37" spans="1:39" ht="11.25" customHeight="1" x14ac:dyDescent="0.2">
      <c r="A37" s="59" t="s">
        <v>118</v>
      </c>
      <c r="B37" s="60" t="s">
        <v>100</v>
      </c>
      <c r="C37" s="61" t="s">
        <v>6</v>
      </c>
      <c r="D37" s="61" t="s">
        <v>8</v>
      </c>
      <c r="E37" s="61" t="s">
        <v>7</v>
      </c>
      <c r="F37" s="61" t="s">
        <v>125</v>
      </c>
      <c r="G37" s="61" t="str">
        <f t="shared" si="21"/>
        <v>Euribor1Y</v>
      </c>
      <c r="H37" s="59" t="str">
        <f t="shared" si="22"/>
        <v>EUR6E12E14Y_LCHQuote</v>
      </c>
      <c r="I37" s="127">
        <v>0</v>
      </c>
      <c r="J37" s="64" t="str">
        <f>_xll.qlSwapRateHelper2(,$H37,2,$B37,Calendar,$D37,$E37,$F37,$G37,$I37,$C37,Discounting1,PillarDate,,Permanent,Trigger,ObjectOverwrite)</f>
        <v>obj_00726#0001</v>
      </c>
      <c r="K37" s="64" t="str">
        <f>_xll.qlSwapRateHelper2(,$H37,2,$B37,Calendar,$D37,$E37,$F37,$G37,$I37,$C37,Discounting2,PillarDate,,Permanent,Trigger,ObjectOverwrite)</f>
        <v>obj_0073a#0001</v>
      </c>
      <c r="L37" s="48"/>
      <c r="M37" s="10" t="str">
        <f t="shared" si="16"/>
        <v>BasSw</v>
      </c>
      <c r="N37" s="94" t="str">
        <f t="shared" ref="N37:O37" si="40">IF(ISBLANK(J41),"--",J41)</f>
        <v>obj_0070e#0001</v>
      </c>
      <c r="O37" s="94" t="str">
        <f t="shared" si="40"/>
        <v>obj_0072d#0001</v>
      </c>
      <c r="P37" s="146" t="str">
        <f>IFERROR(_xll.qlRateHelperQuoteName(N37,Trigger),"--")</f>
        <v>EUR6E12E18Y_LCHQuote</v>
      </c>
      <c r="Q37" s="98" t="str">
        <f>IFERROR(_xll.qlRateHelperQuoteValue($N37,Trigger),"--")</f>
        <v>--</v>
      </c>
      <c r="R37" s="97" t="b">
        <v>0</v>
      </c>
      <c r="S37" s="94">
        <v>20</v>
      </c>
      <c r="T37" s="94">
        <v>1</v>
      </c>
      <c r="U37" s="99">
        <f>IFERROR(_xll.qlRateHelperEarliestDate(N37,Trigger),"--")</f>
        <v>42256</v>
      </c>
      <c r="V37" s="99">
        <f>IFERROR(_xll.qlRateHelperPillarDate(N37,Trigger),"--")</f>
        <v>48831</v>
      </c>
      <c r="X37" s="4" t="str">
        <f t="shared" si="18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4"/>
        <v>#N/A</v>
      </c>
      <c r="AK37" s="80" t="e">
        <v>#N/A</v>
      </c>
      <c r="AL37" s="161" t="e">
        <f t="shared" si="5"/>
        <v>#N/A</v>
      </c>
    </row>
    <row r="38" spans="1:39" ht="11.25" customHeight="1" x14ac:dyDescent="0.2">
      <c r="A38" s="59" t="s">
        <v>118</v>
      </c>
      <c r="B38" s="60" t="s">
        <v>62</v>
      </c>
      <c r="C38" s="61" t="s">
        <v>6</v>
      </c>
      <c r="D38" s="61" t="s">
        <v>8</v>
      </c>
      <c r="E38" s="61" t="s">
        <v>7</v>
      </c>
      <c r="F38" s="61" t="s">
        <v>125</v>
      </c>
      <c r="G38" s="61" t="str">
        <f t="shared" si="21"/>
        <v>Euribor1Y</v>
      </c>
      <c r="H38" s="59" t="str">
        <f t="shared" si="22"/>
        <v>EUR6E12E15Y_LCHQuote</v>
      </c>
      <c r="I38" s="127">
        <v>0</v>
      </c>
      <c r="J38" s="64" t="str">
        <f>_xll.qlSwapRateHelper2(,$H38,2,$B38,Calendar,$D38,$E38,$F38,$G38,$I38,$C38,Discounting1,PillarDate,,Permanent,Trigger,ObjectOverwrite)</f>
        <v>obj_006f3#0001</v>
      </c>
      <c r="K38" s="64" t="str">
        <f>_xll.qlSwapRateHelper2(,$H38,2,$B38,Calendar,$D38,$E38,$F38,$G38,$I38,$C38,Discounting2,PillarDate,,Permanent,Trigger,ObjectOverwrite)</f>
        <v>obj_00732#0001</v>
      </c>
      <c r="L38" s="48"/>
      <c r="M38" s="10" t="str">
        <f t="shared" si="16"/>
        <v>BasSw</v>
      </c>
      <c r="N38" s="94" t="str">
        <f t="shared" ref="N38:O38" si="41">IF(ISBLANK(J42),"--",J42)</f>
        <v>obj_0072e#0001</v>
      </c>
      <c r="O38" s="94" t="str">
        <f t="shared" si="41"/>
        <v>obj_0073e#0001</v>
      </c>
      <c r="P38" s="146" t="str">
        <f>IFERROR(_xll.qlRateHelperQuoteName(N38,Trigger),"--")</f>
        <v>EUR6E12E19Y_LCHQuote</v>
      </c>
      <c r="Q38" s="98" t="str">
        <f>IFERROR(_xll.qlRateHelperQuoteValue($N38,Trigger),"--")</f>
        <v>--</v>
      </c>
      <c r="R38" s="97" t="b">
        <v>0</v>
      </c>
      <c r="S38" s="94">
        <v>20</v>
      </c>
      <c r="T38" s="94">
        <v>1</v>
      </c>
      <c r="U38" s="99">
        <f>IFERROR(_xll.qlRateHelperEarliestDate(N38,Trigger),"--")</f>
        <v>42256</v>
      </c>
      <c r="V38" s="99">
        <f>IFERROR(_xll.qlRateHelperPillarDate(N38,Trigger),"--")</f>
        <v>49198</v>
      </c>
      <c r="X38" s="4" t="str">
        <f t="shared" si="18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4"/>
        <v>#N/A</v>
      </c>
      <c r="AK38" s="80" t="e">
        <v>#N/A</v>
      </c>
      <c r="AL38" s="161" t="e">
        <f t="shared" si="5"/>
        <v>#N/A</v>
      </c>
    </row>
    <row r="39" spans="1:39" ht="11.25" customHeight="1" x14ac:dyDescent="0.2">
      <c r="A39" s="59" t="s">
        <v>118</v>
      </c>
      <c r="B39" s="60" t="s">
        <v>101</v>
      </c>
      <c r="C39" s="61" t="s">
        <v>6</v>
      </c>
      <c r="D39" s="61" t="s">
        <v>8</v>
      </c>
      <c r="E39" s="61" t="s">
        <v>7</v>
      </c>
      <c r="F39" s="61" t="s">
        <v>125</v>
      </c>
      <c r="G39" s="61" t="str">
        <f t="shared" si="21"/>
        <v>Euribor1Y</v>
      </c>
      <c r="H39" s="59" t="str">
        <f t="shared" si="22"/>
        <v>EUR6E12E16Y_LCHQuote</v>
      </c>
      <c r="I39" s="127">
        <v>0</v>
      </c>
      <c r="J39" s="64" t="str">
        <f>_xll.qlSwapRateHelper2(,$H39,2,$B39,Calendar,$D39,$E39,$F39,$G39,$I39,$C39,Discounting1,PillarDate,,Permanent,Trigger,ObjectOverwrite)</f>
        <v>obj_006f7#0001</v>
      </c>
      <c r="K39" s="64" t="str">
        <f>_xll.qlSwapRateHelper2(,$H39,2,$B39,Calendar,$D39,$E39,$F39,$G39,$I39,$C39,Discounting2,PillarDate,,Permanent,Trigger,ObjectOverwrite)</f>
        <v>obj_0072c#0001</v>
      </c>
      <c r="L39" s="48"/>
      <c r="M39" s="10" t="str">
        <f t="shared" si="16"/>
        <v>BasSw</v>
      </c>
      <c r="N39" s="94" t="str">
        <f t="shared" ref="N39:O39" si="42">IF(ISBLANK(J43),"--",J43)</f>
        <v>obj_006fe#0001</v>
      </c>
      <c r="O39" s="94" t="str">
        <f t="shared" si="42"/>
        <v>obj_00720#0001</v>
      </c>
      <c r="P39" s="146" t="str">
        <f>IFERROR(_xll.qlRateHelperQuoteName(N39,Trigger),"--")</f>
        <v>EUR6E12E20Y_LCHQuote</v>
      </c>
      <c r="Q39" s="98">
        <f>IFERROR(_xll.qlRateHelperQuoteValue($N39,Trigger),"--")</f>
        <v>1.5965166699999998E-2</v>
      </c>
      <c r="R39" s="97" t="b">
        <v>1</v>
      </c>
      <c r="S39" s="94">
        <v>20</v>
      </c>
      <c r="T39" s="94">
        <v>1</v>
      </c>
      <c r="U39" s="99">
        <f>IFERROR(_xll.qlRateHelperEarliestDate(N39,Trigger),"--")</f>
        <v>42256</v>
      </c>
      <c r="V39" s="99">
        <f>IFERROR(_xll.qlRateHelperPillarDate(N39,Trigger),"--")</f>
        <v>49562</v>
      </c>
      <c r="X39" s="4" t="str">
        <f t="shared" si="18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4"/>
        <v>#N/A</v>
      </c>
      <c r="AK39" s="80" t="e">
        <v>#N/A</v>
      </c>
      <c r="AL39" s="161" t="e">
        <f t="shared" si="5"/>
        <v>#N/A</v>
      </c>
    </row>
    <row r="40" spans="1:39" ht="11.25" customHeight="1" x14ac:dyDescent="0.2">
      <c r="A40" s="59" t="s">
        <v>118</v>
      </c>
      <c r="B40" s="60" t="s">
        <v>102</v>
      </c>
      <c r="C40" s="61" t="s">
        <v>6</v>
      </c>
      <c r="D40" s="61" t="s">
        <v>8</v>
      </c>
      <c r="E40" s="61" t="s">
        <v>7</v>
      </c>
      <c r="F40" s="61" t="s">
        <v>125</v>
      </c>
      <c r="G40" s="61" t="str">
        <f t="shared" si="21"/>
        <v>Euribor1Y</v>
      </c>
      <c r="H40" s="59" t="str">
        <f t="shared" si="22"/>
        <v>EUR6E12E17Y_LCHQuote</v>
      </c>
      <c r="I40" s="127">
        <v>0</v>
      </c>
      <c r="J40" s="64" t="str">
        <f>_xll.qlSwapRateHelper2(,$H40,2,$B40,Calendar,$D40,$E40,$F40,$G40,$I40,$C40,Discounting1,PillarDate,,Permanent,Trigger,ObjectOverwrite)</f>
        <v>obj_006f6#0001</v>
      </c>
      <c r="K40" s="64" t="str">
        <f>_xll.qlSwapRateHelper2(,$H40,2,$B40,Calendar,$D40,$E40,$F40,$G40,$I40,$C40,Discounting2,PillarDate,,Permanent,Trigger,ObjectOverwrite)</f>
        <v>obj_00716#0001</v>
      </c>
      <c r="L40" s="48"/>
      <c r="M40" s="10" t="str">
        <f t="shared" si="16"/>
        <v>BasSw</v>
      </c>
      <c r="N40" s="94" t="str">
        <f t="shared" ref="N40:O40" si="43">IF(ISBLANK(J44),"--",J44)</f>
        <v>obj_0073d#0001</v>
      </c>
      <c r="O40" s="94" t="str">
        <f t="shared" si="43"/>
        <v>obj_00706#0001</v>
      </c>
      <c r="P40" s="146" t="str">
        <f>IFERROR(_xll.qlRateHelperQuoteName(N40,Trigger),"--")</f>
        <v>EUR6E12E21Y_LCHQuote</v>
      </c>
      <c r="Q40" s="98" t="str">
        <f>IFERROR(_xll.qlRateHelperQuoteValue($N40,Trigger),"--")</f>
        <v>--</v>
      </c>
      <c r="R40" s="97" t="b">
        <v>0</v>
      </c>
      <c r="S40" s="94">
        <v>20</v>
      </c>
      <c r="T40" s="94">
        <v>1</v>
      </c>
      <c r="U40" s="99">
        <f>IFERROR(_xll.qlRateHelperEarliestDate(N40,Trigger),"--")</f>
        <v>42256</v>
      </c>
      <c r="V40" s="99">
        <f>IFERROR(_xll.qlRateHelperPillarDate(N40,Trigger),"--")</f>
        <v>49927</v>
      </c>
      <c r="X40" s="4" t="str">
        <f t="shared" si="18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4"/>
        <v>#N/A</v>
      </c>
      <c r="AK40" s="80" t="e">
        <v>#N/A</v>
      </c>
      <c r="AL40" s="161" t="e">
        <f t="shared" si="5"/>
        <v>#N/A</v>
      </c>
    </row>
    <row r="41" spans="1:39" ht="11.25" customHeight="1" x14ac:dyDescent="0.2">
      <c r="A41" s="59" t="s">
        <v>118</v>
      </c>
      <c r="B41" s="60" t="s">
        <v>103</v>
      </c>
      <c r="C41" s="61" t="s">
        <v>6</v>
      </c>
      <c r="D41" s="61" t="s">
        <v>8</v>
      </c>
      <c r="E41" s="61" t="s">
        <v>7</v>
      </c>
      <c r="F41" s="61" t="s">
        <v>125</v>
      </c>
      <c r="G41" s="61" t="str">
        <f t="shared" si="21"/>
        <v>Euribor1Y</v>
      </c>
      <c r="H41" s="59" t="str">
        <f t="shared" si="22"/>
        <v>EUR6E12E18Y_LCHQuote</v>
      </c>
      <c r="I41" s="127">
        <v>0</v>
      </c>
      <c r="J41" s="64" t="str">
        <f>_xll.qlSwapRateHelper2(,$H41,2,$B41,Calendar,$D41,$E41,$F41,$G41,$I41,$C41,Discounting1,PillarDate,,Permanent,Trigger,ObjectOverwrite)</f>
        <v>obj_0070e#0001</v>
      </c>
      <c r="K41" s="64" t="str">
        <f>_xll.qlSwapRateHelper2(,$H41,2,$B41,Calendar,$D41,$E41,$F41,$G41,$I41,$C41,Discounting2,PillarDate,,Permanent,Trigger,ObjectOverwrite)</f>
        <v>obj_0072d#0001</v>
      </c>
      <c r="M41" s="10" t="str">
        <f t="shared" si="16"/>
        <v>BasSw</v>
      </c>
      <c r="N41" s="94" t="str">
        <f t="shared" ref="N41:O41" si="44">IF(ISBLANK(J45),"--",J45)</f>
        <v>obj_0072a#0001</v>
      </c>
      <c r="O41" s="94" t="str">
        <f t="shared" si="44"/>
        <v>obj_00718#0001</v>
      </c>
      <c r="P41" s="146" t="str">
        <f>IFERROR(_xll.qlRateHelperQuoteName(N41,Trigger),"--")</f>
        <v>EUR6E12E22Y_LCHQuote</v>
      </c>
      <c r="Q41" s="98" t="str">
        <f>IFERROR(_xll.qlRateHelperQuoteValue($N41,Trigger),"--")</f>
        <v>--</v>
      </c>
      <c r="R41" s="97" t="b">
        <v>0</v>
      </c>
      <c r="S41" s="94">
        <v>20</v>
      </c>
      <c r="T41" s="94">
        <v>1</v>
      </c>
      <c r="U41" s="99">
        <f>IFERROR(_xll.qlRateHelperEarliestDate(N41,Trigger),"--")</f>
        <v>42256</v>
      </c>
      <c r="V41" s="99">
        <f>IFERROR(_xll.qlRateHelperPillarDate(N41,Trigger),"--")</f>
        <v>50292</v>
      </c>
      <c r="X41" s="4" t="str">
        <f t="shared" si="18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4"/>
        <v>#N/A</v>
      </c>
      <c r="AK41" s="80" t="e">
        <v>#N/A</v>
      </c>
      <c r="AL41" s="161" t="e">
        <f t="shared" si="5"/>
        <v>#N/A</v>
      </c>
    </row>
    <row r="42" spans="1:39" ht="11.25" customHeight="1" x14ac:dyDescent="0.2">
      <c r="A42" s="59" t="s">
        <v>118</v>
      </c>
      <c r="B42" s="60" t="s">
        <v>104</v>
      </c>
      <c r="C42" s="61" t="s">
        <v>6</v>
      </c>
      <c r="D42" s="61" t="s">
        <v>8</v>
      </c>
      <c r="E42" s="61" t="s">
        <v>7</v>
      </c>
      <c r="F42" s="61" t="s">
        <v>125</v>
      </c>
      <c r="G42" s="61" t="str">
        <f t="shared" si="21"/>
        <v>Euribor1Y</v>
      </c>
      <c r="H42" s="59" t="str">
        <f t="shared" si="22"/>
        <v>EUR6E12E19Y_LCHQuote</v>
      </c>
      <c r="I42" s="127">
        <v>0</v>
      </c>
      <c r="J42" s="64" t="str">
        <f>_xll.qlSwapRateHelper2(,$H42,2,$B42,Calendar,$D42,$E42,$F42,$G42,$I42,$C42,Discounting1,PillarDate,,Permanent,Trigger,ObjectOverwrite)</f>
        <v>obj_0072e#0001</v>
      </c>
      <c r="K42" s="64" t="str">
        <f>_xll.qlSwapRateHelper2(,$H42,2,$B42,Calendar,$D42,$E42,$F42,$G42,$I42,$C42,Discounting2,PillarDate,,Permanent,Trigger,ObjectOverwrite)</f>
        <v>obj_0073e#0001</v>
      </c>
      <c r="M42" s="10" t="str">
        <f t="shared" si="16"/>
        <v>BasSw</v>
      </c>
      <c r="N42" s="94" t="str">
        <f t="shared" ref="N42:O42" si="45">IF(ISBLANK(J46),"--",J46)</f>
        <v>obj_00727#0001</v>
      </c>
      <c r="O42" s="94" t="str">
        <f t="shared" si="45"/>
        <v>obj_00707#0001</v>
      </c>
      <c r="P42" s="146" t="str">
        <f>IFERROR(_xll.qlRateHelperQuoteName(N42,Trigger),"--")</f>
        <v>EUR6E12E23Y_LCHQuote</v>
      </c>
      <c r="Q42" s="98" t="str">
        <f>IFERROR(_xll.qlRateHelperQuoteValue($N42,Trigger),"--")</f>
        <v>--</v>
      </c>
      <c r="R42" s="97" t="b">
        <v>0</v>
      </c>
      <c r="S42" s="94">
        <v>20</v>
      </c>
      <c r="T42" s="94">
        <v>1</v>
      </c>
      <c r="U42" s="99">
        <f>IFERROR(_xll.qlRateHelperEarliestDate(N42,Trigger),"--")</f>
        <v>42256</v>
      </c>
      <c r="V42" s="99">
        <f>IFERROR(_xll.qlRateHelperPillarDate(N42,Trigger),"--")</f>
        <v>50657</v>
      </c>
      <c r="X42" s="4" t="str">
        <f t="shared" si="18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4"/>
        <v>#N/A</v>
      </c>
      <c r="AK42" s="80" t="e">
        <v>#N/A</v>
      </c>
      <c r="AL42" s="161" t="e">
        <f t="shared" si="5"/>
        <v>#N/A</v>
      </c>
    </row>
    <row r="43" spans="1:39" ht="11.25" customHeight="1" x14ac:dyDescent="0.2">
      <c r="A43" s="59" t="s">
        <v>118</v>
      </c>
      <c r="B43" s="60" t="s">
        <v>63</v>
      </c>
      <c r="C43" s="61" t="s">
        <v>6</v>
      </c>
      <c r="D43" s="61" t="s">
        <v>8</v>
      </c>
      <c r="E43" s="61" t="s">
        <v>7</v>
      </c>
      <c r="F43" s="61" t="s">
        <v>125</v>
      </c>
      <c r="G43" s="61" t="str">
        <f t="shared" si="21"/>
        <v>Euribor1Y</v>
      </c>
      <c r="H43" s="59" t="str">
        <f t="shared" si="22"/>
        <v>EUR6E12E20Y_LCHQuote</v>
      </c>
      <c r="I43" s="127">
        <v>0</v>
      </c>
      <c r="J43" s="64" t="str">
        <f>_xll.qlSwapRateHelper2(,$H43,2,$B43,Calendar,$D43,$E43,$F43,$G43,$I43,$C43,Discounting1,PillarDate,,Permanent,Trigger,ObjectOverwrite)</f>
        <v>obj_006fe#0001</v>
      </c>
      <c r="K43" s="64" t="str">
        <f>_xll.qlSwapRateHelper2(,$H43,2,$B43,Calendar,$D43,$E43,$F43,$G43,$I43,$C43,Discounting2,PillarDate,,Permanent,Trigger,ObjectOverwrite)</f>
        <v>obj_00720#0001</v>
      </c>
      <c r="M43" s="10" t="str">
        <f t="shared" si="16"/>
        <v>BasSw</v>
      </c>
      <c r="N43" s="94" t="str">
        <f t="shared" ref="N43:O43" si="46">IF(ISBLANK(J47),"--",J47)</f>
        <v>obj_006fb#0001</v>
      </c>
      <c r="O43" s="94" t="str">
        <f t="shared" si="46"/>
        <v>obj_0070c#0001</v>
      </c>
      <c r="P43" s="146" t="str">
        <f>IFERROR(_xll.qlRateHelperQuoteName(N43,Trigger),"--")</f>
        <v>EUR6E12E24Y_LCHQuote</v>
      </c>
      <c r="Q43" s="98" t="str">
        <f>IFERROR(_xll.qlRateHelperQuoteValue($N43,Trigger),"--")</f>
        <v>--</v>
      </c>
      <c r="R43" s="97" t="b">
        <v>0</v>
      </c>
      <c r="S43" s="94">
        <v>20</v>
      </c>
      <c r="T43" s="94">
        <v>1</v>
      </c>
      <c r="U43" s="99">
        <f>IFERROR(_xll.qlRateHelperEarliestDate(N43,Trigger),"--")</f>
        <v>42256</v>
      </c>
      <c r="V43" s="99">
        <f>IFERROR(_xll.qlRateHelperPillarDate(N43,Trigger),"--")</f>
        <v>51022</v>
      </c>
      <c r="X43" s="4" t="str">
        <f t="shared" si="18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4"/>
        <v>#N/A</v>
      </c>
      <c r="AK43" s="80" t="e">
        <v>#N/A</v>
      </c>
      <c r="AL43" s="161" t="e">
        <f t="shared" si="5"/>
        <v>#N/A</v>
      </c>
    </row>
    <row r="44" spans="1:39" ht="11.25" customHeight="1" x14ac:dyDescent="0.2">
      <c r="A44" s="59" t="s">
        <v>118</v>
      </c>
      <c r="B44" s="60" t="s">
        <v>105</v>
      </c>
      <c r="C44" s="61" t="s">
        <v>6</v>
      </c>
      <c r="D44" s="61" t="s">
        <v>8</v>
      </c>
      <c r="E44" s="61" t="s">
        <v>7</v>
      </c>
      <c r="F44" s="61" t="s">
        <v>125</v>
      </c>
      <c r="G44" s="61" t="str">
        <f t="shared" si="21"/>
        <v>Euribor1Y</v>
      </c>
      <c r="H44" s="59" t="str">
        <f t="shared" si="22"/>
        <v>EUR6E12E21Y_LCHQuote</v>
      </c>
      <c r="I44" s="127">
        <v>0</v>
      </c>
      <c r="J44" s="64" t="str">
        <f>_xll.qlSwapRateHelper2(,$H44,2,$B44,Calendar,$D44,$E44,$F44,$G44,$I44,$C44,Discounting1,PillarDate,,Permanent,Trigger,ObjectOverwrite)</f>
        <v>obj_0073d#0001</v>
      </c>
      <c r="K44" s="64" t="str">
        <f>_xll.qlSwapRateHelper2(,$H44,2,$B44,Calendar,$D44,$E44,$F44,$G44,$I44,$C44,Discounting2,PillarDate,,Permanent,Trigger,ObjectOverwrite)</f>
        <v>obj_00706#0001</v>
      </c>
      <c r="M44" s="10" t="str">
        <f t="shared" si="16"/>
        <v>BasSw</v>
      </c>
      <c r="N44" s="94" t="str">
        <f t="shared" ref="N44:O44" si="47">IF(ISBLANK(J48),"--",J48)</f>
        <v>obj_00737#0001</v>
      </c>
      <c r="O44" s="94" t="str">
        <f t="shared" si="47"/>
        <v>obj_006fa#0001</v>
      </c>
      <c r="P44" s="146" t="str">
        <f>IFERROR(_xll.qlRateHelperQuoteName(N44,Trigger),"--")</f>
        <v>EUR6E12E25Y_LCHQuote</v>
      </c>
      <c r="Q44" s="98">
        <f>IFERROR(_xll.qlRateHelperQuoteValue($N44,Trigger),"--")</f>
        <v>1.6213999999999999E-2</v>
      </c>
      <c r="R44" s="97" t="b">
        <v>1</v>
      </c>
      <c r="S44" s="94">
        <v>20</v>
      </c>
      <c r="T44" s="94">
        <v>1</v>
      </c>
      <c r="U44" s="99">
        <f>IFERROR(_xll.qlRateHelperEarliestDate(N44,Trigger),"--")</f>
        <v>42256</v>
      </c>
      <c r="V44" s="99">
        <f>IFERROR(_xll.qlRateHelperPillarDate(N44,Trigger),"--")</f>
        <v>51389</v>
      </c>
      <c r="X44" s="4" t="str">
        <f t="shared" si="18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4"/>
        <v>#N/A</v>
      </c>
      <c r="AK44" s="80" t="e">
        <v>#N/A</v>
      </c>
      <c r="AL44" s="161" t="e">
        <f t="shared" si="5"/>
        <v>#N/A</v>
      </c>
    </row>
    <row r="45" spans="1:39" ht="11.25" customHeight="1" x14ac:dyDescent="0.2">
      <c r="A45" s="59" t="s">
        <v>118</v>
      </c>
      <c r="B45" s="60" t="s">
        <v>106</v>
      </c>
      <c r="C45" s="61" t="s">
        <v>6</v>
      </c>
      <c r="D45" s="61" t="s">
        <v>8</v>
      </c>
      <c r="E45" s="61" t="s">
        <v>7</v>
      </c>
      <c r="F45" s="61" t="s">
        <v>125</v>
      </c>
      <c r="G45" s="61" t="str">
        <f t="shared" si="21"/>
        <v>Euribor1Y</v>
      </c>
      <c r="H45" s="59" t="str">
        <f t="shared" si="22"/>
        <v>EUR6E12E22Y_LCHQuote</v>
      </c>
      <c r="I45" s="127">
        <v>0</v>
      </c>
      <c r="J45" s="64" t="str">
        <f>_xll.qlSwapRateHelper2(,$H45,2,$B45,Calendar,$D45,$E45,$F45,$G45,$I45,$C45,Discounting1,PillarDate,,Permanent,Trigger,ObjectOverwrite)</f>
        <v>obj_0072a#0001</v>
      </c>
      <c r="K45" s="64" t="str">
        <f>_xll.qlSwapRateHelper2(,$H45,2,$B45,Calendar,$D45,$E45,$F45,$G45,$I45,$C45,Discounting2,PillarDate,,Permanent,Trigger,ObjectOverwrite)</f>
        <v>obj_00718#0001</v>
      </c>
      <c r="M45" s="10" t="str">
        <f t="shared" si="16"/>
        <v>BasSw</v>
      </c>
      <c r="N45" s="94" t="str">
        <f t="shared" ref="N45:O45" si="48">IF(ISBLANK(J49),"--",J49)</f>
        <v>obj_006f0#0001</v>
      </c>
      <c r="O45" s="94" t="str">
        <f t="shared" si="48"/>
        <v>obj_0072f#0001</v>
      </c>
      <c r="P45" s="146" t="str">
        <f>IFERROR(_xll.qlRateHelperQuoteName(N45,Trigger),"--")</f>
        <v>EUR6E12E26Y_LCHQuote</v>
      </c>
      <c r="Q45" s="98" t="str">
        <f>IFERROR(_xll.qlRateHelperQuoteValue($N45,Trigger),"--")</f>
        <v>--</v>
      </c>
      <c r="R45" s="97" t="b">
        <v>0</v>
      </c>
      <c r="S45" s="94">
        <v>20</v>
      </c>
      <c r="T45" s="94">
        <v>1</v>
      </c>
      <c r="U45" s="99">
        <f>IFERROR(_xll.qlRateHelperEarliestDate(N45,Trigger),"--")</f>
        <v>42256</v>
      </c>
      <c r="V45" s="99">
        <f>IFERROR(_xll.qlRateHelperPillarDate(N45,Trigger),"--")</f>
        <v>51753</v>
      </c>
      <c r="X45" s="4" t="str">
        <f t="shared" si="18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4"/>
        <v>#N/A</v>
      </c>
      <c r="AK45" s="80" t="e">
        <v>#N/A</v>
      </c>
      <c r="AL45" s="161" t="e">
        <f t="shared" si="5"/>
        <v>#N/A</v>
      </c>
    </row>
    <row r="46" spans="1:39" ht="11.25" customHeight="1" x14ac:dyDescent="0.2">
      <c r="A46" s="59" t="s">
        <v>118</v>
      </c>
      <c r="B46" s="60" t="s">
        <v>107</v>
      </c>
      <c r="C46" s="61" t="s">
        <v>6</v>
      </c>
      <c r="D46" s="61" t="s">
        <v>8</v>
      </c>
      <c r="E46" s="61" t="s">
        <v>7</v>
      </c>
      <c r="F46" s="61" t="s">
        <v>125</v>
      </c>
      <c r="G46" s="61" t="str">
        <f t="shared" si="21"/>
        <v>Euribor1Y</v>
      </c>
      <c r="H46" s="59" t="str">
        <f t="shared" si="22"/>
        <v>EUR6E12E23Y_LCHQuote</v>
      </c>
      <c r="I46" s="127">
        <v>0</v>
      </c>
      <c r="J46" s="64" t="str">
        <f>_xll.qlSwapRateHelper2(,$H46,2,$B46,Calendar,$D46,$E46,$F46,$G46,$I46,$C46,Discounting1,PillarDate,,Permanent,Trigger,ObjectOverwrite)</f>
        <v>obj_00727#0001</v>
      </c>
      <c r="K46" s="64" t="str">
        <f>_xll.qlSwapRateHelper2(,$H46,2,$B46,Calendar,$D46,$E46,$F46,$G46,$I46,$C46,Discounting2,PillarDate,,Permanent,Trigger,ObjectOverwrite)</f>
        <v>obj_00707#0001</v>
      </c>
      <c r="M46" s="10" t="str">
        <f t="shared" si="16"/>
        <v>BasSw</v>
      </c>
      <c r="N46" s="94" t="str">
        <f t="shared" ref="N46:O46" si="49">IF(ISBLANK(J50),"--",J50)</f>
        <v>obj_0071b#0001</v>
      </c>
      <c r="O46" s="94" t="str">
        <f t="shared" si="49"/>
        <v>obj_006f1#0001</v>
      </c>
      <c r="P46" s="146" t="str">
        <f>IFERROR(_xll.qlRateHelperQuoteName(N46,Trigger),"--")</f>
        <v>EUR6E12E27Y_LCHQuote</v>
      </c>
      <c r="Q46" s="98" t="str">
        <f>IFERROR(_xll.qlRateHelperQuoteValue($N46,Trigger),"--")</f>
        <v>--</v>
      </c>
      <c r="R46" s="97" t="b">
        <v>0</v>
      </c>
      <c r="S46" s="94">
        <v>20</v>
      </c>
      <c r="T46" s="94">
        <v>1</v>
      </c>
      <c r="U46" s="99">
        <f>IFERROR(_xll.qlRateHelperEarliestDate(N46,Trigger),"--")</f>
        <v>42256</v>
      </c>
      <c r="V46" s="99">
        <f>IFERROR(_xll.qlRateHelperPillarDate(N46,Trigger),"--")</f>
        <v>52118</v>
      </c>
      <c r="X46" s="4" t="str">
        <f t="shared" si="18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4"/>
        <v>#N/A</v>
      </c>
      <c r="AK46" s="80" t="e">
        <v>#N/A</v>
      </c>
      <c r="AL46" s="161" t="e">
        <f t="shared" si="5"/>
        <v>#N/A</v>
      </c>
    </row>
    <row r="47" spans="1:39" ht="11.25" customHeight="1" x14ac:dyDescent="0.2">
      <c r="A47" s="59" t="s">
        <v>118</v>
      </c>
      <c r="B47" s="60" t="s">
        <v>108</v>
      </c>
      <c r="C47" s="61" t="s">
        <v>6</v>
      </c>
      <c r="D47" s="61" t="s">
        <v>8</v>
      </c>
      <c r="E47" s="61" t="s">
        <v>7</v>
      </c>
      <c r="F47" s="61" t="s">
        <v>125</v>
      </c>
      <c r="G47" s="61" t="str">
        <f t="shared" si="21"/>
        <v>Euribor1Y</v>
      </c>
      <c r="H47" s="59" t="str">
        <f t="shared" si="22"/>
        <v>EUR6E12E24Y_LCHQuote</v>
      </c>
      <c r="I47" s="127">
        <v>0</v>
      </c>
      <c r="J47" s="64" t="str">
        <f>_xll.qlSwapRateHelper2(,$H47,2,$B47,Calendar,$D47,$E47,$F47,$G47,$I47,$C47,Discounting1,PillarDate,,Permanent,Trigger,ObjectOverwrite)</f>
        <v>obj_006fb#0001</v>
      </c>
      <c r="K47" s="64" t="str">
        <f>_xll.qlSwapRateHelper2(,$H47,2,$B47,Calendar,$D47,$E47,$F47,$G47,$I47,$C47,Discounting2,PillarDate,,Permanent,Trigger,ObjectOverwrite)</f>
        <v>obj_0070c#0001</v>
      </c>
      <c r="M47" s="10" t="str">
        <f t="shared" si="16"/>
        <v>BasSw</v>
      </c>
      <c r="N47" s="94" t="str">
        <f t="shared" ref="N47:O47" si="50">IF(ISBLANK(J51),"--",J51)</f>
        <v>obj_0071f#0001</v>
      </c>
      <c r="O47" s="94" t="str">
        <f t="shared" si="50"/>
        <v>obj_0070d#0001</v>
      </c>
      <c r="P47" s="146" t="str">
        <f>IFERROR(_xll.qlRateHelperQuoteName(N47,Trigger),"--")</f>
        <v>EUR6E12E28Y_LCHQuote</v>
      </c>
      <c r="Q47" s="98" t="str">
        <f>IFERROR(_xll.qlRateHelperQuoteValue($N47,Trigger),"--")</f>
        <v>--</v>
      </c>
      <c r="R47" s="97" t="b">
        <v>0</v>
      </c>
      <c r="S47" s="94">
        <v>20</v>
      </c>
      <c r="T47" s="94">
        <v>1</v>
      </c>
      <c r="U47" s="99">
        <f>IFERROR(_xll.qlRateHelperEarliestDate(N47,Trigger),"--")</f>
        <v>42256</v>
      </c>
      <c r="V47" s="99">
        <f>IFERROR(_xll.qlRateHelperPillarDate(N47,Trigger),"--")</f>
        <v>52483</v>
      </c>
      <c r="X47" s="4" t="str">
        <f t="shared" si="18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4"/>
        <v>#N/A</v>
      </c>
      <c r="AK47" s="80" t="e">
        <v>#N/A</v>
      </c>
      <c r="AL47" s="161" t="e">
        <f t="shared" si="5"/>
        <v>#N/A</v>
      </c>
    </row>
    <row r="48" spans="1:39" ht="11.25" customHeight="1" x14ac:dyDescent="0.2">
      <c r="A48" s="59" t="s">
        <v>118</v>
      </c>
      <c r="B48" s="60" t="s">
        <v>64</v>
      </c>
      <c r="C48" s="61" t="s">
        <v>6</v>
      </c>
      <c r="D48" s="61" t="s">
        <v>8</v>
      </c>
      <c r="E48" s="61" t="s">
        <v>7</v>
      </c>
      <c r="F48" s="61" t="s">
        <v>125</v>
      </c>
      <c r="G48" s="61" t="str">
        <f t="shared" si="21"/>
        <v>Euribor1Y</v>
      </c>
      <c r="H48" s="59" t="str">
        <f t="shared" si="22"/>
        <v>EUR6E12E25Y_LCHQuote</v>
      </c>
      <c r="I48" s="127">
        <v>0</v>
      </c>
      <c r="J48" s="64" t="str">
        <f>_xll.qlSwapRateHelper2(,$H48,2,$B48,Calendar,$D48,$E48,$F48,$G48,$I48,$C48,Discounting1,PillarDate,,Permanent,Trigger,ObjectOverwrite)</f>
        <v>obj_00737#0001</v>
      </c>
      <c r="K48" s="64" t="str">
        <f>_xll.qlSwapRateHelper2(,$H48,2,$B48,Calendar,$D48,$E48,$F48,$G48,$I48,$C48,Discounting2,PillarDate,,Permanent,Trigger,ObjectOverwrite)</f>
        <v>obj_006fa#0001</v>
      </c>
      <c r="M48" s="10" t="str">
        <f t="shared" si="16"/>
        <v>BasSw</v>
      </c>
      <c r="N48" s="94" t="str">
        <f t="shared" ref="N48:O48" si="51">IF(ISBLANK(J52),"--",J52)</f>
        <v>obj_006e7#0001</v>
      </c>
      <c r="O48" s="94" t="str">
        <f t="shared" si="51"/>
        <v>obj_00713#0001</v>
      </c>
      <c r="P48" s="146" t="str">
        <f>IFERROR(_xll.qlRateHelperQuoteName(N48,Trigger),"--")</f>
        <v>EUR6E12E29Y_LCHQuote</v>
      </c>
      <c r="Q48" s="98" t="str">
        <f>IFERROR(_xll.qlRateHelperQuoteValue($N48,Trigger),"--")</f>
        <v>--</v>
      </c>
      <c r="R48" s="97" t="b">
        <v>0</v>
      </c>
      <c r="S48" s="94">
        <v>20</v>
      </c>
      <c r="T48" s="94">
        <v>1</v>
      </c>
      <c r="U48" s="99">
        <f>IFERROR(_xll.qlRateHelperEarliestDate(N48,Trigger),"--")</f>
        <v>42256</v>
      </c>
      <c r="V48" s="99">
        <f>IFERROR(_xll.qlRateHelperPillarDate(N48,Trigger),"--")</f>
        <v>52849</v>
      </c>
      <c r="X48" s="4" t="str">
        <f t="shared" si="18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4"/>
        <v>#N/A</v>
      </c>
      <c r="AK48" s="80" t="e">
        <v>#N/A</v>
      </c>
      <c r="AL48" s="161" t="e">
        <f t="shared" si="5"/>
        <v>#N/A</v>
      </c>
    </row>
    <row r="49" spans="1:38" ht="11.25" customHeight="1" x14ac:dyDescent="0.2">
      <c r="A49" s="59" t="s">
        <v>118</v>
      </c>
      <c r="B49" s="60" t="s">
        <v>109</v>
      </c>
      <c r="C49" s="61" t="s">
        <v>6</v>
      </c>
      <c r="D49" s="61" t="s">
        <v>8</v>
      </c>
      <c r="E49" s="61" t="s">
        <v>7</v>
      </c>
      <c r="F49" s="61" t="s">
        <v>125</v>
      </c>
      <c r="G49" s="61" t="str">
        <f t="shared" si="21"/>
        <v>Euribor1Y</v>
      </c>
      <c r="H49" s="59" t="str">
        <f t="shared" si="22"/>
        <v>EUR6E12E26Y_LCHQuote</v>
      </c>
      <c r="I49" s="127">
        <v>0</v>
      </c>
      <c r="J49" s="64" t="str">
        <f>_xll.qlSwapRateHelper2(,$H49,2,$B49,Calendar,$D49,$E49,$F49,$G49,$I49,$C49,Discounting1,PillarDate,,Permanent,Trigger,ObjectOverwrite)</f>
        <v>obj_006f0#0001</v>
      </c>
      <c r="K49" s="64" t="str">
        <f>_xll.qlSwapRateHelper2(,$H49,2,$B49,Calendar,$D49,$E49,$F49,$G49,$I49,$C49,Discounting2,PillarDate,,Permanent,Trigger,ObjectOverwrite)</f>
        <v>obj_0072f#0001</v>
      </c>
      <c r="M49" s="10" t="str">
        <f t="shared" si="16"/>
        <v>BasSw</v>
      </c>
      <c r="N49" s="94" t="str">
        <f t="shared" ref="N49:O49" si="52">IF(ISBLANK(J53),"--",J53)</f>
        <v>obj_006ea#0001</v>
      </c>
      <c r="O49" s="94" t="str">
        <f t="shared" si="52"/>
        <v>obj_006ed#0001</v>
      </c>
      <c r="P49" s="146" t="str">
        <f>IFERROR(_xll.qlRateHelperQuoteName(N49,Trigger),"--")</f>
        <v>EUR6E12E30Y_LCHQuote</v>
      </c>
      <c r="Q49" s="98">
        <f>IFERROR(_xll.qlRateHelperQuoteValue($N49,Trigger),"--")</f>
        <v>1.6245833300000002E-2</v>
      </c>
      <c r="R49" s="97" t="b">
        <v>1</v>
      </c>
      <c r="S49" s="94">
        <v>20</v>
      </c>
      <c r="T49" s="94">
        <v>1</v>
      </c>
      <c r="U49" s="99">
        <f>IFERROR(_xll.qlRateHelperEarliestDate(N49,Trigger),"--")</f>
        <v>42256</v>
      </c>
      <c r="V49" s="99">
        <f>IFERROR(_xll.qlRateHelperPillarDate(N49,Trigger),"--")</f>
        <v>53216</v>
      </c>
      <c r="X49" s="4" t="str">
        <f t="shared" si="18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4"/>
        <v>#N/A</v>
      </c>
      <c r="AK49" s="80" t="e">
        <v>#N/A</v>
      </c>
      <c r="AL49" s="161" t="e">
        <f t="shared" si="5"/>
        <v>#N/A</v>
      </c>
    </row>
    <row r="50" spans="1:38" ht="11.25" customHeight="1" x14ac:dyDescent="0.2">
      <c r="A50" s="59" t="s">
        <v>118</v>
      </c>
      <c r="B50" s="60" t="s">
        <v>65</v>
      </c>
      <c r="C50" s="61" t="s">
        <v>6</v>
      </c>
      <c r="D50" s="61" t="s">
        <v>8</v>
      </c>
      <c r="E50" s="61" t="s">
        <v>7</v>
      </c>
      <c r="F50" s="61" t="s">
        <v>125</v>
      </c>
      <c r="G50" s="61" t="str">
        <f t="shared" si="21"/>
        <v>Euribor1Y</v>
      </c>
      <c r="H50" s="59" t="str">
        <f t="shared" si="22"/>
        <v>EUR6E12E27Y_LCHQuote</v>
      </c>
      <c r="I50" s="127">
        <v>0</v>
      </c>
      <c r="J50" s="64" t="str">
        <f>_xll.qlSwapRateHelper2(,$H50,2,$B50,Calendar,$D50,$E50,$F50,$G50,$I50,$C50,Discounting1,PillarDate,,Permanent,Trigger,ObjectOverwrite)</f>
        <v>obj_0071b#0001</v>
      </c>
      <c r="K50" s="64" t="str">
        <f>_xll.qlSwapRateHelper2(,$H50,2,$B50,Calendar,$D50,$E50,$F50,$G50,$I50,$C50,Discounting2,PillarDate,,Permanent,Trigger,ObjectOverwrite)</f>
        <v>obj_006f1#0001</v>
      </c>
      <c r="M50" s="10" t="str">
        <f t="shared" si="16"/>
        <v>BasSw</v>
      </c>
      <c r="N50" s="94" t="str">
        <f t="shared" ref="N50:O50" si="53">IF(ISBLANK(J54),"--",J54)</f>
        <v>obj_00740#0001</v>
      </c>
      <c r="O50" s="94" t="str">
        <f t="shared" si="53"/>
        <v>obj_00708#0001</v>
      </c>
      <c r="P50" s="146" t="str">
        <f>IFERROR(_xll.qlRateHelperQuoteName(N50,Trigger),"--")</f>
        <v>EUR6E12E35Y_LCHQuote</v>
      </c>
      <c r="Q50" s="98" t="str">
        <f>IFERROR(_xll.qlRateHelperQuoteValue($N50,Trigger),"--")</f>
        <v>--</v>
      </c>
      <c r="R50" s="97" t="b">
        <v>0</v>
      </c>
      <c r="S50" s="94">
        <v>20</v>
      </c>
      <c r="T50" s="94">
        <v>1</v>
      </c>
      <c r="U50" s="99">
        <f>IFERROR(_xll.qlRateHelperEarliestDate(N50,Trigger),"--")</f>
        <v>42256</v>
      </c>
      <c r="V50" s="99">
        <f>IFERROR(_xll.qlRateHelperPillarDate(N50,Trigger),"--")</f>
        <v>55040</v>
      </c>
      <c r="X50" s="4" t="str">
        <f t="shared" si="18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4"/>
        <v>#N/A</v>
      </c>
      <c r="AK50" s="80" t="e">
        <v>#N/A</v>
      </c>
      <c r="AL50" s="161" t="e">
        <f t="shared" si="5"/>
        <v>#N/A</v>
      </c>
    </row>
    <row r="51" spans="1:38" ht="11.25" customHeight="1" x14ac:dyDescent="0.2">
      <c r="A51" s="59" t="s">
        <v>118</v>
      </c>
      <c r="B51" s="60" t="s">
        <v>110</v>
      </c>
      <c r="C51" s="61" t="s">
        <v>6</v>
      </c>
      <c r="D51" s="61" t="s">
        <v>8</v>
      </c>
      <c r="E51" s="61" t="s">
        <v>7</v>
      </c>
      <c r="F51" s="61" t="s">
        <v>125</v>
      </c>
      <c r="G51" s="61" t="str">
        <f t="shared" si="21"/>
        <v>Euribor1Y</v>
      </c>
      <c r="H51" s="59" t="str">
        <f t="shared" si="22"/>
        <v>EUR6E12E28Y_LCHQuote</v>
      </c>
      <c r="I51" s="127">
        <v>0</v>
      </c>
      <c r="J51" s="64" t="str">
        <f>_xll.qlSwapRateHelper2(,$H51,2,$B51,Calendar,$D51,$E51,$F51,$G51,$I51,$C51,Discounting1,PillarDate,,Permanent,Trigger,ObjectOverwrite)</f>
        <v>obj_0071f#0001</v>
      </c>
      <c r="K51" s="64" t="str">
        <f>_xll.qlSwapRateHelper2(,$H51,2,$B51,Calendar,$D51,$E51,$F51,$G51,$I51,$C51,Discounting2,PillarDate,,Permanent,Trigger,ObjectOverwrite)</f>
        <v>obj_0070d#0001</v>
      </c>
      <c r="M51" s="10" t="str">
        <f t="shared" si="16"/>
        <v>BasSw</v>
      </c>
      <c r="N51" s="94" t="str">
        <f t="shared" ref="N51:O51" si="54">IF(ISBLANK(J55),"--",J55)</f>
        <v>obj_006f8#0001</v>
      </c>
      <c r="O51" s="94" t="str">
        <f t="shared" si="54"/>
        <v>obj_00733#0001</v>
      </c>
      <c r="P51" s="146" t="str">
        <f>IFERROR(_xll.qlRateHelperQuoteName(N51,Trigger),"--")</f>
        <v>EUR6E12E40Y_LCHQuote</v>
      </c>
      <c r="Q51" s="98">
        <f>IFERROR(_xll.qlRateHelperQuoteValue($N51,Trigger),"--")</f>
        <v>1.6372500000000002E-2</v>
      </c>
      <c r="R51" s="97" t="b">
        <v>1</v>
      </c>
      <c r="S51" s="94">
        <v>20</v>
      </c>
      <c r="T51" s="94">
        <v>1</v>
      </c>
      <c r="U51" s="99">
        <f>IFERROR(_xll.qlRateHelperEarliestDate(N51,Trigger),"--")</f>
        <v>42256</v>
      </c>
      <c r="V51" s="99">
        <f>IFERROR(_xll.qlRateHelperPillarDate(N51,Trigger),"--")</f>
        <v>56866</v>
      </c>
      <c r="X51" s="4" t="str">
        <f t="shared" si="18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4"/>
        <v>#N/A</v>
      </c>
      <c r="AK51" s="80" t="e">
        <v>#N/A</v>
      </c>
      <c r="AL51" s="161" t="e">
        <f t="shared" si="5"/>
        <v>#N/A</v>
      </c>
    </row>
    <row r="52" spans="1:38" ht="11.25" customHeight="1" x14ac:dyDescent="0.2">
      <c r="A52" s="59" t="s">
        <v>118</v>
      </c>
      <c r="B52" s="60" t="s">
        <v>111</v>
      </c>
      <c r="C52" s="61" t="s">
        <v>6</v>
      </c>
      <c r="D52" s="61" t="s">
        <v>8</v>
      </c>
      <c r="E52" s="61" t="s">
        <v>7</v>
      </c>
      <c r="F52" s="61" t="s">
        <v>125</v>
      </c>
      <c r="G52" s="61" t="str">
        <f t="shared" si="21"/>
        <v>Euribor1Y</v>
      </c>
      <c r="H52" s="59" t="str">
        <f t="shared" si="22"/>
        <v>EUR6E12E29Y_LCHQuote</v>
      </c>
      <c r="I52" s="127">
        <v>0</v>
      </c>
      <c r="J52" s="64" t="str">
        <f>_xll.qlSwapRateHelper2(,$H52,2,$B52,Calendar,$D52,$E52,$F52,$G52,$I52,$C52,Discounting1,PillarDate,,Permanent,Trigger,ObjectOverwrite)</f>
        <v>obj_006e7#0001</v>
      </c>
      <c r="K52" s="64" t="str">
        <f>_xll.qlSwapRateHelper2(,$H52,2,$B52,Calendar,$D52,$E52,$F52,$G52,$I52,$C52,Discounting2,PillarDate,,Permanent,Trigger,ObjectOverwrite)</f>
        <v>obj_00713#0001</v>
      </c>
      <c r="M52" s="10" t="str">
        <f t="shared" si="16"/>
        <v>BasSw</v>
      </c>
      <c r="N52" s="94" t="str">
        <f t="shared" ref="N52:O52" si="55">IF(ISBLANK(J56),"--",J56)</f>
        <v>obj_00724#0001</v>
      </c>
      <c r="O52" s="94" t="str">
        <f t="shared" si="55"/>
        <v>obj_006f9#0001</v>
      </c>
      <c r="P52" s="146" t="str">
        <f>IFERROR(_xll.qlRateHelperQuoteName(N52,Trigger),"--")</f>
        <v>EUR6E12E50Y_LCHQuote</v>
      </c>
      <c r="Q52" s="98">
        <f>IFERROR(_xll.qlRateHelperQuoteValue($N52,Trigger),"--")</f>
        <v>1.59475E-2</v>
      </c>
      <c r="R52" s="97" t="b">
        <v>1</v>
      </c>
      <c r="S52" s="94">
        <v>20</v>
      </c>
      <c r="T52" s="94">
        <v>1</v>
      </c>
      <c r="U52" s="99">
        <f>IFERROR(_xll.qlRateHelperEarliestDate(N52,Trigger),"--")</f>
        <v>42256</v>
      </c>
      <c r="V52" s="99">
        <f>IFERROR(_xll.qlRateHelperPillarDate(N52,Trigger),"--")</f>
        <v>60519</v>
      </c>
      <c r="X52" s="4" t="str">
        <f t="shared" si="18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2" t="e">
        <f t="shared" si="4"/>
        <v>#N/A</v>
      </c>
      <c r="AK52" s="46" t="e">
        <v>#N/A</v>
      </c>
      <c r="AL52" s="161" t="e">
        <f t="shared" si="5"/>
        <v>#N/A</v>
      </c>
    </row>
    <row r="53" spans="1:38" ht="11.25" customHeight="1" x14ac:dyDescent="0.2">
      <c r="A53" s="59" t="s">
        <v>118</v>
      </c>
      <c r="B53" s="60" t="s">
        <v>66</v>
      </c>
      <c r="C53" s="61" t="s">
        <v>6</v>
      </c>
      <c r="D53" s="61" t="s">
        <v>8</v>
      </c>
      <c r="E53" s="61" t="s">
        <v>7</v>
      </c>
      <c r="F53" s="61" t="s">
        <v>125</v>
      </c>
      <c r="G53" s="61" t="str">
        <f t="shared" si="21"/>
        <v>Euribor1Y</v>
      </c>
      <c r="H53" s="59" t="str">
        <f t="shared" si="22"/>
        <v>EUR6E12E30Y_LCHQuote</v>
      </c>
      <c r="I53" s="127">
        <v>0</v>
      </c>
      <c r="J53" s="64" t="str">
        <f>_xll.qlSwapRateHelper2(,$H53,2,$B53,Calendar,$D53,$E53,$F53,$G53,$I53,$C53,Discounting1,PillarDate,,Permanent,Trigger,ObjectOverwrite)</f>
        <v>obj_006ea#0001</v>
      </c>
      <c r="K53" s="64" t="str">
        <f>_xll.qlSwapRateHelper2(,$H53,2,$B53,Calendar,$D53,$E53,$F53,$G53,$I53,$C53,Discounting2,PillarDate,,Permanent,Trigger,ObjectOverwrite)</f>
        <v>obj_006ed#0001</v>
      </c>
      <c r="M53" s="11" t="str">
        <f t="shared" si="16"/>
        <v>BasSw</v>
      </c>
      <c r="N53" s="95" t="str">
        <f t="shared" ref="N53:O53" si="56">IF(ISBLANK(J57),"--",J57)</f>
        <v>obj_00721#0001</v>
      </c>
      <c r="O53" s="95" t="str">
        <f t="shared" si="56"/>
        <v>obj_006fd#0001</v>
      </c>
      <c r="P53" s="147" t="str">
        <f>IFERROR(_xll.qlRateHelperQuoteName(N53,Trigger),"--")</f>
        <v>EUR6E12E60Y_LCHQuote</v>
      </c>
      <c r="Q53" s="101">
        <f>IFERROR(_xll.qlRateHelperQuoteValue($N53,Trigger),"--")</f>
        <v>1.5664999999999998E-2</v>
      </c>
      <c r="R53" s="100" t="b">
        <v>1</v>
      </c>
      <c r="S53" s="95">
        <v>20</v>
      </c>
      <c r="T53" s="95">
        <v>1</v>
      </c>
      <c r="U53" s="102">
        <f>IFERROR(_xll.qlRateHelperEarliestDate(N53,Trigger),"--")</f>
        <v>42256</v>
      </c>
      <c r="V53" s="102">
        <f>IFERROR(_xll.qlRateHelperPillarDate(N53,Trigger),"--")</f>
        <v>64171</v>
      </c>
      <c r="X53" s="6" t="str">
        <f t="shared" si="18"/>
        <v/>
      </c>
      <c r="Y53" s="6" t="e">
        <v>#N/A</v>
      </c>
      <c r="Z53" s="6" t="e">
        <v>#N/A</v>
      </c>
      <c r="AA53" s="6" t="str">
        <f>IFERROR(_xll.qlRateHelperQuoteName(Y53,Trigger),"")</f>
        <v/>
      </c>
      <c r="AB53" s="79" t="str">
        <f>IFERROR(_xll.qlRateHelperRate(Y53,Trigger),"")</f>
        <v/>
      </c>
      <c r="AC53" s="105" t="str">
        <f>IF(ISERROR(_xll.qlSwapRateHelperSpread($Y53)),IF(ISERROR(_xll.qlFuturesRateHelperConvexityAdjustment($Y53)),"",_xll.qlFuturesRateHelperConvexityAdjustment($Y53)),_xll.qlSwapRateHelperSpread($Y53))</f>
        <v/>
      </c>
      <c r="AD53" s="12" t="str">
        <f>IFERROR(_xll.qlRateHelperEarliestDate(Y53,Trigger),"")</f>
        <v/>
      </c>
      <c r="AE53" s="12" t="str">
        <f>IFERROR(_xll.qlRateHelperPillarDate(Y53,Trigger),"")</f>
        <v/>
      </c>
      <c r="AF53" s="79" t="e">
        <v>#N/A</v>
      </c>
      <c r="AG53" s="78" t="e">
        <v>#N/A</v>
      </c>
      <c r="AH53" s="46" t="e">
        <v>#N/A</v>
      </c>
      <c r="AI53" s="46" t="e">
        <v>#N/A</v>
      </c>
      <c r="AJ53" s="172" t="e">
        <f t="shared" si="4"/>
        <v>#N/A</v>
      </c>
      <c r="AK53" s="46" t="e">
        <v>#N/A</v>
      </c>
      <c r="AL53" s="161" t="e">
        <f t="shared" si="5"/>
        <v>#N/A</v>
      </c>
    </row>
    <row r="54" spans="1:38" ht="11.25" customHeight="1" x14ac:dyDescent="0.2">
      <c r="A54" s="59" t="s">
        <v>118</v>
      </c>
      <c r="B54" s="60" t="s">
        <v>67</v>
      </c>
      <c r="C54" s="61" t="s">
        <v>6</v>
      </c>
      <c r="D54" s="61" t="s">
        <v>8</v>
      </c>
      <c r="E54" s="61" t="s">
        <v>7</v>
      </c>
      <c r="F54" s="61" t="s">
        <v>125</v>
      </c>
      <c r="G54" s="61" t="str">
        <f t="shared" si="21"/>
        <v>Euribor1Y</v>
      </c>
      <c r="H54" s="59" t="str">
        <f t="shared" si="22"/>
        <v>EUR6E12E35Y_LCHQuote</v>
      </c>
      <c r="I54" s="127">
        <v>0</v>
      </c>
      <c r="J54" s="64" t="str">
        <f>_xll.qlSwapRateHelper2(,$H54,2,$B54,Calendar,$D54,$E54,$F54,$G54,$I54,$C54,Discounting1,PillarDate,,Permanent,Trigger,ObjectOverwrite)</f>
        <v>obj_00740#0001</v>
      </c>
      <c r="K54" s="64" t="str">
        <f>_xll.qlSwapRateHelper2(,$H54,2,$B54,Calendar,$D54,$E54,$F54,$G54,$I54,$C54,Discounting2,PillarDate,,Permanent,Trigger,ObjectOverwrite)</f>
        <v>obj_00708#0001</v>
      </c>
    </row>
    <row r="55" spans="1:38" ht="11.25" customHeight="1" x14ac:dyDescent="0.2">
      <c r="A55" s="59" t="s">
        <v>118</v>
      </c>
      <c r="B55" s="60" t="s">
        <v>68</v>
      </c>
      <c r="C55" s="61" t="s">
        <v>6</v>
      </c>
      <c r="D55" s="61" t="s">
        <v>8</v>
      </c>
      <c r="E55" s="61" t="s">
        <v>7</v>
      </c>
      <c r="F55" s="61" t="s">
        <v>125</v>
      </c>
      <c r="G55" s="61" t="str">
        <f t="shared" si="21"/>
        <v>Euribor1Y</v>
      </c>
      <c r="H55" s="59" t="str">
        <f t="shared" si="22"/>
        <v>EUR6E12E40Y_LCHQuote</v>
      </c>
      <c r="I55" s="125">
        <v>0</v>
      </c>
      <c r="J55" s="64" t="str">
        <f>_xll.qlSwapRateHelper2(,$H55,2,$B55,Calendar,$D55,$E55,$F55,$G55,$I55,$C55,Discounting1,PillarDate,,Permanent,Trigger,ObjectOverwrite)</f>
        <v>obj_006f8#0001</v>
      </c>
      <c r="K55" s="64" t="str">
        <f>_xll.qlSwapRateHelper2(,$H55,2,$B55,Calendar,$D55,$E55,$F55,$G55,$I55,$C55,Discounting2,PillarDate,,Permanent,Trigger,ObjectOverwrite)</f>
        <v>obj_00733#0001</v>
      </c>
    </row>
    <row r="56" spans="1:38" ht="11.25" customHeight="1" x14ac:dyDescent="0.2">
      <c r="A56" s="59" t="s">
        <v>118</v>
      </c>
      <c r="B56" s="60" t="s">
        <v>69</v>
      </c>
      <c r="C56" s="61" t="s">
        <v>6</v>
      </c>
      <c r="D56" s="61" t="s">
        <v>8</v>
      </c>
      <c r="E56" s="61" t="s">
        <v>7</v>
      </c>
      <c r="F56" s="61" t="s">
        <v>125</v>
      </c>
      <c r="G56" s="61" t="str">
        <f t="shared" si="21"/>
        <v>Euribor1Y</v>
      </c>
      <c r="H56" s="59" t="str">
        <f t="shared" si="22"/>
        <v>EUR6E12E50Y_LCHQuote</v>
      </c>
      <c r="I56" s="125">
        <v>0</v>
      </c>
      <c r="J56" s="64" t="str">
        <f>_xll.qlSwapRateHelper2(,$H56,2,$B56,Calendar,$D56,$E56,$F56,$G56,$I56,$C56,Discounting1,PillarDate,,Permanent,Trigger,ObjectOverwrite)</f>
        <v>obj_00724#0001</v>
      </c>
      <c r="K56" s="64" t="str">
        <f>_xll.qlSwapRateHelper2(,$H56,2,$B56,Calendar,$D56,$E56,$F56,$G56,$I56,$C56,Discounting2,PillarDate,,Permanent,Trigger,ObjectOverwrite)</f>
        <v>obj_006f9#0001</v>
      </c>
    </row>
    <row r="57" spans="1:38" ht="11.25" customHeight="1" x14ac:dyDescent="0.2">
      <c r="A57" s="1" t="s">
        <v>118</v>
      </c>
      <c r="B57" s="8" t="s">
        <v>112</v>
      </c>
      <c r="C57" s="7" t="s">
        <v>6</v>
      </c>
      <c r="D57" s="7" t="s">
        <v>8</v>
      </c>
      <c r="E57" s="7" t="s">
        <v>7</v>
      </c>
      <c r="F57" s="7" t="s">
        <v>125</v>
      </c>
      <c r="G57" s="7" t="str">
        <f t="shared" si="21"/>
        <v>Euribor1Y</v>
      </c>
      <c r="H57" s="1" t="str">
        <f t="shared" si="22"/>
        <v>EUR6E12E60Y_LCHQuote</v>
      </c>
      <c r="I57" s="128">
        <v>0</v>
      </c>
      <c r="J57" s="3" t="str">
        <f>_xll.qlSwapRateHelper2(,$H57,2,$B57,Calendar,$D57,$E57,$F57,$G57,$I57,$C57,Discounting1,PillarDate,,Permanent,Trigger,ObjectOverwrite)</f>
        <v>obj_00721#0001</v>
      </c>
      <c r="K57" s="3" t="str">
        <f>_xll.qlSwapRateHelper2(,$H57,2,$B57,Calendar,$D57,$E57,$F57,$G57,$I57,$C57,Discounting2,PillarDate,,Permanent,Trigger,ObjectOverwrite)</f>
        <v>obj_006fd#0001</v>
      </c>
    </row>
    <row r="58" spans="1:38" ht="11.25" customHeight="1" x14ac:dyDescent="0.2"/>
    <row r="59" spans="1:38" ht="11.25" customHeight="1" x14ac:dyDescent="0.2"/>
    <row r="60" spans="1:38" ht="11.25" customHeight="1" x14ac:dyDescent="0.2"/>
    <row r="61" spans="1:38" ht="11.25" customHeight="1" x14ac:dyDescent="0.2"/>
    <row r="62" spans="1:38" ht="11.25" customHeight="1" x14ac:dyDescent="0.2"/>
    <row r="63" spans="1:38" ht="11.25" customHeight="1" x14ac:dyDescent="0.2"/>
    <row r="64" spans="1:38" ht="11.25" customHeight="1" x14ac:dyDescent="0.2"/>
    <row r="65" spans="2:23" ht="11.25" customHeight="1" x14ac:dyDescent="0.2">
      <c r="W65" s="46"/>
    </row>
    <row r="66" spans="2:23" ht="11.25" customHeight="1" x14ac:dyDescent="0.2">
      <c r="W66" s="46"/>
    </row>
    <row r="67" spans="2:23" ht="11.25" customHeight="1" x14ac:dyDescent="0.2">
      <c r="B67" s="46"/>
      <c r="C67" s="46"/>
      <c r="D67" s="46"/>
      <c r="E67" s="46"/>
      <c r="F67" s="46"/>
      <c r="G67" s="46"/>
      <c r="H67" s="46"/>
      <c r="N67" s="46"/>
      <c r="O67" s="46"/>
      <c r="P67" s="46"/>
      <c r="Q67" s="46"/>
      <c r="R67" s="46"/>
      <c r="S67" s="46"/>
      <c r="T67" s="46"/>
      <c r="U67" s="46"/>
      <c r="V67" s="46"/>
      <c r="W67" s="46"/>
    </row>
    <row r="68" spans="2:23" ht="11.25" customHeight="1" x14ac:dyDescent="0.2">
      <c r="B68" s="46"/>
      <c r="C68" s="46"/>
      <c r="D68" s="46"/>
      <c r="E68" s="46"/>
      <c r="F68" s="46"/>
      <c r="G68" s="46"/>
      <c r="H68" s="46"/>
      <c r="N68" s="46"/>
      <c r="O68" s="46"/>
      <c r="P68" s="46"/>
      <c r="Q68" s="46"/>
      <c r="R68" s="46"/>
      <c r="S68" s="46"/>
      <c r="T68" s="46"/>
      <c r="U68" s="46"/>
      <c r="V68" s="46"/>
      <c r="W68" s="46"/>
    </row>
    <row r="69" spans="2:23" ht="11.25" customHeight="1" x14ac:dyDescent="0.2">
      <c r="B69" s="46"/>
      <c r="C69" s="46"/>
      <c r="D69" s="46"/>
      <c r="E69" s="46"/>
      <c r="F69" s="46"/>
      <c r="G69" s="46"/>
      <c r="H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spans="2:23" ht="11.25" customHeight="1" x14ac:dyDescent="0.2">
      <c r="B70" s="46"/>
      <c r="C70" s="46"/>
      <c r="D70" s="46"/>
      <c r="E70" s="46"/>
      <c r="F70" s="46"/>
      <c r="G70" s="46"/>
      <c r="H70" s="46"/>
      <c r="N70" s="46"/>
      <c r="O70" s="46"/>
      <c r="P70" s="46"/>
      <c r="Q70" s="46"/>
      <c r="R70" s="46"/>
      <c r="S70" s="46"/>
      <c r="T70" s="46"/>
      <c r="U70" s="46"/>
      <c r="V70" s="46"/>
      <c r="W70" s="46"/>
    </row>
    <row r="71" spans="2:23" ht="11.25" customHeight="1" x14ac:dyDescent="0.2">
      <c r="B71" s="46"/>
      <c r="C71" s="46"/>
      <c r="D71" s="46"/>
      <c r="E71" s="46"/>
      <c r="F71" s="46"/>
      <c r="G71" s="46"/>
      <c r="H71" s="46"/>
      <c r="N71" s="46"/>
      <c r="O71" s="46"/>
      <c r="P71" s="46"/>
      <c r="Q71" s="46"/>
      <c r="R71" s="46"/>
      <c r="S71" s="46"/>
      <c r="T71" s="46"/>
      <c r="U71" s="46"/>
      <c r="V71" s="46"/>
      <c r="W71" s="46"/>
    </row>
    <row r="72" spans="2:23" ht="11.25" customHeight="1" x14ac:dyDescent="0.2">
      <c r="B72" s="46"/>
      <c r="C72" s="46"/>
      <c r="D72" s="46"/>
      <c r="E72" s="46"/>
      <c r="F72" s="46"/>
      <c r="G72" s="46"/>
      <c r="H72" s="46"/>
      <c r="N72" s="46"/>
      <c r="O72" s="46"/>
      <c r="P72" s="46"/>
      <c r="Q72" s="46"/>
      <c r="R72" s="46"/>
      <c r="S72" s="46"/>
      <c r="T72" s="46"/>
      <c r="U72" s="46"/>
      <c r="V72" s="46"/>
      <c r="W72" s="46"/>
    </row>
    <row r="73" spans="2:23" ht="11.25" customHeight="1" x14ac:dyDescent="0.2">
      <c r="B73" s="46"/>
      <c r="C73" s="46"/>
      <c r="D73" s="46"/>
      <c r="E73" s="46"/>
      <c r="F73" s="46"/>
      <c r="G73" s="46"/>
      <c r="H73" s="46"/>
      <c r="N73" s="46"/>
      <c r="O73" s="46"/>
      <c r="P73" s="46"/>
      <c r="Q73" s="46"/>
      <c r="R73" s="46"/>
      <c r="S73" s="46"/>
      <c r="T73" s="46"/>
      <c r="U73" s="46"/>
      <c r="V73" s="46"/>
      <c r="W73" s="46"/>
    </row>
    <row r="74" spans="2:23" ht="11.25" customHeight="1" x14ac:dyDescent="0.2">
      <c r="B74" s="46"/>
      <c r="C74" s="46"/>
      <c r="D74" s="46"/>
      <c r="E74" s="46"/>
      <c r="F74" s="46"/>
      <c r="G74" s="46"/>
      <c r="H74" s="46"/>
      <c r="N74" s="46"/>
      <c r="O74" s="46"/>
      <c r="P74" s="46"/>
      <c r="Q74" s="46"/>
      <c r="R74" s="46"/>
      <c r="S74" s="46"/>
      <c r="T74" s="46"/>
      <c r="U74" s="46"/>
      <c r="V74" s="46"/>
      <c r="W74" s="46"/>
    </row>
    <row r="75" spans="2:23" ht="11.25" customHeight="1" x14ac:dyDescent="0.2">
      <c r="B75" s="46"/>
      <c r="C75" s="46"/>
      <c r="D75" s="46"/>
      <c r="E75" s="46"/>
      <c r="F75" s="46"/>
      <c r="G75" s="46"/>
      <c r="H75" s="46"/>
      <c r="N75" s="46"/>
      <c r="O75" s="46"/>
      <c r="P75" s="46"/>
      <c r="Q75" s="46"/>
      <c r="R75" s="46"/>
      <c r="S75" s="46"/>
      <c r="T75" s="46"/>
      <c r="U75" s="46"/>
      <c r="V75" s="46"/>
      <c r="W75" s="46"/>
    </row>
    <row r="76" spans="2:23" ht="11.25" customHeight="1" x14ac:dyDescent="0.2">
      <c r="B76" s="46"/>
      <c r="C76" s="46"/>
      <c r="D76" s="46"/>
      <c r="E76" s="46"/>
      <c r="F76" s="46"/>
      <c r="G76" s="46"/>
      <c r="H76" s="46"/>
      <c r="N76" s="46"/>
      <c r="O76" s="46"/>
      <c r="P76" s="46"/>
      <c r="Q76" s="46"/>
      <c r="R76" s="46"/>
      <c r="S76" s="46"/>
      <c r="T76" s="46"/>
      <c r="U76" s="46"/>
      <c r="V76" s="46"/>
      <c r="W76" s="46"/>
    </row>
    <row r="77" spans="2:23" ht="11.25" customHeight="1" x14ac:dyDescent="0.2">
      <c r="B77" s="46"/>
      <c r="C77" s="46"/>
      <c r="D77" s="46"/>
      <c r="E77" s="46"/>
      <c r="F77" s="46"/>
      <c r="G77" s="46"/>
      <c r="H77" s="46"/>
      <c r="N77" s="46"/>
      <c r="O77" s="46"/>
      <c r="P77" s="46"/>
      <c r="Q77" s="46"/>
      <c r="R77" s="46"/>
      <c r="S77" s="46"/>
      <c r="T77" s="46"/>
      <c r="U77" s="46"/>
      <c r="V77" s="46"/>
      <c r="W77" s="46"/>
    </row>
    <row r="78" spans="2:23" ht="11.25" customHeight="1" x14ac:dyDescent="0.2">
      <c r="B78" s="46"/>
      <c r="C78" s="46"/>
      <c r="D78" s="46"/>
      <c r="E78" s="46"/>
      <c r="F78" s="46"/>
      <c r="G78" s="46"/>
      <c r="H78" s="46"/>
      <c r="N78" s="46"/>
      <c r="O78" s="46"/>
      <c r="P78" s="46"/>
      <c r="Q78" s="46"/>
      <c r="R78" s="46"/>
      <c r="S78" s="46"/>
      <c r="T78" s="46"/>
      <c r="U78" s="46"/>
      <c r="V78" s="46"/>
      <c r="W78" s="46"/>
    </row>
    <row r="79" spans="2:23" ht="11.25" customHeight="1" x14ac:dyDescent="0.2">
      <c r="B79" s="46"/>
      <c r="C79" s="46"/>
      <c r="D79" s="46"/>
      <c r="E79" s="46"/>
      <c r="F79" s="46"/>
      <c r="G79" s="46"/>
      <c r="H79" s="46"/>
      <c r="N79" s="46"/>
      <c r="O79" s="46"/>
      <c r="P79" s="46"/>
      <c r="Q79" s="46"/>
      <c r="R79" s="46"/>
      <c r="S79" s="46"/>
      <c r="T79" s="46"/>
      <c r="U79" s="46"/>
      <c r="V79" s="46"/>
      <c r="W79" s="46"/>
    </row>
    <row r="80" spans="2:23" ht="11.25" customHeight="1" x14ac:dyDescent="0.2">
      <c r="B80" s="46"/>
      <c r="C80" s="46"/>
      <c r="D80" s="46"/>
      <c r="E80" s="46"/>
      <c r="F80" s="46"/>
      <c r="G80" s="46"/>
      <c r="H80" s="46"/>
      <c r="N80" s="46"/>
      <c r="O80" s="46"/>
      <c r="P80" s="46"/>
      <c r="Q80" s="46"/>
      <c r="R80" s="46"/>
      <c r="S80" s="46"/>
      <c r="T80" s="46"/>
      <c r="U80" s="46"/>
      <c r="V80" s="46"/>
      <c r="W80" s="46"/>
    </row>
    <row r="81" spans="2:23" x14ac:dyDescent="0.2">
      <c r="B81" s="46"/>
      <c r="C81" s="46"/>
      <c r="D81" s="46"/>
      <c r="E81" s="46"/>
      <c r="F81" s="46"/>
      <c r="G81" s="46"/>
      <c r="H81" s="46"/>
      <c r="N81" s="46"/>
      <c r="O81" s="46"/>
      <c r="P81" s="46"/>
      <c r="Q81" s="46"/>
      <c r="R81" s="46"/>
      <c r="S81" s="46"/>
      <c r="T81" s="46"/>
      <c r="U81" s="46"/>
      <c r="V81" s="46"/>
    </row>
    <row r="82" spans="2:23" x14ac:dyDescent="0.2">
      <c r="B82" s="46"/>
      <c r="C82" s="46"/>
      <c r="D82" s="46"/>
      <c r="E82" s="46"/>
      <c r="F82" s="46"/>
      <c r="G82" s="46"/>
      <c r="H82" s="46"/>
      <c r="N82" s="46"/>
      <c r="O82" s="46"/>
      <c r="P82" s="46"/>
      <c r="Q82" s="46"/>
      <c r="R82" s="46"/>
      <c r="S82" s="46"/>
      <c r="T82" s="46"/>
      <c r="U82" s="46"/>
      <c r="V82" s="46"/>
    </row>
    <row r="90" spans="2:23" x14ac:dyDescent="0.2">
      <c r="L90" s="46" t="s">
        <v>36</v>
      </c>
      <c r="W90" s="46"/>
    </row>
    <row r="92" spans="2:23" x14ac:dyDescent="0.2">
      <c r="B92" s="46"/>
      <c r="C92" s="46"/>
      <c r="D92" s="46"/>
      <c r="E92" s="46"/>
      <c r="F92" s="46"/>
      <c r="G92" s="46"/>
      <c r="H92" s="46"/>
      <c r="N92" s="46"/>
      <c r="O92" s="46"/>
      <c r="P92" s="46"/>
      <c r="Q92" s="46"/>
      <c r="R92" s="46"/>
      <c r="S92" s="46"/>
      <c r="T92" s="46"/>
      <c r="U92" s="46"/>
      <c r="V92" s="46"/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20:D57">
      <formula1>"Annual,Semiannual,EveryFourthMonth,Quarterly,Bimonthly,Monthly,Biweekly,Weekly,Daily,Once,NoFrequency"</formula1>
    </dataValidation>
    <dataValidation type="list" allowBlank="1" showInputMessage="1" showErrorMessage="1" sqref="E20:E57">
      <formula1>"Following,Modified Following,Preceding,Modified Preceding,Unadjusted,Half-Month Modified Following"</formula1>
    </dataValidation>
    <dataValidation type="list" allowBlank="1" showInputMessage="1" showErrorMessage="1" sqref="F20:F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15"/>
  <sheetViews>
    <sheetView topLeftCell="K1" workbookViewId="0">
      <selection activeCell="K1" sqref="K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0" width="15.140625" style="46" hidden="1" customWidth="1" outlineLevel="1"/>
    <col min="11" max="11" width="2.7109375" style="46" customWidth="1" collapsed="1"/>
    <col min="12" max="12" width="6" style="46" hidden="1" customWidth="1" outlineLevel="1"/>
    <col min="13" max="13" width="15.140625" style="103" hidden="1" customWidth="1" outlineLevel="1"/>
    <col min="14" max="14" width="22.42578125" style="103" hidden="1" customWidth="1" outlineLevel="1"/>
    <col min="15" max="15" width="12" style="103" hidden="1" customWidth="1" outlineLevel="1"/>
    <col min="16" max="16" width="7.85546875" style="103" hidden="1" customWidth="1" outlineLevel="1"/>
    <col min="17" max="17" width="9" style="103" hidden="1" customWidth="1" outlineLevel="1"/>
    <col min="18" max="18" width="5.85546875" style="103" hidden="1" customWidth="1" outlineLevel="1"/>
    <col min="19" max="20" width="10.7109375" style="103" hidden="1" customWidth="1" outlineLevel="1"/>
    <col min="21" max="21" width="2.7109375" style="48" hidden="1" customWidth="1" outlineLevel="1"/>
    <col min="22" max="22" width="6" style="46" bestFit="1" customWidth="1" collapsed="1"/>
    <col min="23" max="23" width="10.140625" style="46" hidden="1" customWidth="1" outlineLevel="1"/>
    <col min="24" max="24" width="24.7109375" style="46" customWidth="1" collapsed="1"/>
    <col min="25" max="25" width="11" style="46" bestFit="1" customWidth="1"/>
    <col min="26" max="26" width="9.7109375" style="46" customWidth="1"/>
    <col min="27" max="28" width="17.28515625" style="46" bestFit="1" customWidth="1"/>
    <col min="29" max="29" width="12" style="46" bestFit="1" customWidth="1"/>
    <col min="30" max="31" width="10.85546875" style="46" hidden="1" customWidth="1" outlineLevel="1"/>
    <col min="32" max="32" width="10" style="46" hidden="1" customWidth="1" outlineLevel="1"/>
    <col min="33" max="33" width="3.28515625" style="46" customWidth="1" collapsed="1"/>
    <col min="34" max="34" width="24.42578125" style="46" bestFit="1" customWidth="1"/>
    <col min="35" max="35" width="9" style="46" bestFit="1" customWidth="1"/>
    <col min="36" max="16384" width="9.140625" style="46"/>
  </cols>
  <sheetData>
    <row r="1" spans="1:35" ht="18" customHeight="1" x14ac:dyDescent="0.2">
      <c r="H1" s="50"/>
      <c r="L1" s="67" t="s">
        <v>24</v>
      </c>
      <c r="M1" s="106"/>
      <c r="N1" s="106"/>
      <c r="O1" s="106"/>
      <c r="P1" s="106"/>
      <c r="Q1" s="106"/>
      <c r="R1" s="106"/>
      <c r="S1" s="106"/>
      <c r="T1" s="96"/>
      <c r="U1" s="93"/>
      <c r="V1" s="74" t="str">
        <f>Currency&amp;"STD"</f>
        <v>EURSTD</v>
      </c>
      <c r="W1" s="66"/>
      <c r="X1" s="66"/>
      <c r="Y1" s="69"/>
      <c r="Z1" s="69"/>
      <c r="AA1" s="66"/>
      <c r="AB1" s="66"/>
      <c r="AC1" s="73" t="s">
        <v>143</v>
      </c>
    </row>
    <row r="2" spans="1:35" ht="21.75" customHeight="1" x14ac:dyDescent="0.2">
      <c r="A2" s="65" t="s">
        <v>9</v>
      </c>
      <c r="B2" s="65" t="s">
        <v>29</v>
      </c>
      <c r="C2" s="65"/>
      <c r="D2" s="65" t="s">
        <v>159</v>
      </c>
      <c r="E2" s="65" t="s">
        <v>160</v>
      </c>
      <c r="F2" s="65" t="s">
        <v>115</v>
      </c>
      <c r="G2" s="65" t="s">
        <v>4</v>
      </c>
      <c r="H2" s="65" t="s">
        <v>1</v>
      </c>
      <c r="I2" s="65"/>
      <c r="J2" s="65" t="s">
        <v>24</v>
      </c>
      <c r="L2" s="73" t="s">
        <v>9</v>
      </c>
      <c r="M2" s="73" t="s">
        <v>150</v>
      </c>
      <c r="N2" s="73" t="s">
        <v>79</v>
      </c>
      <c r="O2" s="73" t="s">
        <v>82</v>
      </c>
      <c r="P2" s="73" t="s">
        <v>80</v>
      </c>
      <c r="Q2" s="73" t="s">
        <v>81</v>
      </c>
      <c r="R2" s="73" t="s">
        <v>83</v>
      </c>
      <c r="S2" s="73" t="s">
        <v>22</v>
      </c>
      <c r="T2" s="73" t="s">
        <v>76</v>
      </c>
      <c r="U2" s="93"/>
      <c r="V2" s="73" t="s">
        <v>9</v>
      </c>
      <c r="W2" s="73" t="s">
        <v>24</v>
      </c>
      <c r="X2" s="73" t="s">
        <v>79</v>
      </c>
      <c r="Y2" s="75" t="s">
        <v>23</v>
      </c>
      <c r="Z2" s="75" t="s">
        <v>84</v>
      </c>
      <c r="AA2" s="73" t="s">
        <v>22</v>
      </c>
      <c r="AB2" s="73" t="s">
        <v>76</v>
      </c>
      <c r="AC2" s="171">
        <f t="array" ref="AC2:AC72">_xll.qlPiecewiseYieldCurveData(yieldcurve1_STD,Trigger)</f>
        <v>-1.3484747131859926E-3</v>
      </c>
      <c r="AH2" s="213" t="s">
        <v>85</v>
      </c>
      <c r="AI2" s="214"/>
    </row>
    <row r="3" spans="1:35" ht="11.25" customHeight="1" x14ac:dyDescent="0.2">
      <c r="A3" s="180" t="s">
        <v>26</v>
      </c>
      <c r="B3" s="181" t="s">
        <v>37</v>
      </c>
      <c r="C3" s="181" t="s">
        <v>74</v>
      </c>
      <c r="D3" s="204" t="b">
        <v>0</v>
      </c>
      <c r="E3" s="204" t="s">
        <v>7</v>
      </c>
      <c r="F3" s="204" t="s">
        <v>27</v>
      </c>
      <c r="G3" s="183" t="str">
        <f>_xll.qlIborIndex(,FamilyName,"1D",,Currency,Calendar,$E3,$D3,$F3,,Permanent,Trigger,ObjectOverwrite)</f>
        <v>obj_00697#0001</v>
      </c>
      <c r="H3" s="184" t="str">
        <f>IF(LCHQuoteOverwrite,Currency&amp;B3&amp;"D"&amp;LCHQuoteSuffix,Currency&amp;B3&amp;"D"&amp;QuoteSuffix)</f>
        <v>EUROND_LCHQuote</v>
      </c>
      <c r="I3" s="182"/>
      <c r="J3" s="185" t="str">
        <f>_xll.qlDepositRateHelper(,$H3,$G3,Permanent,Trigger,ObjectOverwrite)</f>
        <v>obj_0069a#0001</v>
      </c>
      <c r="K3" s="49"/>
      <c r="L3" s="68" t="str">
        <f>A3</f>
        <v>Dp</v>
      </c>
      <c r="M3" s="131" t="str">
        <f>IF(ISBLANK(J3),"--",J3)</f>
        <v>obj_0069a#0001</v>
      </c>
      <c r="N3" s="145" t="str">
        <f>IFERROR(_xll.qlRateHelperQuoteName(M3,Trigger),"--")</f>
        <v>EUROND_LCHQuote</v>
      </c>
      <c r="O3" s="133">
        <f>IFERROR(_xll.qlRateHelperQuoteValue($M3,Trigger),"--")</f>
        <v>-1.33E-3</v>
      </c>
      <c r="P3" s="132" t="b">
        <v>1</v>
      </c>
      <c r="Q3" s="131">
        <v>30</v>
      </c>
      <c r="R3" s="131">
        <v>1</v>
      </c>
      <c r="S3" s="134">
        <f>IFERROR(_xll.qlRateHelperEarliestDate(M3,Trigger),"--")</f>
        <v>42254</v>
      </c>
      <c r="T3" s="134">
        <f>IFERROR(_xll.qlRateHelperPillarDate(M3,Trigger),"--")</f>
        <v>42255</v>
      </c>
      <c r="V3" s="4" t="str">
        <f t="shared" ref="V3:V34" si="0">IFERROR(INDEX($L$3:$L$72,MATCH(X3,$N$3:$N$72,0),1),"")</f>
        <v>Dp</v>
      </c>
      <c r="W3" s="4" t="str">
        <f t="array" ref="W3:W72">_xll.qlRateHelperSelection(_xll.ohFilter(RateHelpers,IncludeFlag),_xll.ohFilter(Priority,IncludeFlag),$AI$3,$AI$4,$AI$5,$AI$6,_xll.ohFilter(MinDistance,IncludeFlag),Trigger)</f>
        <v>obj_0069a</v>
      </c>
      <c r="X3" s="4" t="str">
        <f>IFERROR(_xll.qlRateHelperQuoteName(W3,Trigger),"")</f>
        <v>EUROND_LCHQuote</v>
      </c>
      <c r="Y3" s="70">
        <f>IFERROR(_xll.qlRateHelperRate(W3,Trigger),"")</f>
        <v>-1.33E-3</v>
      </c>
      <c r="Z3" s="104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42254</v>
      </c>
      <c r="AB3" s="5">
        <f>IFERROR(_xll.qlRateHelperPillarDate(W3,Trigger),"")</f>
        <v>42255</v>
      </c>
      <c r="AC3" s="70">
        <v>-1.3484747131859926E-3</v>
      </c>
      <c r="AD3" s="169">
        <f t="array" ref="AD3:AD72">_xll.ohFilter([1]REP00079!$C$2:$C$1000,([1]REP00079!$A$2:$A$1000="EUR_EURIBOR_EOD"))</f>
        <v>42255</v>
      </c>
      <c r="AE3" s="170">
        <f t="array" ref="AE3:AE72">_xll.ohFilter([1]REP00079!$E$2:$E$1000,([1]REP00079!$A$2:$A$1000="EUR_EURIBOR_EOD"))</f>
        <v>-1.3484747131691001E-3</v>
      </c>
      <c r="AF3" s="172">
        <f>_xll.qlYieldTSZeroRate(yieldcurve1_STD,$AD3,"ACTUAL/365 (FIXED)",,,TRUE,Trigger)-AE3</f>
        <v>0</v>
      </c>
      <c r="AG3" s="161"/>
      <c r="AH3" s="107" t="s">
        <v>86</v>
      </c>
      <c r="AI3" s="108">
        <v>12</v>
      </c>
    </row>
    <row r="4" spans="1:35" ht="11.25" customHeight="1" x14ac:dyDescent="0.2">
      <c r="A4" s="186" t="s">
        <v>26</v>
      </c>
      <c r="B4" s="187" t="s">
        <v>73</v>
      </c>
      <c r="C4" s="187" t="s">
        <v>157</v>
      </c>
      <c r="D4" s="205" t="b">
        <v>0</v>
      </c>
      <c r="E4" s="205" t="s">
        <v>7</v>
      </c>
      <c r="F4" s="205" t="s">
        <v>27</v>
      </c>
      <c r="G4" s="189" t="str">
        <f>_xll.qlIborIndex(,FamilyName,"1D",,Currency,Calendar,$E4,$D4,$F4,,Permanent,Trigger,ObjectOverwrite)</f>
        <v>obj_00695#0001</v>
      </c>
      <c r="H4" s="190" t="str">
        <f>IF(LCHQuoteOverwrite,Currency&amp;B4&amp;"D"&amp;LCHQuoteSuffix,Currency&amp;B4&amp;"D"&amp;QuoteSuffix)</f>
        <v>EURTND_LCHQuote</v>
      </c>
      <c r="I4" s="188"/>
      <c r="J4" s="191" t="str">
        <f>_xll.qlFraRateHelper(,$H4,"1D",$G4,PillarDate,,Permanent,Trigger,ObjectOverwrite)</f>
        <v>obj_00699#0001</v>
      </c>
      <c r="K4" s="49"/>
      <c r="L4" s="10" t="str">
        <f t="shared" ref="L4:L11" si="1">A4</f>
        <v>Dp</v>
      </c>
      <c r="M4" s="94" t="str">
        <f t="shared" ref="M4:M11" si="2">IF(ISBLANK(J4),"--",J4)</f>
        <v>obj_00699#0001</v>
      </c>
      <c r="N4" s="146" t="str">
        <f>IFERROR(_xll.qlRateHelperQuoteName(M4,Trigger),"--")</f>
        <v>EURTND_LCHQuote</v>
      </c>
      <c r="O4" s="98">
        <f>IFERROR(_xll.qlRateHelperQuoteValue($M4,Trigger),"--")</f>
        <v>-1.33E-3</v>
      </c>
      <c r="P4" s="97" t="b">
        <v>1</v>
      </c>
      <c r="Q4" s="94">
        <v>30</v>
      </c>
      <c r="R4" s="94">
        <v>1</v>
      </c>
      <c r="S4" s="99">
        <f>IFERROR(_xll.qlRateHelperEarliestDate(M4,Trigger),"--")</f>
        <v>42255</v>
      </c>
      <c r="T4" s="99">
        <f>IFERROR(_xll.qlRateHelperPillarDate(M4,Trigger),"--")</f>
        <v>42256</v>
      </c>
      <c r="V4" s="4" t="str">
        <f t="shared" si="0"/>
        <v>Dp</v>
      </c>
      <c r="W4" s="4" t="str">
        <v>obj_00699</v>
      </c>
      <c r="X4" s="4" t="str">
        <f>IFERROR(_xll.qlRateHelperQuoteName(W4,Trigger),"")</f>
        <v>EURTND_LCHQuote</v>
      </c>
      <c r="Y4" s="70">
        <f>IFERROR(_xll.qlRateHelperRate(W4,Trigger),"")</f>
        <v>-1.33E-3</v>
      </c>
      <c r="Z4" s="104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42255</v>
      </c>
      <c r="AB4" s="5">
        <f>IFERROR(_xll.qlRateHelperPillarDate(W4,Trigger),"")</f>
        <v>42256</v>
      </c>
      <c r="AC4" s="70">
        <v>-1.3484747131800366E-3</v>
      </c>
      <c r="AD4" s="169">
        <v>42261</v>
      </c>
      <c r="AE4" s="170">
        <v>-1.42171031135862E-3</v>
      </c>
      <c r="AF4" s="172">
        <f>_xll.qlYieldTSZeroRate(yieldcurve1_STD,$AD4,"ACTUAL/365 (FIXED)",,,TRUE,Trigger)-AE4</f>
        <v>1.9292293457207066E-15</v>
      </c>
      <c r="AG4" s="161"/>
      <c r="AH4" s="107" t="s">
        <v>87</v>
      </c>
      <c r="AI4" s="108">
        <v>0</v>
      </c>
    </row>
    <row r="5" spans="1:35" ht="11.25" customHeight="1" x14ac:dyDescent="0.2">
      <c r="A5" s="59" t="s">
        <v>26</v>
      </c>
      <c r="B5" s="60" t="s">
        <v>158</v>
      </c>
      <c r="C5" s="60" t="s">
        <v>38</v>
      </c>
      <c r="D5" s="123"/>
      <c r="E5" s="123"/>
      <c r="F5" s="123"/>
      <c r="G5" s="61" t="str">
        <f>PROPER(Currency)&amp;FamilyName&amp;B5</f>
        <v>EuriborSW</v>
      </c>
      <c r="H5" s="179" t="str">
        <f>IF(LCHQuoteOverwrite,Currency&amp;C5&amp;"D"&amp;LCHQuoteSuffix,Currency&amp;B5&amp;"D"&amp;QuoteSuffix)</f>
        <v>EUR1WD_LCHQuote</v>
      </c>
      <c r="I5" s="123"/>
      <c r="J5" s="64" t="str">
        <f>_xll.qlDepositRateHelper(,$H5,$G5,Permanent,Trigger,ObjectOverwrite)</f>
        <v>obj_00693#0001</v>
      </c>
      <c r="K5" s="49"/>
      <c r="L5" s="10" t="str">
        <f t="shared" si="1"/>
        <v>Dp</v>
      </c>
      <c r="M5" s="94" t="str">
        <f t="shared" si="2"/>
        <v>obj_00693#0001</v>
      </c>
      <c r="N5" s="146" t="str">
        <f>IFERROR(_xll.qlRateHelperQuoteName(M5,Trigger),"--")</f>
        <v>EUR1WD_LCHQuote</v>
      </c>
      <c r="O5" s="98">
        <f>IFERROR(_xll.qlRateHelperQuoteValue($M5,Trigger),"--")</f>
        <v>-1.4599999999999999E-3</v>
      </c>
      <c r="P5" s="97" t="b">
        <v>1</v>
      </c>
      <c r="Q5" s="94">
        <v>30</v>
      </c>
      <c r="R5" s="94">
        <v>1</v>
      </c>
      <c r="S5" s="99">
        <f>IFERROR(_xll.qlRateHelperEarliestDate(M5,Trigger),"--")</f>
        <v>42256</v>
      </c>
      <c r="T5" s="99">
        <f>IFERROR(_xll.qlRateHelperPillarDate(M5,Trigger),"--")</f>
        <v>42263</v>
      </c>
      <c r="V5" s="4" t="str">
        <f t="shared" si="0"/>
        <v>Dp</v>
      </c>
      <c r="W5" s="4" t="str">
        <v>obj_00693</v>
      </c>
      <c r="X5" s="4" t="str">
        <f>IFERROR(_xll.qlRateHelperQuoteName(W5,Trigger),"")</f>
        <v>EUR1WD_LCHQuote</v>
      </c>
      <c r="Y5" s="70">
        <f>IFERROR(_xll.qlRateHelperRate(W5,Trigger),"")</f>
        <v>-1.4599999999999999E-3</v>
      </c>
      <c r="Z5" s="104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42256</v>
      </c>
      <c r="AB5" s="5">
        <f>IFERROR(_xll.qlRateHelperPillarDate(W5,Trigger),"")</f>
        <v>42263</v>
      </c>
      <c r="AC5" s="70">
        <v>-1.4510045506252809E-3</v>
      </c>
      <c r="AD5" s="169">
        <v>42284</v>
      </c>
      <c r="AE5" s="170">
        <v>-1.1057459472688801E-3</v>
      </c>
      <c r="AF5" s="172">
        <f>_xll.qlYieldTSZeroRate(yieldcurve1_STD,$AD5,"ACTUAL/365 (FIXED)",,,TRUE,Trigger)-AE5</f>
        <v>-2.6770958569405237E-4</v>
      </c>
      <c r="AG5" s="161"/>
      <c r="AH5" s="107" t="s">
        <v>88</v>
      </c>
      <c r="AI5" s="108">
        <f>AI7+AI8</f>
        <v>10</v>
      </c>
    </row>
    <row r="6" spans="1:35" ht="11.25" customHeight="1" x14ac:dyDescent="0.2">
      <c r="A6" s="59" t="s">
        <v>26</v>
      </c>
      <c r="B6" s="60" t="s">
        <v>2</v>
      </c>
      <c r="C6" s="60" t="s">
        <v>2</v>
      </c>
      <c r="D6" s="123"/>
      <c r="E6" s="123"/>
      <c r="F6" s="123"/>
      <c r="G6" s="61" t="str">
        <f>PROPER(Currency)&amp;FamilyName&amp;B6</f>
        <v>Euribor1M</v>
      </c>
      <c r="H6" s="179" t="str">
        <f t="shared" ref="H6:H11" si="3">IF(LCHQuoteOverwrite,Currency&amp;B6&amp;"D"&amp;LCHQuoteSuffix,Currency&amp;B6&amp;"D"&amp;QuoteSuffix)</f>
        <v>EUR1MD_LCHQuote</v>
      </c>
      <c r="I6" s="123"/>
      <c r="J6" s="64"/>
      <c r="K6" s="49"/>
      <c r="L6" s="10" t="str">
        <f t="shared" si="1"/>
        <v>Dp</v>
      </c>
      <c r="M6" s="94" t="str">
        <f t="shared" si="2"/>
        <v>--</v>
      </c>
      <c r="N6" s="146" t="str">
        <f>IFERROR(_xll.qlRateHelperQuoteName(M6,Trigger),"--")</f>
        <v>--</v>
      </c>
      <c r="O6" s="98" t="str">
        <f>IFERROR(_xll.qlRateHelperQuoteValue($M6,Trigger),"--")</f>
        <v>--</v>
      </c>
      <c r="P6" s="97" t="b">
        <v>0</v>
      </c>
      <c r="Q6" s="94">
        <v>30</v>
      </c>
      <c r="R6" s="94">
        <v>1</v>
      </c>
      <c r="S6" s="99" t="str">
        <f>IFERROR(_xll.qlRateHelperEarliestDate(M6,Trigger),"--")</f>
        <v>--</v>
      </c>
      <c r="T6" s="99" t="str">
        <f>IFERROR(_xll.qlRateHelperPillarDate(M6,Trigger),"--")</f>
        <v>--</v>
      </c>
      <c r="V6" s="4" t="str">
        <f t="shared" si="0"/>
        <v>FUT</v>
      </c>
      <c r="W6" s="4" t="str">
        <v>obj_0079f</v>
      </c>
      <c r="X6" s="4" t="str">
        <f>IFERROR(_xll.qlRateHelperQuoteName(W6,Trigger),"")</f>
        <v>FEIZ5_LCHQuote</v>
      </c>
      <c r="Y6" s="70">
        <f>IFERROR(_xll.qlRateHelperRate(W6,Trigger),"")</f>
        <v>-4.0400000000007097E-4</v>
      </c>
      <c r="Z6" s="104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70">
        <v>-7.7891306421968675E-4</v>
      </c>
      <c r="AD6" s="169">
        <v>42314</v>
      </c>
      <c r="AE6" s="170">
        <v>-7.0114139712288001E-4</v>
      </c>
      <c r="AF6" s="172">
        <f>_xll.qlYieldTSZeroRate(yieldcurve1_STD,$AD6,"ACTUAL/365 (FIXED)",,,TRUE,Trigger)-AE6</f>
        <v>-5.6152982489461459E-4</v>
      </c>
      <c r="AG6" s="161"/>
      <c r="AH6" s="107" t="s">
        <v>89</v>
      </c>
      <c r="AI6" s="109" t="s">
        <v>90</v>
      </c>
    </row>
    <row r="7" spans="1:35" ht="11.25" customHeight="1" x14ac:dyDescent="0.2">
      <c r="A7" s="59" t="s">
        <v>26</v>
      </c>
      <c r="B7" s="60" t="s">
        <v>41</v>
      </c>
      <c r="C7" s="60" t="s">
        <v>41</v>
      </c>
      <c r="D7" s="123"/>
      <c r="E7" s="123"/>
      <c r="F7" s="123"/>
      <c r="G7" s="61" t="str">
        <f>PROPER(Currency)&amp;FamilyName&amp;B7</f>
        <v>Euribor2M</v>
      </c>
      <c r="H7" s="179" t="str">
        <f t="shared" si="3"/>
        <v>EUR2MD_LCHQuote</v>
      </c>
      <c r="I7" s="123"/>
      <c r="J7" s="64"/>
      <c r="K7" s="49"/>
      <c r="L7" s="10" t="str">
        <f t="shared" si="1"/>
        <v>Dp</v>
      </c>
      <c r="M7" s="94" t="str">
        <f t="shared" si="2"/>
        <v>--</v>
      </c>
      <c r="N7" s="146" t="str">
        <f>IFERROR(_xll.qlRateHelperQuoteName(M7,Trigger),"--")</f>
        <v>--</v>
      </c>
      <c r="O7" s="98" t="str">
        <f>IFERROR(_xll.qlRateHelperQuoteValue($M7,Trigger),"--")</f>
        <v>--</v>
      </c>
      <c r="P7" s="97" t="b">
        <v>0</v>
      </c>
      <c r="Q7" s="94">
        <v>30</v>
      </c>
      <c r="R7" s="94">
        <v>1</v>
      </c>
      <c r="S7" s="99" t="str">
        <f>IFERROR(_xll.qlRateHelperEarliestDate(M7,Trigger),"--")</f>
        <v>--</v>
      </c>
      <c r="T7" s="99" t="str">
        <f>IFERROR(_xll.qlRateHelperPillarDate(M7,Trigger),"--")</f>
        <v>--</v>
      </c>
      <c r="V7" s="4" t="str">
        <f t="shared" si="0"/>
        <v>FUT</v>
      </c>
      <c r="W7" s="4" t="str">
        <v>obj_007ae</v>
      </c>
      <c r="X7" s="4" t="str">
        <f>IFERROR(_xll.qlRateHelperQuoteName(W7,Trigger),"")</f>
        <v>FEIH6_LCHQuote</v>
      </c>
      <c r="Y7" s="70">
        <f>IFERROR(_xll.qlRateHelperRate(W7,Trigger),"")</f>
        <v>-4.0900000000010373E-4</v>
      </c>
      <c r="Z7" s="104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42536</v>
      </c>
      <c r="AC7" s="70">
        <v>-6.6138403574667927E-4</v>
      </c>
      <c r="AD7" s="169">
        <v>42345</v>
      </c>
      <c r="AE7" s="170">
        <v>-3.8598887060678001E-4</v>
      </c>
      <c r="AF7" s="172">
        <f>_xll.qlYieldTSZeroRate(yieldcurve1_STD,$AD7,"ACTUAL/365 (FIXED)",,,TRUE,Trigger)-AE7</f>
        <v>-7.6220523009966508E-4</v>
      </c>
      <c r="AG7" s="161"/>
      <c r="AH7" s="107" t="s">
        <v>163</v>
      </c>
      <c r="AI7" s="109">
        <v>2</v>
      </c>
    </row>
    <row r="8" spans="1:35" ht="11.25" customHeight="1" x14ac:dyDescent="0.2">
      <c r="A8" s="59" t="s">
        <v>26</v>
      </c>
      <c r="B8" s="60" t="s">
        <v>0</v>
      </c>
      <c r="C8" s="60" t="s">
        <v>0</v>
      </c>
      <c r="D8" s="123"/>
      <c r="E8" s="123"/>
      <c r="F8" s="123"/>
      <c r="G8" s="61" t="str">
        <f>PROPER(Currency)&amp;FamilyName&amp;B8</f>
        <v>Euribor3M</v>
      </c>
      <c r="H8" s="179" t="str">
        <f t="shared" si="3"/>
        <v>EUR3MD_LCHQuote</v>
      </c>
      <c r="I8" s="123"/>
      <c r="J8" s="64"/>
      <c r="K8" s="49"/>
      <c r="L8" s="10" t="str">
        <f t="shared" si="1"/>
        <v>Dp</v>
      </c>
      <c r="M8" s="94" t="str">
        <f t="shared" si="2"/>
        <v>--</v>
      </c>
      <c r="N8" s="146" t="str">
        <f>IFERROR(_xll.qlRateHelperQuoteName(M8,Trigger),"--")</f>
        <v>--</v>
      </c>
      <c r="O8" s="98" t="str">
        <f>IFERROR(_xll.qlRateHelperQuoteValue($M8,Trigger),"--")</f>
        <v>--</v>
      </c>
      <c r="P8" s="97" t="b">
        <v>0</v>
      </c>
      <c r="Q8" s="94">
        <v>30</v>
      </c>
      <c r="R8" s="94">
        <v>1</v>
      </c>
      <c r="S8" s="99" t="str">
        <f>IFERROR(_xll.qlRateHelperEarliestDate(M8,Trigger),"--")</f>
        <v>--</v>
      </c>
      <c r="T8" s="99" t="str">
        <f>IFERROR(_xll.qlRateHelperPillarDate(M8,Trigger),"--")</f>
        <v>--</v>
      </c>
      <c r="V8" s="4" t="str">
        <f t="shared" si="0"/>
        <v>FUT</v>
      </c>
      <c r="W8" s="4" t="str">
        <v>obj_007b2</v>
      </c>
      <c r="X8" s="4" t="str">
        <f>IFERROR(_xll.qlRateHelperQuoteName(W8,Trigger),"")</f>
        <v>FEIM6_LCHQuote</v>
      </c>
      <c r="Y8" s="70">
        <f>IFERROR(_xll.qlRateHelperRate(W8,Trigger),"")</f>
        <v>-3.6700000000000621E-4</v>
      </c>
      <c r="Z8" s="104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42634</v>
      </c>
      <c r="AC8" s="70">
        <v>-5.867829894630963E-4</v>
      </c>
      <c r="AD8" s="169">
        <v>42436</v>
      </c>
      <c r="AE8" s="170">
        <v>-3.8579007529977E-4</v>
      </c>
      <c r="AF8" s="172">
        <f>_xll.qlYieldTSZeroRate(yieldcurve1_STD,$AD8,"ACTUAL/365 (FIXED)",,,TRUE,Trigger)-AE8</f>
        <v>-4.2635828220367997E-4</v>
      </c>
      <c r="AG8" s="161"/>
      <c r="AH8" s="107" t="s">
        <v>164</v>
      </c>
      <c r="AI8" s="109">
        <v>8</v>
      </c>
    </row>
    <row r="9" spans="1:35" ht="11.25" customHeight="1" x14ac:dyDescent="0.2">
      <c r="A9" s="192" t="s">
        <v>26</v>
      </c>
      <c r="B9" s="193" t="s">
        <v>42</v>
      </c>
      <c r="C9" s="193" t="s">
        <v>42</v>
      </c>
      <c r="D9" s="194"/>
      <c r="E9" s="194"/>
      <c r="F9" s="194"/>
      <c r="G9" s="195" t="str">
        <f>_xll.qlEuribor(,$C9,,Permanent,Trigger,ObjectOverwrite)</f>
        <v>obj_00694#0001</v>
      </c>
      <c r="H9" s="196" t="str">
        <f t="shared" si="3"/>
        <v>EUR4MD_LCHQuote</v>
      </c>
      <c r="I9" s="194"/>
      <c r="J9" s="197"/>
      <c r="K9" s="48"/>
      <c r="L9" s="10" t="str">
        <f t="shared" si="1"/>
        <v>Dp</v>
      </c>
      <c r="M9" s="94" t="str">
        <f t="shared" si="2"/>
        <v>--</v>
      </c>
      <c r="N9" s="146" t="str">
        <f>IFERROR(_xll.qlRateHelperQuoteName(M9,Trigger),"--")</f>
        <v>--</v>
      </c>
      <c r="O9" s="98" t="str">
        <f>IFERROR(_xll.qlRateHelperQuoteValue($M9,Trigger),"--")</f>
        <v>--</v>
      </c>
      <c r="P9" s="97" t="b">
        <v>0</v>
      </c>
      <c r="Q9" s="94">
        <v>30</v>
      </c>
      <c r="R9" s="94">
        <v>1</v>
      </c>
      <c r="S9" s="99" t="str">
        <f>IFERROR(_xll.qlRateHelperEarliestDate(M9,Trigger),"--")</f>
        <v>--</v>
      </c>
      <c r="T9" s="99" t="str">
        <f>IFERROR(_xll.qlRateHelperPillarDate(M9,Trigger),"--")</f>
        <v>--</v>
      </c>
      <c r="V9" s="4" t="str">
        <f t="shared" si="0"/>
        <v>FUT</v>
      </c>
      <c r="W9" s="4" t="str">
        <v>obj_007a6</v>
      </c>
      <c r="X9" s="4" t="str">
        <f>IFERROR(_xll.qlRateHelperQuoteName(W9,Trigger),"")</f>
        <v>FEIU6_LCHQuote</v>
      </c>
      <c r="Y9" s="70">
        <f>IFERROR(_xll.qlRateHelperRate(W9,Trigger),"")</f>
        <v>-2.2600000000005949E-4</v>
      </c>
      <c r="Z9" s="104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70">
        <v>-5.1768528772551262E-4</v>
      </c>
      <c r="AD9" s="169">
        <v>42527</v>
      </c>
      <c r="AE9" s="170">
        <v>-3.9559332670717002E-4</v>
      </c>
      <c r="AF9" s="172">
        <f>_xll.qlYieldTSZeroRate(yieldcurve1_STD,$AD9,"ACTUAL/365 (FIXED)",,,TRUE,Trigger)-AE9</f>
        <v>-2.7741445910837412E-4</v>
      </c>
      <c r="AG9" s="161"/>
    </row>
    <row r="10" spans="1:35" ht="11.25" customHeight="1" x14ac:dyDescent="0.2">
      <c r="A10" s="198" t="s">
        <v>26</v>
      </c>
      <c r="B10" s="199" t="s">
        <v>43</v>
      </c>
      <c r="C10" s="199" t="s">
        <v>43</v>
      </c>
      <c r="D10" s="200"/>
      <c r="E10" s="200"/>
      <c r="F10" s="200"/>
      <c r="G10" s="201" t="str">
        <f>_xll.qlEuribor(,$C10,,Permanent,Trigger,ObjectOverwrite)</f>
        <v>obj_00696#0001</v>
      </c>
      <c r="H10" s="202" t="str">
        <f t="shared" si="3"/>
        <v>EUR5MD_LCHQuote</v>
      </c>
      <c r="I10" s="200"/>
      <c r="J10" s="203"/>
      <c r="K10" s="48"/>
      <c r="L10" s="10" t="str">
        <f t="shared" si="1"/>
        <v>Dp</v>
      </c>
      <c r="M10" s="94" t="str">
        <f t="shared" si="2"/>
        <v>--</v>
      </c>
      <c r="N10" s="146" t="str">
        <f>IFERROR(_xll.qlRateHelperQuoteName(M10,Trigger),"--")</f>
        <v>--</v>
      </c>
      <c r="O10" s="98" t="str">
        <f>IFERROR(_xll.qlRateHelperQuoteValue($M10,Trigger),"--")</f>
        <v>--</v>
      </c>
      <c r="P10" s="97" t="b">
        <v>0</v>
      </c>
      <c r="Q10" s="94">
        <v>30</v>
      </c>
      <c r="R10" s="94">
        <v>1</v>
      </c>
      <c r="S10" s="99" t="str">
        <f>IFERROR(_xll.qlRateHelperEarliestDate(M10,Trigger),"--")</f>
        <v>--</v>
      </c>
      <c r="T10" s="99" t="str">
        <f>IFERROR(_xll.qlRateHelperPillarDate(M10,Trigger),"--")</f>
        <v>--</v>
      </c>
      <c r="V10" s="4" t="str">
        <f t="shared" si="0"/>
        <v>FUT</v>
      </c>
      <c r="W10" s="4" t="str">
        <v>obj_007ac</v>
      </c>
      <c r="X10" s="4" t="str">
        <f>IFERROR(_xll.qlRateHelperQuoteName(W10,Trigger),"")</f>
        <v>FEIZ6_LCHQuote</v>
      </c>
      <c r="Y10" s="70">
        <f>IFERROR(_xll.qlRateHelperRate(W10,Trigger),"")</f>
        <v>1.3000000000040757E-5</v>
      </c>
      <c r="Z10" s="104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42809</v>
      </c>
      <c r="AC10" s="70">
        <v>-4.3733802820112916E-4</v>
      </c>
      <c r="AD10" s="169">
        <v>42619</v>
      </c>
      <c r="AE10" s="170">
        <v>-3.9113717456277001E-4</v>
      </c>
      <c r="AF10" s="172">
        <f>_xll.qlYieldTSZeroRate(yieldcurve1_STD,$AD10,"ACTUAL/365 (FIXED)",,,TRUE,Trigger)-AE10</f>
        <v>-2.070643423926589E-4</v>
      </c>
      <c r="AG10" s="161"/>
    </row>
    <row r="11" spans="1:35" ht="11.25" customHeight="1" x14ac:dyDescent="0.2">
      <c r="A11" s="1" t="s">
        <v>26</v>
      </c>
      <c r="B11" s="8" t="s">
        <v>3</v>
      </c>
      <c r="C11" s="8" t="s">
        <v>3</v>
      </c>
      <c r="D11" s="124"/>
      <c r="E11" s="124"/>
      <c r="F11" s="124"/>
      <c r="G11" s="7" t="str">
        <f>PROPER(Currency)&amp;FamilyName&amp;B11</f>
        <v>Euribor6M</v>
      </c>
      <c r="H11" s="121" t="str">
        <f t="shared" si="3"/>
        <v>EUR6MD_LCHQuote</v>
      </c>
      <c r="I11" s="124"/>
      <c r="J11" s="3"/>
      <c r="K11" s="48"/>
      <c r="L11" s="11" t="str">
        <f t="shared" si="1"/>
        <v>Dp</v>
      </c>
      <c r="M11" s="95" t="str">
        <f t="shared" si="2"/>
        <v>--</v>
      </c>
      <c r="N11" s="147" t="str">
        <f>IFERROR(_xll.qlRateHelperQuoteName(M11,Trigger),"--")</f>
        <v>--</v>
      </c>
      <c r="O11" s="101" t="str">
        <f>IFERROR(_xll.qlRateHelperQuoteValue($M11,Trigger),"--")</f>
        <v>--</v>
      </c>
      <c r="P11" s="100" t="b">
        <v>0</v>
      </c>
      <c r="Q11" s="95">
        <v>30</v>
      </c>
      <c r="R11" s="95">
        <v>1</v>
      </c>
      <c r="S11" s="102" t="str">
        <f>IFERROR(_xll.qlRateHelperEarliestDate(M11,Trigger),"--")</f>
        <v>--</v>
      </c>
      <c r="T11" s="102" t="str">
        <f>IFERROR(_xll.qlRateHelperPillarDate(M11,Trigger),"--")</f>
        <v>--</v>
      </c>
      <c r="V11" s="4" t="str">
        <f t="shared" si="0"/>
        <v>FUT</v>
      </c>
      <c r="W11" s="4" t="str">
        <v>obj_007a4</v>
      </c>
      <c r="X11" s="4" t="str">
        <f>IFERROR(_xll.qlRateHelperQuoteName(W11,Trigger),"")</f>
        <v>FEIH7_LCHQuote</v>
      </c>
      <c r="Y11" s="70">
        <f>IFERROR(_xll.qlRateHelperRate(W11,Trigger),"")</f>
        <v>2.989999999999382E-4</v>
      </c>
      <c r="Z11" s="104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42907</v>
      </c>
      <c r="AC11" s="70">
        <v>-3.2620944627880801E-4</v>
      </c>
      <c r="AD11" s="169">
        <v>42801</v>
      </c>
      <c r="AE11" s="170">
        <v>-3.0809022754495002E-4</v>
      </c>
      <c r="AF11" s="172">
        <f>_xll.qlYieldTSZeroRate(yieldcurve1_STD,$AD11,"ACTUAL/365 (FIXED)",,,TRUE,Trigger)-AE11</f>
        <v>-1.3689992061080748E-4</v>
      </c>
      <c r="AG11" s="161"/>
    </row>
    <row r="12" spans="1:35" ht="11.25" customHeight="1" x14ac:dyDescent="0.2">
      <c r="B12" s="46"/>
      <c r="C12" s="46"/>
      <c r="D12" s="46"/>
      <c r="E12" s="46"/>
      <c r="F12" s="46"/>
      <c r="G12" s="46"/>
      <c r="H12" s="46"/>
      <c r="K12" s="48"/>
      <c r="L12" s="68" t="str">
        <f>A14</f>
        <v>FUT</v>
      </c>
      <c r="M12" s="131" t="str">
        <f t="shared" ref="M12" si="4">IF(ISBLANK(J14),"--",J14)</f>
        <v>obj_0079e#0001</v>
      </c>
      <c r="N12" s="145" t="str">
        <f>IFERROR(_xll.qlRateHelperQuoteName(M12,Trigger),"--")</f>
        <v>FEIU5_LCHQuote</v>
      </c>
      <c r="O12" s="209" t="str">
        <f>IFERROR(_xll.qlRateHelperQuoteValue($M12,Trigger),"--")</f>
        <v>--</v>
      </c>
      <c r="P12" s="132" t="b">
        <v>1</v>
      </c>
      <c r="Q12" s="131">
        <v>20</v>
      </c>
      <c r="R12" s="131">
        <v>1</v>
      </c>
      <c r="S12" s="134">
        <f>IFERROR(_xll.qlRateHelperEarliestDate(M12,Trigger),"--")</f>
        <v>42263</v>
      </c>
      <c r="T12" s="134">
        <f>IFERROR(_xll.qlRateHelperPillarDate(M12,Trigger),"--")</f>
        <v>42354</v>
      </c>
      <c r="V12" s="4" t="str">
        <f t="shared" si="0"/>
        <v>FUT</v>
      </c>
      <c r="W12" s="4" t="str">
        <v>obj_007b4</v>
      </c>
      <c r="X12" s="4" t="str">
        <f>IFERROR(_xll.qlRateHelperQuoteName(W12,Trigger),"")</f>
        <v>FEIM7_LCHQuote</v>
      </c>
      <c r="Y12" s="70">
        <f>IFERROR(_xll.qlRateHelperRate(W12,Trigger),"")</f>
        <v>6.3400000000002343E-4</v>
      </c>
      <c r="Z12" s="104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42907</v>
      </c>
      <c r="AB12" s="5">
        <f>IFERROR(_xll.qlRateHelperPillarDate(W12,Trigger),"")</f>
        <v>42998</v>
      </c>
      <c r="AC12" s="70">
        <v>-2.0769381871428382E-4</v>
      </c>
      <c r="AD12" s="169">
        <v>42984</v>
      </c>
      <c r="AE12" s="170">
        <v>-1.2335677142941999E-4</v>
      </c>
      <c r="AF12" s="172">
        <f>_xll.qlYieldTSZeroRate(yieldcurve1_STD,$AD12,"ACTUAL/365 (FIXED)",,,TRUE,Trigger)-AE12</f>
        <v>-1.0257022075632337E-4</v>
      </c>
      <c r="AG12" s="161"/>
    </row>
    <row r="13" spans="1:35" ht="11.25" customHeight="1" x14ac:dyDescent="0.2">
      <c r="A13" s="65" t="s">
        <v>9</v>
      </c>
      <c r="B13" s="65" t="s">
        <v>161</v>
      </c>
      <c r="C13" s="65" t="s">
        <v>33</v>
      </c>
      <c r="D13" s="65"/>
      <c r="E13" s="65" t="s">
        <v>147</v>
      </c>
      <c r="F13" s="65" t="s">
        <v>148</v>
      </c>
      <c r="G13" s="65" t="s">
        <v>4</v>
      </c>
      <c r="H13" s="65" t="s">
        <v>1</v>
      </c>
      <c r="I13" s="65" t="s">
        <v>162</v>
      </c>
      <c r="J13" s="65" t="s">
        <v>24</v>
      </c>
      <c r="K13" s="48"/>
      <c r="L13" s="10" t="str">
        <f t="shared" ref="L13:L35" si="5">A15</f>
        <v>FUT</v>
      </c>
      <c r="M13" s="94" t="str">
        <f t="shared" ref="M13:M35" si="6">IF(ISBLANK(J15),"--",J15)</f>
        <v>obj_0079f#0001</v>
      </c>
      <c r="N13" s="146" t="str">
        <f>IFERROR(_xll.qlRateHelperQuoteName(M13,Trigger),"--")</f>
        <v>FEIZ5_LCHQuote</v>
      </c>
      <c r="O13" s="210">
        <f>IFERROR(_xll.qlRateHelperQuoteValue($M13,Trigger),"--")</f>
        <v>100.04040000000001</v>
      </c>
      <c r="P13" s="97" t="b">
        <v>1</v>
      </c>
      <c r="Q13" s="94">
        <v>20</v>
      </c>
      <c r="R13" s="94">
        <v>1</v>
      </c>
      <c r="S13" s="99">
        <f>IFERROR(_xll.qlRateHelperEarliestDate(M13,Trigger),"--")</f>
        <v>42354</v>
      </c>
      <c r="T13" s="99">
        <f>IFERROR(_xll.qlRateHelperPillarDate(M13,Trigger),"--")</f>
        <v>42445</v>
      </c>
      <c r="V13" s="4" t="str">
        <f t="shared" si="0"/>
        <v>FUT</v>
      </c>
      <c r="W13" s="4" t="str">
        <v>obj_007b3</v>
      </c>
      <c r="X13" s="4" t="str">
        <f>IFERROR(_xll.qlRateHelperQuoteName(W13,Trigger),"")</f>
        <v>FEIU7_LCHQuote</v>
      </c>
      <c r="Y13" s="70">
        <f>IFERROR(_xll.qlRateHelperRate(W13,Trigger),"")</f>
        <v>1.0679999999999579E-3</v>
      </c>
      <c r="Z13" s="104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70">
        <v>-6.7065468703416935E-5</v>
      </c>
      <c r="AD13" s="169">
        <v>43349</v>
      </c>
      <c r="AE13" s="170">
        <v>5.1038557353856996E-4</v>
      </c>
      <c r="AF13" s="172">
        <f>_xll.qlYieldTSZeroRate(yieldcurve1_STD,$AD13,"ACTUAL/365 (FIXED)",,,TRUE,Trigger)-AE13</f>
        <v>-6.8290152843511487E-5</v>
      </c>
      <c r="AG13" s="161"/>
    </row>
    <row r="14" spans="1:35" ht="11.25" customHeight="1" x14ac:dyDescent="0.2">
      <c r="A14" s="53" t="s">
        <v>94</v>
      </c>
      <c r="B14" s="115" t="b">
        <v>1</v>
      </c>
      <c r="C14" s="56" t="str">
        <f>_xll.qlIMMNextCode(EvaluationDate-1,$B14,Trigger)</f>
        <v>U5</v>
      </c>
      <c r="D14" s="129"/>
      <c r="E14" s="206">
        <f>_xll.qlIMMdate($C14,,Trigger)</f>
        <v>42263</v>
      </c>
      <c r="F14" s="206">
        <f>_xll.qlIMMNextDate($E14,,Trigger)</f>
        <v>42354</v>
      </c>
      <c r="G14" s="55" t="str">
        <f t="shared" ref="G14:G37" si="7">PROPER(Currency)&amp;FamilyName&amp;"3M"</f>
        <v>Euribor3M</v>
      </c>
      <c r="H14" s="118" t="str">
        <f t="shared" ref="H14:H37" si="8">IF(LCHQuoteOverwrite,"FEI"&amp;$C14&amp;LCHQuoteSuffix,Currency&amp;"FUT"&amp;"3M"&amp;$C14&amp;QuoteSuffix)</f>
        <v>FEIU5_LCHQuote</v>
      </c>
      <c r="I14" s="118">
        <v>0</v>
      </c>
      <c r="J14" s="58" t="str">
        <f>_xll.qlFuturesRateHelper(,$H14,,$E14,$G14,$I14,FALSE,"customdate",$F14,Permanent,Trigger,ObjectOverwrite)</f>
        <v>obj_0079e#0001</v>
      </c>
      <c r="K14" s="48"/>
      <c r="L14" s="10" t="str">
        <f t="shared" si="5"/>
        <v>FUT</v>
      </c>
      <c r="M14" s="94" t="str">
        <f t="shared" si="6"/>
        <v>obj_007ae#0001</v>
      </c>
      <c r="N14" s="146" t="str">
        <f>IFERROR(_xll.qlRateHelperQuoteName(M14,Trigger),"--")</f>
        <v>FEIH6_LCHQuote</v>
      </c>
      <c r="O14" s="210">
        <f>IFERROR(_xll.qlRateHelperQuoteValue($M14,Trigger),"--")</f>
        <v>100.04090000000001</v>
      </c>
      <c r="P14" s="97" t="b">
        <v>1</v>
      </c>
      <c r="Q14" s="94">
        <v>20</v>
      </c>
      <c r="R14" s="94">
        <v>1</v>
      </c>
      <c r="S14" s="99">
        <f>IFERROR(_xll.qlRateHelperEarliestDate(M14,Trigger),"--")</f>
        <v>42445</v>
      </c>
      <c r="T14" s="99">
        <f>IFERROR(_xll.qlRateHelperPillarDate(M14,Trigger),"--")</f>
        <v>42536</v>
      </c>
      <c r="V14" s="4" t="str">
        <f t="shared" si="0"/>
        <v>FUT</v>
      </c>
      <c r="W14" s="4" t="str">
        <v>obj_007aa</v>
      </c>
      <c r="X14" s="4" t="str">
        <f>IFERROR(_xll.qlRateHelperQuoteName(W14,Trigger),"")</f>
        <v>FEIZ7_LCHQuote</v>
      </c>
      <c r="Y14" s="70">
        <f>IFERROR(_xll.qlRateHelperRate(W14,Trigger),"")</f>
        <v>1.5249999999999986E-3</v>
      </c>
      <c r="Z14" s="104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43089</v>
      </c>
      <c r="AB14" s="5">
        <f>IFERROR(_xll.qlRateHelperPillarDate(W14,Trigger),"")</f>
        <v>43180</v>
      </c>
      <c r="AC14" s="70">
        <v>9.1442710149156544E-5</v>
      </c>
      <c r="AD14" s="169">
        <v>43714</v>
      </c>
      <c r="AE14" s="170">
        <v>2.5294011968390101E-3</v>
      </c>
      <c r="AF14" s="172">
        <f>_xll.qlYieldTSZeroRate(yieldcurve1_STD,$AD14,"ACTUAL/365 (FIXED)",,,TRUE,Trigger)-AE14</f>
        <v>4.3862670509363724E-6</v>
      </c>
      <c r="AG14" s="161"/>
    </row>
    <row r="15" spans="1:35" ht="11.25" customHeight="1" x14ac:dyDescent="0.2">
      <c r="A15" s="59" t="s">
        <v>94</v>
      </c>
      <c r="B15" s="116" t="b">
        <v>1</v>
      </c>
      <c r="C15" s="62" t="str">
        <f>_xll.qlIMMNextCode($C14,$B15,Trigger)</f>
        <v>Z5</v>
      </c>
      <c r="D15" s="123"/>
      <c r="E15" s="207">
        <f>_xll.qlIMMdate($C15,,Trigger)</f>
        <v>42354</v>
      </c>
      <c r="F15" s="207">
        <f>_xll.qlIMMNextDate($E15,,Trigger)</f>
        <v>42445</v>
      </c>
      <c r="G15" s="61" t="str">
        <f t="shared" si="7"/>
        <v>Euribor3M</v>
      </c>
      <c r="H15" s="119" t="str">
        <f t="shared" si="8"/>
        <v>FEIZ5_LCHQuote</v>
      </c>
      <c r="I15" s="119">
        <v>0</v>
      </c>
      <c r="J15" s="64" t="str">
        <f>_xll.qlFuturesRateHelper(,$H15,,$E15,$G15,$I15,FALSE,"customdate",$F15,Permanent,Trigger,ObjectOverwrite)</f>
        <v>obj_0079f#0001</v>
      </c>
      <c r="K15" s="48"/>
      <c r="L15" s="10" t="str">
        <f t="shared" si="5"/>
        <v>FUT</v>
      </c>
      <c r="M15" s="94" t="str">
        <f t="shared" si="6"/>
        <v>obj_007b2#0001</v>
      </c>
      <c r="N15" s="146" t="str">
        <f>IFERROR(_xll.qlRateHelperQuoteName(M15,Trigger),"--")</f>
        <v>FEIM6_LCHQuote</v>
      </c>
      <c r="O15" s="210">
        <f>IFERROR(_xll.qlRateHelperQuoteValue($M15,Trigger),"--")</f>
        <v>100.0367</v>
      </c>
      <c r="P15" s="97" t="b">
        <v>1</v>
      </c>
      <c r="Q15" s="94">
        <v>20</v>
      </c>
      <c r="R15" s="94">
        <v>1</v>
      </c>
      <c r="S15" s="99">
        <f>IFERROR(_xll.qlRateHelperEarliestDate(M15,Trigger),"--")</f>
        <v>42536</v>
      </c>
      <c r="T15" s="99">
        <f>IFERROR(_xll.qlRateHelperPillarDate(M15,Trigger),"--")</f>
        <v>42634</v>
      </c>
      <c r="V15" s="4" t="str">
        <f t="shared" si="0"/>
        <v>FUT</v>
      </c>
      <c r="W15" s="4" t="str">
        <v>obj_007a5</v>
      </c>
      <c r="X15" s="4" t="str">
        <f>IFERROR(_xll.qlRateHelperQuoteName(W15,Trigger),"")</f>
        <v>FEIH8_LCHQuote</v>
      </c>
      <c r="Y15" s="70">
        <f>IFERROR(_xll.qlRateHelperRate(W15,Trigger),"")</f>
        <v>2.055000000000029E-3</v>
      </c>
      <c r="Z15" s="104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43180</v>
      </c>
      <c r="AB15" s="5">
        <f>IFERROR(_xll.qlRateHelperPillarDate(W15,Trigger),"")</f>
        <v>43271</v>
      </c>
      <c r="AC15" s="70">
        <v>2.6964451551397903E-4</v>
      </c>
      <c r="AD15" s="169">
        <v>44079</v>
      </c>
      <c r="AE15" s="170">
        <v>3.7390249133745202E-3</v>
      </c>
      <c r="AF15" s="172">
        <f>_xll.qlYieldTSZeroRate(yieldcurve1_STD,$AD15,"ACTUAL/365 (FIXED)",,,TRUE,Trigger)-AE15</f>
        <v>4.296037477272141E-6</v>
      </c>
      <c r="AG15" s="161"/>
    </row>
    <row r="16" spans="1:35" ht="11.25" customHeight="1" x14ac:dyDescent="0.2">
      <c r="A16" s="59" t="s">
        <v>94</v>
      </c>
      <c r="B16" s="116" t="b">
        <v>1</v>
      </c>
      <c r="C16" s="62" t="str">
        <f>_xll.qlIMMNextCode($C15,$B16,Trigger)</f>
        <v>H6</v>
      </c>
      <c r="D16" s="123"/>
      <c r="E16" s="207">
        <f>_xll.qlIMMdate($C16,,Trigger)</f>
        <v>42445</v>
      </c>
      <c r="F16" s="207">
        <f>_xll.qlIMMNextDate($E16,,Trigger)</f>
        <v>42536</v>
      </c>
      <c r="G16" s="61" t="str">
        <f t="shared" si="7"/>
        <v>Euribor3M</v>
      </c>
      <c r="H16" s="119" t="str">
        <f t="shared" si="8"/>
        <v>FEIH6_LCHQuote</v>
      </c>
      <c r="I16" s="119">
        <v>0</v>
      </c>
      <c r="J16" s="64" t="str">
        <f>_xll.qlFuturesRateHelper(,$H16,,$E16,$G16,$I16,FALSE,"customdate",$F16,Permanent,Trigger,ObjectOverwrite)</f>
        <v>obj_007ae#0001</v>
      </c>
      <c r="K16" s="48"/>
      <c r="L16" s="10" t="str">
        <f t="shared" si="5"/>
        <v>FUT</v>
      </c>
      <c r="M16" s="94" t="str">
        <f t="shared" si="6"/>
        <v>obj_007a6#0001</v>
      </c>
      <c r="N16" s="146" t="str">
        <f>IFERROR(_xll.qlRateHelperQuoteName(M16,Trigger),"--")</f>
        <v>FEIU6_LCHQuote</v>
      </c>
      <c r="O16" s="210">
        <f>IFERROR(_xll.qlRateHelperQuoteValue($M16,Trigger),"--")</f>
        <v>100.02260000000001</v>
      </c>
      <c r="P16" s="97" t="b">
        <v>1</v>
      </c>
      <c r="Q16" s="94">
        <v>20</v>
      </c>
      <c r="R16" s="94">
        <v>1</v>
      </c>
      <c r="S16" s="99">
        <f>IFERROR(_xll.qlRateHelperEarliestDate(M16,Trigger),"--")</f>
        <v>42634</v>
      </c>
      <c r="T16" s="99">
        <f>IFERROR(_xll.qlRateHelperPillarDate(M16,Trigger),"--")</f>
        <v>42725</v>
      </c>
      <c r="V16" s="4" t="str">
        <f t="shared" si="0"/>
        <v>FUT</v>
      </c>
      <c r="W16" s="4" t="str">
        <v>obj_007af</v>
      </c>
      <c r="X16" s="4" t="str">
        <f>IFERROR(_xll.qlRateHelperQuoteName(W16,Trigger),"")</f>
        <v>FEIM8_LCHQuote</v>
      </c>
      <c r="Y16" s="70">
        <f>IFERROR(_xll.qlRateHelperRate(W16,Trigger),"")</f>
        <v>2.6829999999999909E-3</v>
      </c>
      <c r="Z16" s="104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43271</v>
      </c>
      <c r="AB16" s="5">
        <f>IFERROR(_xll.qlRateHelperPillarDate(W16,Trigger),"")</f>
        <v>43362</v>
      </c>
      <c r="AC16" s="70">
        <v>4.7083723822525391E-4</v>
      </c>
      <c r="AD16" s="169">
        <v>44444</v>
      </c>
      <c r="AE16" s="170">
        <v>5.0621557905913602E-3</v>
      </c>
      <c r="AF16" s="172">
        <f>_xll.qlYieldTSZeroRate(yieldcurve1_STD,$AD16,"ACTUAL/365 (FIXED)",,,TRUE,Trigger)-AE16</f>
        <v>3.7323057073710905E-6</v>
      </c>
      <c r="AG16" s="161"/>
    </row>
    <row r="17" spans="1:33" ht="11.25" customHeight="1" x14ac:dyDescent="0.2">
      <c r="A17" s="59" t="s">
        <v>94</v>
      </c>
      <c r="B17" s="116" t="b">
        <v>1</v>
      </c>
      <c r="C17" s="62" t="str">
        <f>_xll.qlIMMNextCode($C16,$B17,Trigger)</f>
        <v>M6</v>
      </c>
      <c r="D17" s="123"/>
      <c r="E17" s="207">
        <f>_xll.qlIMMdate($C17,,Trigger)</f>
        <v>42536</v>
      </c>
      <c r="F17" s="207">
        <f>_xll.qlIMMNextDate($E17,,Trigger)</f>
        <v>42634</v>
      </c>
      <c r="G17" s="61" t="str">
        <f t="shared" si="7"/>
        <v>Euribor3M</v>
      </c>
      <c r="H17" s="119" t="str">
        <f t="shared" si="8"/>
        <v>FEIM6_LCHQuote</v>
      </c>
      <c r="I17" s="119">
        <v>0</v>
      </c>
      <c r="J17" s="64" t="str">
        <f>_xll.qlFuturesRateHelper(,$H17,,$E17,$G17,$I17,FALSE,"customdate",$F17,Permanent,Trigger,ObjectOverwrite)</f>
        <v>obj_007b2#0001</v>
      </c>
      <c r="K17" s="48"/>
      <c r="L17" s="10" t="str">
        <f t="shared" si="5"/>
        <v>FUT</v>
      </c>
      <c r="M17" s="94" t="str">
        <f t="shared" si="6"/>
        <v>obj_007ac#0001</v>
      </c>
      <c r="N17" s="146" t="str">
        <f>IFERROR(_xll.qlRateHelperQuoteName(M17,Trigger),"--")</f>
        <v>FEIZ6_LCHQuote</v>
      </c>
      <c r="O17" s="210">
        <f>IFERROR(_xll.qlRateHelperQuoteValue($M17,Trigger),"--")</f>
        <v>99.998699999999999</v>
      </c>
      <c r="P17" s="97" t="b">
        <v>1</v>
      </c>
      <c r="Q17" s="94">
        <v>20</v>
      </c>
      <c r="R17" s="94">
        <v>1</v>
      </c>
      <c r="S17" s="99">
        <f>IFERROR(_xll.qlRateHelperEarliestDate(M17,Trigger),"--")</f>
        <v>42725</v>
      </c>
      <c r="T17" s="99">
        <f>IFERROR(_xll.qlRateHelperPillarDate(M17,Trigger),"--")</f>
        <v>42809</v>
      </c>
      <c r="V17" s="4" t="str">
        <f t="shared" si="0"/>
        <v>FUT</v>
      </c>
      <c r="W17" s="4" t="str">
        <v>obj_007a3</v>
      </c>
      <c r="X17" s="4" t="str">
        <f>IFERROR(_xll.qlRateHelperQuoteName(W17,Trigger),"")</f>
        <v>FEIU8_LCHQuote</v>
      </c>
      <c r="Y17" s="70">
        <f>IFERROR(_xll.qlRateHelperRate(W17,Trigger),"")</f>
        <v>3.5500000000000531E-3</v>
      </c>
      <c r="Z17" s="104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43362</v>
      </c>
      <c r="AB17" s="5">
        <f>IFERROR(_xll.qlRateHelperPillarDate(W17,Trigger),"")</f>
        <v>43453</v>
      </c>
      <c r="AC17" s="70">
        <v>7.0815479054477657E-4</v>
      </c>
      <c r="AD17" s="169">
        <v>44809</v>
      </c>
      <c r="AE17" s="170">
        <v>6.4377324287347298E-3</v>
      </c>
      <c r="AF17" s="172">
        <f>_xll.qlYieldTSZeroRate(yieldcurve1_STD,$AD17,"ACTUAL/365 (FIXED)",,,TRUE,Trigger)-AE17</f>
        <v>3.3369429041502086E-6</v>
      </c>
      <c r="AG17" s="161"/>
    </row>
    <row r="18" spans="1:33" ht="11.25" customHeight="1" x14ac:dyDescent="0.2">
      <c r="A18" s="59" t="s">
        <v>94</v>
      </c>
      <c r="B18" s="116" t="b">
        <v>1</v>
      </c>
      <c r="C18" s="62" t="str">
        <f>_xll.qlIMMNextCode($C17,$B18,Trigger)</f>
        <v>U6</v>
      </c>
      <c r="D18" s="123"/>
      <c r="E18" s="207">
        <f>_xll.qlIMMdate($C18,,Trigger)</f>
        <v>42634</v>
      </c>
      <c r="F18" s="207">
        <f>_xll.qlIMMNextDate($E18,,Trigger)</f>
        <v>42725</v>
      </c>
      <c r="G18" s="61" t="str">
        <f t="shared" si="7"/>
        <v>Euribor3M</v>
      </c>
      <c r="H18" s="119" t="str">
        <f t="shared" si="8"/>
        <v>FEIU6_LCHQuote</v>
      </c>
      <c r="I18" s="119">
        <v>0</v>
      </c>
      <c r="J18" s="64" t="str">
        <f>_xll.qlFuturesRateHelper(,$H18,,$E18,$G18,$I18,FALSE,"customdate",$F18,Permanent,Trigger,ObjectOverwrite)</f>
        <v>obj_007a6#0001</v>
      </c>
      <c r="K18" s="48"/>
      <c r="L18" s="10" t="str">
        <f t="shared" si="5"/>
        <v>FUT</v>
      </c>
      <c r="M18" s="94" t="str">
        <f t="shared" si="6"/>
        <v>obj_007a4#0001</v>
      </c>
      <c r="N18" s="146" t="str">
        <f>IFERROR(_xll.qlRateHelperQuoteName(M18,Trigger),"--")</f>
        <v>FEIH7_LCHQuote</v>
      </c>
      <c r="O18" s="210">
        <f>IFERROR(_xll.qlRateHelperQuoteValue($M18,Trigger),"--")</f>
        <v>99.970100000000002</v>
      </c>
      <c r="P18" s="97" t="b">
        <v>1</v>
      </c>
      <c r="Q18" s="94">
        <v>20</v>
      </c>
      <c r="R18" s="94">
        <v>1</v>
      </c>
      <c r="S18" s="99">
        <f>IFERROR(_xll.qlRateHelperEarliestDate(M18,Trigger),"--")</f>
        <v>42809</v>
      </c>
      <c r="T18" s="99">
        <f>IFERROR(_xll.qlRateHelperPillarDate(M18,Trigger),"--")</f>
        <v>42907</v>
      </c>
      <c r="V18" s="4" t="str">
        <f t="shared" si="0"/>
        <v>Sw</v>
      </c>
      <c r="W18" s="4" t="str">
        <v>obj_00698</v>
      </c>
      <c r="X18" s="4" t="str">
        <f>IFERROR(_xll.qlRateHelperQuoteName(W18,Trigger),"")</f>
        <v>EURAB6E4Y_LCHQuote</v>
      </c>
      <c r="Y18" s="70">
        <f>IFERROR(_xll.qlRateHelperRate(W18,Trigger),"")</f>
        <v>2.5507500000000001E-3</v>
      </c>
      <c r="Z18" s="104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42256</v>
      </c>
      <c r="AB18" s="5">
        <f>IFERROR(_xll.qlRateHelperPillarDate(W18,Trigger),"")</f>
        <v>43717</v>
      </c>
      <c r="AC18" s="70">
        <v>2.5547717474915903E-3</v>
      </c>
      <c r="AD18" s="169">
        <v>45174</v>
      </c>
      <c r="AE18" s="170">
        <v>7.7765728904259802E-3</v>
      </c>
      <c r="AF18" s="172">
        <f>_xll.qlYieldTSZeroRate(yieldcurve1_STD,$AD18,"ACTUAL/365 (FIXED)",,,TRUE,Trigger)-AE18</f>
        <v>3.0394979217869544E-6</v>
      </c>
      <c r="AG18" s="161"/>
    </row>
    <row r="19" spans="1:33" ht="11.25" customHeight="1" x14ac:dyDescent="0.2">
      <c r="A19" s="59" t="s">
        <v>94</v>
      </c>
      <c r="B19" s="116" t="b">
        <v>1</v>
      </c>
      <c r="C19" s="62" t="str">
        <f>_xll.qlIMMNextCode($C18,$B19,Trigger)</f>
        <v>Z6</v>
      </c>
      <c r="D19" s="123"/>
      <c r="E19" s="207">
        <f>_xll.qlIMMdate($C19,,Trigger)</f>
        <v>42725</v>
      </c>
      <c r="F19" s="207">
        <f>_xll.qlIMMNextDate($E19,,Trigger)</f>
        <v>42809</v>
      </c>
      <c r="G19" s="61" t="str">
        <f t="shared" si="7"/>
        <v>Euribor3M</v>
      </c>
      <c r="H19" s="119" t="str">
        <f t="shared" si="8"/>
        <v>FEIZ6_LCHQuote</v>
      </c>
      <c r="I19" s="119">
        <v>0</v>
      </c>
      <c r="J19" s="64" t="str">
        <f>_xll.qlFuturesRateHelper(,$H19,,$E19,$G19,$I19,FALSE,"customdate",$F19,Permanent,Trigger,ObjectOverwrite)</f>
        <v>obj_007ac#0001</v>
      </c>
      <c r="K19" s="48"/>
      <c r="L19" s="10" t="str">
        <f t="shared" si="5"/>
        <v>FUT</v>
      </c>
      <c r="M19" s="94" t="str">
        <f t="shared" si="6"/>
        <v>obj_007b4#0001</v>
      </c>
      <c r="N19" s="146" t="str">
        <f>IFERROR(_xll.qlRateHelperQuoteName(M19,Trigger),"--")</f>
        <v>FEIM7_LCHQuote</v>
      </c>
      <c r="O19" s="210">
        <f>IFERROR(_xll.qlRateHelperQuoteValue($M19,Trigger),"--")</f>
        <v>99.936599999999999</v>
      </c>
      <c r="P19" s="97" t="b">
        <v>1</v>
      </c>
      <c r="Q19" s="94">
        <v>20</v>
      </c>
      <c r="R19" s="94">
        <v>1</v>
      </c>
      <c r="S19" s="99">
        <f>IFERROR(_xll.qlRateHelperEarliestDate(M19,Trigger),"--")</f>
        <v>42907</v>
      </c>
      <c r="T19" s="99">
        <f>IFERROR(_xll.qlRateHelperPillarDate(M19,Trigger),"--")</f>
        <v>42998</v>
      </c>
      <c r="V19" s="4" t="str">
        <f t="shared" si="0"/>
        <v>Sw</v>
      </c>
      <c r="W19" s="4" t="str">
        <v>obj_00619</v>
      </c>
      <c r="X19" s="4" t="str">
        <f>IFERROR(_xll.qlRateHelperQuoteName(W19,Trigger),"")</f>
        <v>EURAB6E5Y_LCHQuote</v>
      </c>
      <c r="Y19" s="70">
        <f>IFERROR(_xll.qlRateHelperRate(W19,Trigger),"")</f>
        <v>3.7490000000000002E-3</v>
      </c>
      <c r="Z19" s="104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42256</v>
      </c>
      <c r="AB19" s="5">
        <f>IFERROR(_xll.qlRateHelperPillarDate(W19,Trigger),"")</f>
        <v>44083</v>
      </c>
      <c r="AC19" s="70">
        <v>3.756454091220419E-3</v>
      </c>
      <c r="AD19" s="169">
        <v>45539</v>
      </c>
      <c r="AE19" s="170">
        <v>9.0089820739377002E-3</v>
      </c>
      <c r="AF19" s="172">
        <f>_xll.qlYieldTSZeroRate(yieldcurve1_STD,$AD19,"ACTUAL/365 (FIXED)",,,TRUE,Trigger)-AE19</f>
        <v>3.1288744605107582E-6</v>
      </c>
      <c r="AG19" s="161"/>
    </row>
    <row r="20" spans="1:33" ht="11.25" customHeight="1" x14ac:dyDescent="0.2">
      <c r="A20" s="59" t="s">
        <v>94</v>
      </c>
      <c r="B20" s="116" t="b">
        <v>1</v>
      </c>
      <c r="C20" s="62" t="str">
        <f>_xll.qlIMMNextCode($C19,$B20,Trigger)</f>
        <v>H7</v>
      </c>
      <c r="D20" s="123"/>
      <c r="E20" s="207">
        <f>_xll.qlIMMdate($C20,,Trigger)</f>
        <v>42809</v>
      </c>
      <c r="F20" s="207">
        <f>_xll.qlIMMNextDate($E20,,Trigger)</f>
        <v>42907</v>
      </c>
      <c r="G20" s="61" t="str">
        <f t="shared" si="7"/>
        <v>Euribor3M</v>
      </c>
      <c r="H20" s="119" t="str">
        <f t="shared" si="8"/>
        <v>FEIH7_LCHQuote</v>
      </c>
      <c r="I20" s="119">
        <v>0</v>
      </c>
      <c r="J20" s="64" t="str">
        <f>_xll.qlFuturesRateHelper(,$H20,,$E20,$G20,$I20,FALSE,"customdate",$F20,Permanent,Trigger,ObjectOverwrite)</f>
        <v>obj_007a4#0001</v>
      </c>
      <c r="K20" s="48"/>
      <c r="L20" s="10" t="str">
        <f t="shared" si="5"/>
        <v>FUT</v>
      </c>
      <c r="M20" s="94" t="str">
        <f t="shared" si="6"/>
        <v>obj_007b3#0001</v>
      </c>
      <c r="N20" s="146" t="str">
        <f>IFERROR(_xll.qlRateHelperQuoteName(M20,Trigger),"--")</f>
        <v>FEIU7_LCHQuote</v>
      </c>
      <c r="O20" s="210">
        <f>IFERROR(_xll.qlRateHelperQuoteValue($M20,Trigger),"--")</f>
        <v>99.893200000000007</v>
      </c>
      <c r="P20" s="97" t="b">
        <v>1</v>
      </c>
      <c r="Q20" s="94">
        <v>20</v>
      </c>
      <c r="R20" s="94">
        <v>1</v>
      </c>
      <c r="S20" s="99">
        <f>IFERROR(_xll.qlRateHelperEarliestDate(M20,Trigger),"--")</f>
        <v>42998</v>
      </c>
      <c r="T20" s="99">
        <f>IFERROR(_xll.qlRateHelperPillarDate(M20,Trigger),"--")</f>
        <v>43089</v>
      </c>
      <c r="V20" s="4" t="str">
        <f t="shared" si="0"/>
        <v>Sw</v>
      </c>
      <c r="W20" s="4" t="str">
        <v>obj_00613</v>
      </c>
      <c r="X20" s="4" t="str">
        <f>IFERROR(_xll.qlRateHelperQuoteName(W20,Trigger),"")</f>
        <v>EURAB6E6Y_LCHQuote</v>
      </c>
      <c r="Y20" s="70">
        <f>IFERROR(_xll.qlRateHelperRate(W20,Trigger),"")</f>
        <v>5.0607500000000001E-3</v>
      </c>
      <c r="Z20" s="104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42256</v>
      </c>
      <c r="AB20" s="5">
        <f>IFERROR(_xll.qlRateHelperPillarDate(W20,Trigger),"")</f>
        <v>44448</v>
      </c>
      <c r="AC20" s="70">
        <v>5.0803970603439004E-3</v>
      </c>
      <c r="AD20" s="169">
        <v>45904</v>
      </c>
      <c r="AE20" s="170">
        <v>1.0101128179206E-2</v>
      </c>
      <c r="AF20" s="172">
        <f>_xll.qlYieldTSZeroRate(yieldcurve1_STD,$AD20,"ACTUAL/365 (FIXED)",,,TRUE,Trigger)-AE20</f>
        <v>3.1240199279917308E-6</v>
      </c>
      <c r="AG20" s="161"/>
    </row>
    <row r="21" spans="1:33" ht="11.25" customHeight="1" x14ac:dyDescent="0.2">
      <c r="A21" s="59" t="s">
        <v>94</v>
      </c>
      <c r="B21" s="116" t="b">
        <v>1</v>
      </c>
      <c r="C21" s="62" t="str">
        <f>_xll.qlIMMNextCode($C20,$B21,Trigger)</f>
        <v>M7</v>
      </c>
      <c r="D21" s="123"/>
      <c r="E21" s="207">
        <f>_xll.qlIMMdate($C21,,Trigger)</f>
        <v>42907</v>
      </c>
      <c r="F21" s="207">
        <f>_xll.qlIMMNextDate($E21,,Trigger)</f>
        <v>42998</v>
      </c>
      <c r="G21" s="61" t="str">
        <f t="shared" si="7"/>
        <v>Euribor3M</v>
      </c>
      <c r="H21" s="119" t="str">
        <f t="shared" si="8"/>
        <v>FEIM7_LCHQuote</v>
      </c>
      <c r="I21" s="119">
        <v>0</v>
      </c>
      <c r="J21" s="64" t="str">
        <f>_xll.qlFuturesRateHelper(,$H21,,$E21,$G21,$I21,FALSE,"customdate",$F21,Permanent,Trigger,ObjectOverwrite)</f>
        <v>obj_007b4#0001</v>
      </c>
      <c r="K21" s="48"/>
      <c r="L21" s="10" t="str">
        <f t="shared" si="5"/>
        <v>FUT</v>
      </c>
      <c r="M21" s="94" t="str">
        <f t="shared" si="6"/>
        <v>obj_007aa#0001</v>
      </c>
      <c r="N21" s="146" t="str">
        <f>IFERROR(_xll.qlRateHelperQuoteName(M21,Trigger),"--")</f>
        <v>FEIZ7_LCHQuote</v>
      </c>
      <c r="O21" s="210">
        <f>IFERROR(_xll.qlRateHelperQuoteValue($M21,Trigger),"--")</f>
        <v>99.847499999999997</v>
      </c>
      <c r="P21" s="97" t="b">
        <v>1</v>
      </c>
      <c r="Q21" s="94">
        <v>20</v>
      </c>
      <c r="R21" s="94">
        <v>1</v>
      </c>
      <c r="S21" s="99">
        <f>IFERROR(_xll.qlRateHelperEarliestDate(M21,Trigger),"--")</f>
        <v>43089</v>
      </c>
      <c r="T21" s="99">
        <f>IFERROR(_xll.qlRateHelperPillarDate(M21,Trigger),"--")</f>
        <v>43180</v>
      </c>
      <c r="V21" s="4" t="str">
        <f t="shared" si="0"/>
        <v>Sw</v>
      </c>
      <c r="W21" s="4" t="str">
        <v>obj_0061d</v>
      </c>
      <c r="X21" s="4" t="str">
        <f>IFERROR(_xll.qlRateHelperQuoteName(W21,Trigger),"")</f>
        <v>EURAB6E7Y_LCHQuote</v>
      </c>
      <c r="Y21" s="70">
        <f>IFERROR(_xll.qlRateHelperRate(W21,Trigger),"")</f>
        <v>6.4152499999999999E-3</v>
      </c>
      <c r="Z21" s="104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42256</v>
      </c>
      <c r="AB21" s="5">
        <f>IFERROR(_xll.qlRateHelperPillarDate(W21,Trigger),"")</f>
        <v>44813</v>
      </c>
      <c r="AC21" s="70">
        <v>6.4561460731490869E-3</v>
      </c>
      <c r="AD21" s="169">
        <v>46634</v>
      </c>
      <c r="AE21" s="170">
        <v>1.19899327339102E-2</v>
      </c>
      <c r="AF21" s="172">
        <f>_xll.qlYieldTSZeroRate(yieldcurve1_STD,$AD21,"ACTUAL/365 (FIXED)",,,TRUE,Trigger)-AE21</f>
        <v>2.7346501725641209E-6</v>
      </c>
      <c r="AG21" s="161"/>
    </row>
    <row r="22" spans="1:33" ht="11.25" customHeight="1" x14ac:dyDescent="0.2">
      <c r="A22" s="59" t="s">
        <v>94</v>
      </c>
      <c r="B22" s="116" t="b">
        <v>1</v>
      </c>
      <c r="C22" s="62" t="str">
        <f>_xll.qlIMMNextCode($C21,$B22,Trigger)</f>
        <v>U7</v>
      </c>
      <c r="D22" s="123"/>
      <c r="E22" s="207">
        <f>_xll.qlIMMdate($C22,,Trigger)</f>
        <v>42998</v>
      </c>
      <c r="F22" s="207">
        <f>_xll.qlIMMNextDate($E22,,Trigger)</f>
        <v>43089</v>
      </c>
      <c r="G22" s="61" t="str">
        <f t="shared" si="7"/>
        <v>Euribor3M</v>
      </c>
      <c r="H22" s="119" t="str">
        <f t="shared" si="8"/>
        <v>FEIU7_LCHQuote</v>
      </c>
      <c r="I22" s="119">
        <v>0</v>
      </c>
      <c r="J22" s="64" t="str">
        <f>_xll.qlFuturesRateHelper(,$H22,,$E22,$G22,$I22,FALSE,"customdate",$F22,Permanent,Trigger,ObjectOverwrite)</f>
        <v>obj_007b3#0001</v>
      </c>
      <c r="K22" s="48"/>
      <c r="L22" s="10" t="str">
        <f t="shared" si="5"/>
        <v>FUT</v>
      </c>
      <c r="M22" s="94" t="str">
        <f t="shared" si="6"/>
        <v>obj_007a5#0001</v>
      </c>
      <c r="N22" s="146" t="str">
        <f>IFERROR(_xll.qlRateHelperQuoteName(M22,Trigger),"--")</f>
        <v>FEIH8_LCHQuote</v>
      </c>
      <c r="O22" s="210">
        <f>IFERROR(_xll.qlRateHelperQuoteValue($M22,Trigger),"--")</f>
        <v>99.794499999999999</v>
      </c>
      <c r="P22" s="97" t="b">
        <v>1</v>
      </c>
      <c r="Q22" s="94">
        <v>20</v>
      </c>
      <c r="R22" s="94">
        <v>1</v>
      </c>
      <c r="S22" s="99">
        <f>IFERROR(_xll.qlRateHelperEarliestDate(M22,Trigger),"--")</f>
        <v>43180</v>
      </c>
      <c r="T22" s="99">
        <f>IFERROR(_xll.qlRateHelperPillarDate(M22,Trigger),"--")</f>
        <v>43271</v>
      </c>
      <c r="V22" s="4" t="str">
        <f t="shared" si="0"/>
        <v>Sw</v>
      </c>
      <c r="W22" s="4" t="str">
        <v>obj_00628</v>
      </c>
      <c r="X22" s="4" t="str">
        <f>IFERROR(_xll.qlRateHelperQuoteName(W22,Trigger),"")</f>
        <v>EURAB6E8Y_LCHQuote</v>
      </c>
      <c r="Y22" s="70">
        <f>IFERROR(_xll.qlRateHelperRate(W22,Trigger),"")</f>
        <v>7.7302500000000001E-3</v>
      </c>
      <c r="Z22" s="104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42256</v>
      </c>
      <c r="AB22" s="5">
        <f>IFERROR(_xll.qlRateHelperPillarDate(W22,Trigger),"")</f>
        <v>45180</v>
      </c>
      <c r="AC22" s="70">
        <v>7.8016090584064742E-3</v>
      </c>
      <c r="AD22" s="169">
        <v>47729</v>
      </c>
      <c r="AE22" s="170">
        <v>1.39326301833497E-2</v>
      </c>
      <c r="AF22" s="172">
        <f>_xll.qlYieldTSZeroRate(yieldcurve1_STD,$AD22,"ACTUAL/365 (FIXED)",,,TRUE,Trigger)-AE22</f>
        <v>3.659705471899255E-6</v>
      </c>
      <c r="AG22" s="161"/>
    </row>
    <row r="23" spans="1:33" ht="11.25" customHeight="1" x14ac:dyDescent="0.2">
      <c r="A23" s="59" t="s">
        <v>94</v>
      </c>
      <c r="B23" s="116" t="b">
        <v>1</v>
      </c>
      <c r="C23" s="62" t="str">
        <f>_xll.qlIMMNextCode($C22,$B23,Trigger)</f>
        <v>Z7</v>
      </c>
      <c r="D23" s="123"/>
      <c r="E23" s="207">
        <f>_xll.qlIMMdate($C23,,Trigger)</f>
        <v>43089</v>
      </c>
      <c r="F23" s="207">
        <f>_xll.qlIMMNextDate($E23,,Trigger)</f>
        <v>43180</v>
      </c>
      <c r="G23" s="61" t="str">
        <f t="shared" si="7"/>
        <v>Euribor3M</v>
      </c>
      <c r="H23" s="119" t="str">
        <f t="shared" si="8"/>
        <v>FEIZ7_LCHQuote</v>
      </c>
      <c r="I23" s="119">
        <v>0</v>
      </c>
      <c r="J23" s="64" t="str">
        <f>_xll.qlFuturesRateHelper(,$H23,,$E23,$G23,$I23,FALSE,"customdate",$F23,Permanent,Trigger,ObjectOverwrite)</f>
        <v>obj_007aa#0001</v>
      </c>
      <c r="K23" s="48"/>
      <c r="L23" s="10" t="str">
        <f t="shared" si="5"/>
        <v>FUT</v>
      </c>
      <c r="M23" s="94" t="str">
        <f t="shared" si="6"/>
        <v>obj_007af#0001</v>
      </c>
      <c r="N23" s="146" t="str">
        <f>IFERROR(_xll.qlRateHelperQuoteName(M23,Trigger),"--")</f>
        <v>FEIM8_LCHQuote</v>
      </c>
      <c r="O23" s="210">
        <f>IFERROR(_xll.qlRateHelperQuoteValue($M23,Trigger),"--")</f>
        <v>99.731700000000004</v>
      </c>
      <c r="P23" s="97" t="b">
        <v>1</v>
      </c>
      <c r="Q23" s="94">
        <v>20</v>
      </c>
      <c r="R23" s="94">
        <v>1</v>
      </c>
      <c r="S23" s="99">
        <f>IFERROR(_xll.qlRateHelperEarliestDate(M23,Trigger),"--")</f>
        <v>43271</v>
      </c>
      <c r="T23" s="99">
        <f>IFERROR(_xll.qlRateHelperPillarDate(M23,Trigger),"--")</f>
        <v>43362</v>
      </c>
      <c r="V23" s="4" t="str">
        <f t="shared" si="0"/>
        <v>Sw</v>
      </c>
      <c r="W23" s="4" t="str">
        <v>obj_0061e</v>
      </c>
      <c r="X23" s="4" t="str">
        <f>IFERROR(_xll.qlRateHelperQuoteName(W23,Trigger),"")</f>
        <v>EURAB6E9Y_LCHQuote</v>
      </c>
      <c r="Y23" s="70">
        <f>IFERROR(_xll.qlRateHelperRate(W23,Trigger),"")</f>
        <v>8.9230000000000004E-3</v>
      </c>
      <c r="Z23" s="104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42256</v>
      </c>
      <c r="AB23" s="5">
        <f>IFERROR(_xll.qlRateHelperPillarDate(W23,Trigger),"")</f>
        <v>45544</v>
      </c>
      <c r="AC23" s="70">
        <v>9.0289703061975438E-3</v>
      </c>
      <c r="AD23" s="169">
        <v>49554</v>
      </c>
      <c r="AE23" s="170">
        <v>1.55148822104678E-2</v>
      </c>
      <c r="AF23" s="172">
        <f>_xll.qlYieldTSZeroRate(yieldcurve1_STD,$AD23,"ACTUAL/365 (FIXED)",,,TRUE,Trigger)-AE23</f>
        <v>2.7081931288155947E-6</v>
      </c>
      <c r="AG23" s="161"/>
    </row>
    <row r="24" spans="1:33" ht="11.25" customHeight="1" x14ac:dyDescent="0.2">
      <c r="A24" s="59" t="s">
        <v>94</v>
      </c>
      <c r="B24" s="116" t="b">
        <v>1</v>
      </c>
      <c r="C24" s="62" t="str">
        <f>_xll.qlIMMNextCode($C23,$B24,Trigger)</f>
        <v>H8</v>
      </c>
      <c r="D24" s="123"/>
      <c r="E24" s="207">
        <f>_xll.qlIMMdate($C24,,Trigger)</f>
        <v>43180</v>
      </c>
      <c r="F24" s="207">
        <f>_xll.qlIMMNextDate($E24,,Trigger)</f>
        <v>43271</v>
      </c>
      <c r="G24" s="61" t="str">
        <f t="shared" si="7"/>
        <v>Euribor3M</v>
      </c>
      <c r="H24" s="119" t="str">
        <f t="shared" si="8"/>
        <v>FEIH8_LCHQuote</v>
      </c>
      <c r="I24" s="119">
        <v>0</v>
      </c>
      <c r="J24" s="64" t="str">
        <f>_xll.qlFuturesRateHelper(,$H24,,$E24,$G24,$I24,FALSE,"customdate",$F24,Permanent,Trigger,ObjectOverwrite)</f>
        <v>obj_007a5#0001</v>
      </c>
      <c r="K24" s="48"/>
      <c r="L24" s="10" t="str">
        <f t="shared" si="5"/>
        <v>FUT</v>
      </c>
      <c r="M24" s="94" t="str">
        <f t="shared" si="6"/>
        <v>obj_007a3#0001</v>
      </c>
      <c r="N24" s="146" t="str">
        <f>IFERROR(_xll.qlRateHelperQuoteName(M24,Trigger),"--")</f>
        <v>FEIU8_LCHQuote</v>
      </c>
      <c r="O24" s="210">
        <f>IFERROR(_xll.qlRateHelperQuoteValue($M24,Trigger),"--")</f>
        <v>99.644999999999996</v>
      </c>
      <c r="P24" s="97" t="b">
        <v>1</v>
      </c>
      <c r="Q24" s="94">
        <v>20</v>
      </c>
      <c r="R24" s="94">
        <v>1</v>
      </c>
      <c r="S24" s="99">
        <f>IFERROR(_xll.qlRateHelperEarliestDate(M24,Trigger),"--")</f>
        <v>43362</v>
      </c>
      <c r="T24" s="99">
        <f>IFERROR(_xll.qlRateHelperPillarDate(M24,Trigger),"--")</f>
        <v>43453</v>
      </c>
      <c r="V24" s="4" t="str">
        <f t="shared" si="0"/>
        <v>Sw</v>
      </c>
      <c r="W24" s="4" t="str">
        <v>obj_00636</v>
      </c>
      <c r="X24" s="4" t="str">
        <f>IFERROR(_xll.qlRateHelperQuoteName(W24,Trigger),"")</f>
        <v>EURAB6E10Y_LCHQuote</v>
      </c>
      <c r="Y24" s="70">
        <f>IFERROR(_xll.qlRateHelperRate(W24,Trigger),"")</f>
        <v>9.9725000000000005E-3</v>
      </c>
      <c r="Z24" s="104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42256</v>
      </c>
      <c r="AB24" s="5">
        <f>IFERROR(_xll.qlRateHelperPillarDate(W24,Trigger),"")</f>
        <v>45909</v>
      </c>
      <c r="AC24" s="70">
        <v>1.0119186669869218E-2</v>
      </c>
      <c r="AD24" s="169">
        <v>51379</v>
      </c>
      <c r="AE24" s="170">
        <v>1.5787868225812799E-2</v>
      </c>
      <c r="AF24" s="172">
        <f>_xll.qlYieldTSZeroRate(yieldcurve1_STD,$AD24,"ACTUAL/365 (FIXED)",,,TRUE,Trigger)-AE24</f>
        <v>2.1725871892017135E-6</v>
      </c>
      <c r="AG24" s="161"/>
    </row>
    <row r="25" spans="1:33" ht="11.25" customHeight="1" x14ac:dyDescent="0.2">
      <c r="A25" s="59" t="s">
        <v>94</v>
      </c>
      <c r="B25" s="116" t="b">
        <v>1</v>
      </c>
      <c r="C25" s="62" t="str">
        <f>_xll.qlIMMNextCode($C24,$B25,Trigger)</f>
        <v>M8</v>
      </c>
      <c r="D25" s="123"/>
      <c r="E25" s="207">
        <f>_xll.qlIMMdate($C25,,Trigger)</f>
        <v>43271</v>
      </c>
      <c r="F25" s="207">
        <f>_xll.qlIMMNextDate($E25,,Trigger)</f>
        <v>43362</v>
      </c>
      <c r="G25" s="61" t="str">
        <f t="shared" si="7"/>
        <v>Euribor3M</v>
      </c>
      <c r="H25" s="119" t="str">
        <f t="shared" si="8"/>
        <v>FEIM8_LCHQuote</v>
      </c>
      <c r="I25" s="119">
        <v>0</v>
      </c>
      <c r="J25" s="64" t="str">
        <f>_xll.qlFuturesRateHelper(,$H25,,$E25,$G25,$I25,FALSE,"customdate",$F25,Permanent,Trigger,ObjectOverwrite)</f>
        <v>obj_007af#0001</v>
      </c>
      <c r="K25" s="48"/>
      <c r="L25" s="10" t="str">
        <f t="shared" si="5"/>
        <v>FUT</v>
      </c>
      <c r="M25" s="94" t="str">
        <f t="shared" si="6"/>
        <v>obj_007a8#0001</v>
      </c>
      <c r="N25" s="146" t="str">
        <f>IFERROR(_xll.qlRateHelperQuoteName(M25,Trigger),"--")</f>
        <v>FEIZ8_LCHQuote</v>
      </c>
      <c r="O25" s="210" t="str">
        <f>IFERROR(_xll.qlRateHelperQuoteValue($M25,Trigger),"--")</f>
        <v>--</v>
      </c>
      <c r="P25" s="97" t="b">
        <v>1</v>
      </c>
      <c r="Q25" s="94">
        <v>20</v>
      </c>
      <c r="R25" s="94">
        <v>1</v>
      </c>
      <c r="S25" s="99">
        <f>IFERROR(_xll.qlRateHelperEarliestDate(M25,Trigger),"--")</f>
        <v>43453</v>
      </c>
      <c r="T25" s="99">
        <f>IFERROR(_xll.qlRateHelperPillarDate(M25,Trigger),"--")</f>
        <v>43544</v>
      </c>
      <c r="V25" s="4" t="str">
        <f t="shared" si="0"/>
        <v>Sw</v>
      </c>
      <c r="W25" s="4" t="str">
        <v>obj_00612</v>
      </c>
      <c r="X25" s="4" t="str">
        <f>IFERROR(_xll.qlRateHelperQuoteName(W25,Trigger),"")</f>
        <v>EURAB6E12Y_LCHQuote</v>
      </c>
      <c r="Y25" s="70">
        <f>IFERROR(_xll.qlRateHelperRate(W25,Trigger),"")</f>
        <v>1.17675E-2</v>
      </c>
      <c r="Z25" s="104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42256</v>
      </c>
      <c r="AB25" s="5">
        <f>IFERROR(_xll.qlRateHelperPillarDate(W25,Trigger),"")</f>
        <v>46639</v>
      </c>
      <c r="AC25" s="70">
        <v>1.2005587940732507E-2</v>
      </c>
      <c r="AD25" s="169">
        <v>53204</v>
      </c>
      <c r="AE25" s="170">
        <v>1.5823282271137998E-2</v>
      </c>
      <c r="AF25" s="172">
        <f>_xll.qlYieldTSZeroRate(yieldcurve1_STD,$AD25,"ACTUAL/365 (FIXED)",,,TRUE,Trigger)-AE25</f>
        <v>1.7961848906011824E-6</v>
      </c>
      <c r="AG25" s="161"/>
    </row>
    <row r="26" spans="1:33" ht="11.25" customHeight="1" x14ac:dyDescent="0.2">
      <c r="A26" s="59" t="s">
        <v>94</v>
      </c>
      <c r="B26" s="116" t="b">
        <v>1</v>
      </c>
      <c r="C26" s="62" t="str">
        <f>_xll.qlIMMNextCode($C25,$B26,Trigger)</f>
        <v>U8</v>
      </c>
      <c r="D26" s="123"/>
      <c r="E26" s="207">
        <f>_xll.qlIMMdate($C26,,Trigger)</f>
        <v>43362</v>
      </c>
      <c r="F26" s="207">
        <f>_xll.qlIMMNextDate($E26,,Trigger)</f>
        <v>43453</v>
      </c>
      <c r="G26" s="61" t="str">
        <f t="shared" si="7"/>
        <v>Euribor3M</v>
      </c>
      <c r="H26" s="119" t="str">
        <f t="shared" si="8"/>
        <v>FEIU8_LCHQuote</v>
      </c>
      <c r="I26" s="119">
        <v>0</v>
      </c>
      <c r="J26" s="64" t="str">
        <f>_xll.qlFuturesRateHelper(,$H26,,$E26,$G26,$I26,FALSE,"customdate",$F26,Permanent,Trigger,ObjectOverwrite)</f>
        <v>obj_007a3#0001</v>
      </c>
      <c r="K26" s="48"/>
      <c r="L26" s="10" t="str">
        <f t="shared" si="5"/>
        <v>FUT</v>
      </c>
      <c r="M26" s="94" t="str">
        <f t="shared" si="6"/>
        <v>obj_007a9#0001</v>
      </c>
      <c r="N26" s="146" t="str">
        <f>IFERROR(_xll.qlRateHelperQuoteName(M26,Trigger),"--")</f>
        <v>FEIH9_LCHQuote</v>
      </c>
      <c r="O26" s="210" t="str">
        <f>IFERROR(_xll.qlRateHelperQuoteValue($M26,Trigger),"--")</f>
        <v>--</v>
      </c>
      <c r="P26" s="97" t="b">
        <v>1</v>
      </c>
      <c r="Q26" s="94">
        <v>20</v>
      </c>
      <c r="R26" s="94">
        <v>1</v>
      </c>
      <c r="S26" s="99">
        <f>IFERROR(_xll.qlRateHelperEarliestDate(M26,Trigger),"--")</f>
        <v>43544</v>
      </c>
      <c r="T26" s="99">
        <f>IFERROR(_xll.qlRateHelperPillarDate(M26,Trigger),"--")</f>
        <v>43635</v>
      </c>
      <c r="V26" s="4" t="str">
        <f t="shared" si="0"/>
        <v>Sw</v>
      </c>
      <c r="W26" s="4" t="str">
        <v>obj_00635</v>
      </c>
      <c r="X26" s="4" t="str">
        <f>IFERROR(_xll.qlRateHelperQuoteName(W26,Trigger),"")</f>
        <v>EURAB6E15Y_LCHQuote</v>
      </c>
      <c r="Y26" s="70">
        <f>IFERROR(_xll.qlRateHelperRate(W26,Trigger),"")</f>
        <v>1.359E-2</v>
      </c>
      <c r="Z26" s="104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42256</v>
      </c>
      <c r="AB26" s="5">
        <f>IFERROR(_xll.qlRateHelperPillarDate(W26,Trigger),"")</f>
        <v>47735</v>
      </c>
      <c r="AC26" s="70">
        <v>1.394691760596704E-2</v>
      </c>
      <c r="AD26" s="169">
        <v>55029</v>
      </c>
      <c r="AE26" s="170">
        <v>1.5882728454697698E-2</v>
      </c>
      <c r="AF26" s="172">
        <f>_xll.qlYieldTSZeroRate(yieldcurve1_STD,$AD26,"ACTUAL/365 (FIXED)",,,TRUE,Trigger)-AE26</f>
        <v>1.553617874808233E-6</v>
      </c>
      <c r="AG26" s="161"/>
    </row>
    <row r="27" spans="1:33" ht="11.25" customHeight="1" x14ac:dyDescent="0.2">
      <c r="A27" s="59" t="s">
        <v>94</v>
      </c>
      <c r="B27" s="116" t="b">
        <v>1</v>
      </c>
      <c r="C27" s="62" t="str">
        <f>_xll.qlIMMNextCode($C26,$B27,Trigger)</f>
        <v>Z8</v>
      </c>
      <c r="D27" s="123"/>
      <c r="E27" s="207">
        <f>_xll.qlIMMdate($C27,,Trigger)</f>
        <v>43453</v>
      </c>
      <c r="F27" s="207">
        <f>_xll.qlIMMNextDate($E27,,Trigger)</f>
        <v>43544</v>
      </c>
      <c r="G27" s="61" t="str">
        <f t="shared" si="7"/>
        <v>Euribor3M</v>
      </c>
      <c r="H27" s="119" t="str">
        <f t="shared" si="8"/>
        <v>FEIZ8_LCHQuote</v>
      </c>
      <c r="I27" s="119">
        <v>0</v>
      </c>
      <c r="J27" s="64" t="str">
        <f>_xll.qlFuturesRateHelper(,$H27,,$E27,$G27,$I27,FALSE,"customdate",$F27,Permanent,Trigger,ObjectOverwrite)</f>
        <v>obj_007a8#0001</v>
      </c>
      <c r="K27" s="48"/>
      <c r="L27" s="10" t="str">
        <f t="shared" si="5"/>
        <v>FUT</v>
      </c>
      <c r="M27" s="94" t="str">
        <f t="shared" si="6"/>
        <v>obj_007ad#0001</v>
      </c>
      <c r="N27" s="146" t="str">
        <f>IFERROR(_xll.qlRateHelperQuoteName(M27,Trigger),"--")</f>
        <v>FEIM9_LCHQuote</v>
      </c>
      <c r="O27" s="210" t="str">
        <f>IFERROR(_xll.qlRateHelperQuoteValue($M27,Trigger),"--")</f>
        <v>--</v>
      </c>
      <c r="P27" s="97" t="b">
        <v>1</v>
      </c>
      <c r="Q27" s="94">
        <v>20</v>
      </c>
      <c r="R27" s="94">
        <v>1</v>
      </c>
      <c r="S27" s="99">
        <f>IFERROR(_xll.qlRateHelperEarliestDate(M27,Trigger),"--")</f>
        <v>43635</v>
      </c>
      <c r="T27" s="99">
        <f>IFERROR(_xll.qlRateHelperPillarDate(M27,Trigger),"--")</f>
        <v>43726</v>
      </c>
      <c r="V27" s="4" t="str">
        <f t="shared" si="0"/>
        <v>Sw</v>
      </c>
      <c r="W27" s="4" t="str">
        <v>obj_00637</v>
      </c>
      <c r="X27" s="4" t="str">
        <f>IFERROR(_xll.qlRateHelperQuoteName(W27,Trigger),"")</f>
        <v>EURAB6E20Y_LCHQuote</v>
      </c>
      <c r="Y27" s="70">
        <f>IFERROR(_xll.qlRateHelperRate(W27,Trigger),"")</f>
        <v>1.507E-2</v>
      </c>
      <c r="Z27" s="104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42256</v>
      </c>
      <c r="AB27" s="5">
        <f>IFERROR(_xll.qlRateHelperPillarDate(W27,Trigger),"")</f>
        <v>49562</v>
      </c>
      <c r="AC27" s="70">
        <v>1.5524498255372884E-2</v>
      </c>
      <c r="AD27" s="169">
        <v>56854</v>
      </c>
      <c r="AE27" s="170">
        <v>1.59423421580338E-2</v>
      </c>
      <c r="AF27" s="172">
        <f>_xll.qlYieldTSZeroRate(yieldcurve1_STD,$AD27,"ACTUAL/365 (FIXED)",,,TRUE,Trigger)-AE27</f>
        <v>1.3119309588173478E-6</v>
      </c>
      <c r="AG27" s="161"/>
    </row>
    <row r="28" spans="1:33" ht="11.25" customHeight="1" x14ac:dyDescent="0.2">
      <c r="A28" s="59" t="s">
        <v>94</v>
      </c>
      <c r="B28" s="116" t="b">
        <v>1</v>
      </c>
      <c r="C28" s="62" t="str">
        <f>_xll.qlIMMNextCode($C27,$B28,Trigger)</f>
        <v>H9</v>
      </c>
      <c r="D28" s="123"/>
      <c r="E28" s="207">
        <f>_xll.qlIMMdate($C28,,Trigger)</f>
        <v>43544</v>
      </c>
      <c r="F28" s="207">
        <f>_xll.qlIMMNextDate($E28,,Trigger)</f>
        <v>43635</v>
      </c>
      <c r="G28" s="61" t="str">
        <f t="shared" si="7"/>
        <v>Euribor3M</v>
      </c>
      <c r="H28" s="119" t="str">
        <f t="shared" si="8"/>
        <v>FEIH9_LCHQuote</v>
      </c>
      <c r="I28" s="119">
        <v>0</v>
      </c>
      <c r="J28" s="64" t="str">
        <f>_xll.qlFuturesRateHelper(,$H28,,$E28,$G28,$I28,FALSE,"customdate",$F28,Permanent,Trigger,ObjectOverwrite)</f>
        <v>obj_007a9#0001</v>
      </c>
      <c r="K28" s="48"/>
      <c r="L28" s="10" t="str">
        <f t="shared" si="5"/>
        <v>FUT</v>
      </c>
      <c r="M28" s="94" t="str">
        <f t="shared" si="6"/>
        <v>obj_007b0#0001</v>
      </c>
      <c r="N28" s="146" t="str">
        <f>IFERROR(_xll.qlRateHelperQuoteName(M28,Trigger),"--")</f>
        <v>FEIU9_LCHQuote</v>
      </c>
      <c r="O28" s="210" t="str">
        <f>IFERROR(_xll.qlRateHelperQuoteValue($M28,Trigger),"--")</f>
        <v>--</v>
      </c>
      <c r="P28" s="97" t="b">
        <v>1</v>
      </c>
      <c r="Q28" s="94">
        <v>20</v>
      </c>
      <c r="R28" s="94">
        <v>1</v>
      </c>
      <c r="S28" s="99">
        <f>IFERROR(_xll.qlRateHelperEarliestDate(M28,Trigger),"--")</f>
        <v>43726</v>
      </c>
      <c r="T28" s="99">
        <f>IFERROR(_xll.qlRateHelperPillarDate(M28,Trigger),"--")</f>
        <v>43817</v>
      </c>
      <c r="V28" s="4" t="str">
        <f t="shared" si="0"/>
        <v>Sw</v>
      </c>
      <c r="W28" s="4" t="str">
        <v>obj_00618</v>
      </c>
      <c r="X28" s="4" t="str">
        <f>IFERROR(_xll.qlRateHelperQuoteName(W28,Trigger),"")</f>
        <v>EURAB6E25Y_LCHQuote</v>
      </c>
      <c r="Y28" s="70">
        <f>IFERROR(_xll.qlRateHelperRate(W28,Trigger),"")</f>
        <v>1.5389999999999999E-2</v>
      </c>
      <c r="Z28" s="104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42256</v>
      </c>
      <c r="AB28" s="5">
        <f>IFERROR(_xll.qlRateHelperPillarDate(W28,Trigger),"")</f>
        <v>51389</v>
      </c>
      <c r="AC28" s="70">
        <v>1.5791502247001064E-2</v>
      </c>
      <c r="AD28" s="169">
        <v>58679</v>
      </c>
      <c r="AE28" s="170">
        <v>1.56500358429318E-2</v>
      </c>
      <c r="AF28" s="172">
        <f>_xll.qlYieldTSZeroRate(yieldcurve1_STD,$AD28,"ACTUAL/365 (FIXED)",,,TRUE,Trigger)-AE28</f>
        <v>1.1691347875618374E-6</v>
      </c>
      <c r="AG28" s="161"/>
    </row>
    <row r="29" spans="1:33" ht="11.25" customHeight="1" x14ac:dyDescent="0.2">
      <c r="A29" s="59" t="s">
        <v>94</v>
      </c>
      <c r="B29" s="116" t="b">
        <v>1</v>
      </c>
      <c r="C29" s="62" t="str">
        <f>_xll.qlIMMNextCode($C28,$B29,Trigger)</f>
        <v>M9</v>
      </c>
      <c r="D29" s="123"/>
      <c r="E29" s="207">
        <f>_xll.qlIMMdate($C29,,Trigger)</f>
        <v>43635</v>
      </c>
      <c r="F29" s="207">
        <f>_xll.qlIMMNextDate($E29,,Trigger)</f>
        <v>43726</v>
      </c>
      <c r="G29" s="61" t="str">
        <f t="shared" si="7"/>
        <v>Euribor3M</v>
      </c>
      <c r="H29" s="119" t="str">
        <f t="shared" si="8"/>
        <v>FEIM9_LCHQuote</v>
      </c>
      <c r="I29" s="119">
        <v>0</v>
      </c>
      <c r="J29" s="64" t="str">
        <f>_xll.qlFuturesRateHelper(,$H29,,$E29,$G29,$I29,FALSE,"customdate",$F29,Permanent,Trigger,ObjectOverwrite)</f>
        <v>obj_007ad#0001</v>
      </c>
      <c r="K29" s="48"/>
      <c r="L29" s="10" t="str">
        <f t="shared" si="5"/>
        <v>FUT</v>
      </c>
      <c r="M29" s="94" t="str">
        <f t="shared" si="6"/>
        <v>obj_007a2#0001</v>
      </c>
      <c r="N29" s="146" t="str">
        <f>IFERROR(_xll.qlRateHelperQuoteName(M29,Trigger),"--")</f>
        <v>FEIZ9_LCHQuote</v>
      </c>
      <c r="O29" s="210" t="str">
        <f>IFERROR(_xll.qlRateHelperQuoteValue($M29,Trigger),"--")</f>
        <v>--</v>
      </c>
      <c r="P29" s="97" t="b">
        <v>1</v>
      </c>
      <c r="Q29" s="94">
        <v>20</v>
      </c>
      <c r="R29" s="94">
        <v>1</v>
      </c>
      <c r="S29" s="99">
        <f>IFERROR(_xll.qlRateHelperEarliestDate(M29,Trigger),"--")</f>
        <v>43817</v>
      </c>
      <c r="T29" s="99">
        <f>IFERROR(_xll.qlRateHelperPillarDate(M29,Trigger),"--")</f>
        <v>43908</v>
      </c>
      <c r="V29" s="4" t="str">
        <f t="shared" si="0"/>
        <v>Sw</v>
      </c>
      <c r="W29" s="4" t="str">
        <v>obj_00631</v>
      </c>
      <c r="X29" s="4" t="str">
        <f>IFERROR(_xll.qlRateHelperQuoteName(W29,Trigger),"")</f>
        <v>EURAB6E30Y_LCHQuote</v>
      </c>
      <c r="Y29" s="70">
        <f>IFERROR(_xll.qlRateHelperRate(W29,Trigger),"")</f>
        <v>1.54875E-2</v>
      </c>
      <c r="Z29" s="104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42256</v>
      </c>
      <c r="AB29" s="5">
        <f>IFERROR(_xll.qlRateHelperPillarDate(W29,Trigger),"")</f>
        <v>53216</v>
      </c>
      <c r="AC29" s="70">
        <v>1.5825300447493244E-2</v>
      </c>
      <c r="AD29" s="169">
        <v>60504</v>
      </c>
      <c r="AE29" s="170">
        <v>1.53554002171727E-2</v>
      </c>
      <c r="AF29" s="172">
        <f>_xll.qlYieldTSZeroRate(yieldcurve1_STD,$AD29,"ACTUAL/365 (FIXED)",,,TRUE,Trigger)-AE29</f>
        <v>1.0269931607024413E-6</v>
      </c>
      <c r="AG29" s="161"/>
    </row>
    <row r="30" spans="1:33" ht="11.25" customHeight="1" x14ac:dyDescent="0.2">
      <c r="A30" s="59" t="s">
        <v>94</v>
      </c>
      <c r="B30" s="116" t="b">
        <v>1</v>
      </c>
      <c r="C30" s="62" t="str">
        <f>_xll.qlIMMNextCode($C29,$B30,Trigger)</f>
        <v>U9</v>
      </c>
      <c r="D30" s="123"/>
      <c r="E30" s="207">
        <f>_xll.qlIMMdate($C30,,Trigger)</f>
        <v>43726</v>
      </c>
      <c r="F30" s="207">
        <f>_xll.qlIMMNextDate($E30,,Trigger)</f>
        <v>43817</v>
      </c>
      <c r="G30" s="61" t="str">
        <f t="shared" si="7"/>
        <v>Euribor3M</v>
      </c>
      <c r="H30" s="119" t="str">
        <f t="shared" si="8"/>
        <v>FEIU9_LCHQuote</v>
      </c>
      <c r="I30" s="119">
        <v>0</v>
      </c>
      <c r="J30" s="64" t="str">
        <f>_xll.qlFuturesRateHelper(,$H30,,$E30,$G30,$I30,FALSE,"customdate",$F30,Permanent,Trigger,ObjectOverwrite)</f>
        <v>obj_007b0#0001</v>
      </c>
      <c r="K30" s="48"/>
      <c r="L30" s="10" t="str">
        <f t="shared" si="5"/>
        <v>FUT</v>
      </c>
      <c r="M30" s="94" t="str">
        <f t="shared" si="6"/>
        <v>obj_007a7#0001</v>
      </c>
      <c r="N30" s="146" t="str">
        <f>IFERROR(_xll.qlRateHelperQuoteName(M30,Trigger),"--")</f>
        <v>FEIH0_LCHQuote</v>
      </c>
      <c r="O30" s="210" t="str">
        <f>IFERROR(_xll.qlRateHelperQuoteValue($M30,Trigger),"--")</f>
        <v>--</v>
      </c>
      <c r="P30" s="97" t="b">
        <v>1</v>
      </c>
      <c r="Q30" s="94">
        <v>20</v>
      </c>
      <c r="R30" s="94">
        <v>1</v>
      </c>
      <c r="S30" s="99">
        <f>IFERROR(_xll.qlRateHelperEarliestDate(M30,Trigger),"--")</f>
        <v>43908</v>
      </c>
      <c r="T30" s="99">
        <f>IFERROR(_xll.qlRateHelperPillarDate(M30,Trigger),"--")</f>
        <v>43999</v>
      </c>
      <c r="V30" s="4" t="str">
        <f t="shared" si="0"/>
        <v>Sw</v>
      </c>
      <c r="W30" s="4" t="str">
        <v>obj_0061f</v>
      </c>
      <c r="X30" s="4" t="str">
        <f>IFERROR(_xll.qlRateHelperQuoteName(W30,Trigger),"")</f>
        <v>EURAB6E40Y_LCHQuote</v>
      </c>
      <c r="Y30" s="70">
        <f>IFERROR(_xll.qlRateHelperRate(W30,Trigger),"")</f>
        <v>1.5667500000000001E-2</v>
      </c>
      <c r="Z30" s="104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42256</v>
      </c>
      <c r="AB30" s="5">
        <f>IFERROR(_xll.qlRateHelperPillarDate(W30,Trigger),"")</f>
        <v>56866</v>
      </c>
      <c r="AC30" s="70">
        <v>1.5944044480333461E-2</v>
      </c>
      <c r="AD30" s="169">
        <v>62329</v>
      </c>
      <c r="AE30" s="170">
        <v>1.51289883101538E-2</v>
      </c>
      <c r="AF30" s="172">
        <f>_xll.qlYieldTSZeroRate(yieldcurve1_STD,$AD30,"ACTUAL/365 (FIXED)",,,TRUE,Trigger)-AE30</f>
        <v>9.3301513204302466E-7</v>
      </c>
      <c r="AG30" s="161"/>
    </row>
    <row r="31" spans="1:33" ht="11.25" customHeight="1" x14ac:dyDescent="0.2">
      <c r="A31" s="59" t="s">
        <v>94</v>
      </c>
      <c r="B31" s="116" t="b">
        <v>1</v>
      </c>
      <c r="C31" s="62" t="str">
        <f>_xll.qlIMMNextCode($C30,$B31,Trigger)</f>
        <v>Z9</v>
      </c>
      <c r="D31" s="123"/>
      <c r="E31" s="207">
        <f>_xll.qlIMMdate($C31,,Trigger)</f>
        <v>43817</v>
      </c>
      <c r="F31" s="207">
        <f>_xll.qlIMMNextDate($E31,,Trigger)</f>
        <v>43908</v>
      </c>
      <c r="G31" s="61" t="str">
        <f t="shared" si="7"/>
        <v>Euribor3M</v>
      </c>
      <c r="H31" s="119" t="str">
        <f t="shared" si="8"/>
        <v>FEIZ9_LCHQuote</v>
      </c>
      <c r="I31" s="119">
        <v>0</v>
      </c>
      <c r="J31" s="64" t="str">
        <f>_xll.qlFuturesRateHelper(,$H31,,$E31,$G31,$I31,FALSE,"customdate",$F31,Permanent,Trigger,ObjectOverwrite)</f>
        <v>obj_007a2#0001</v>
      </c>
      <c r="K31" s="48"/>
      <c r="L31" s="10" t="str">
        <f t="shared" si="5"/>
        <v>FUT</v>
      </c>
      <c r="M31" s="94" t="str">
        <f t="shared" si="6"/>
        <v>obj_007b1#0001</v>
      </c>
      <c r="N31" s="146" t="str">
        <f>IFERROR(_xll.qlRateHelperQuoteName(M31,Trigger),"--")</f>
        <v>FEIM0_LCHQuote</v>
      </c>
      <c r="O31" s="210" t="str">
        <f>IFERROR(_xll.qlRateHelperQuoteValue($M31,Trigger),"--")</f>
        <v>--</v>
      </c>
      <c r="P31" s="97" t="b">
        <v>1</v>
      </c>
      <c r="Q31" s="94">
        <v>20</v>
      </c>
      <c r="R31" s="94">
        <v>1</v>
      </c>
      <c r="S31" s="99">
        <f>IFERROR(_xll.qlRateHelperEarliestDate(M31,Trigger),"--")</f>
        <v>43999</v>
      </c>
      <c r="T31" s="99">
        <f>IFERROR(_xll.qlRateHelperPillarDate(M31,Trigger),"--")</f>
        <v>44090</v>
      </c>
      <c r="V31" s="4" t="str">
        <f t="shared" si="0"/>
        <v>Sw</v>
      </c>
      <c r="W31" s="4" t="str">
        <v>obj_00626</v>
      </c>
      <c r="X31" s="4" t="str">
        <f>IFERROR(_xll.qlRateHelperQuoteName(W31,Trigger),"")</f>
        <v>EURAB6E50Y_LCHQuote</v>
      </c>
      <c r="Y31" s="70">
        <f>IFERROR(_xll.qlRateHelperRate(W31,Trigger),"")</f>
        <v>1.53075E-2</v>
      </c>
      <c r="Z31" s="104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42256</v>
      </c>
      <c r="AB31" s="5">
        <f>IFERROR(_xll.qlRateHelperPillarDate(W31,Trigger),"")</f>
        <v>60519</v>
      </c>
      <c r="AC31" s="70">
        <v>1.5354004379368588E-2</v>
      </c>
      <c r="AD31" s="169">
        <v>64154</v>
      </c>
      <c r="AE31" s="170">
        <v>1.4903141793069299E-2</v>
      </c>
      <c r="AF31" s="172">
        <f>_xll.qlYieldTSZeroRate(yieldcurve1_STD,$AD31,"ACTUAL/365 (FIXED)",,,TRUE,Trigger)-AE31</f>
        <v>8.3943624913131176E-7</v>
      </c>
      <c r="AG31" s="161"/>
    </row>
    <row r="32" spans="1:33" ht="11.25" customHeight="1" x14ac:dyDescent="0.2">
      <c r="A32" s="59" t="s">
        <v>94</v>
      </c>
      <c r="B32" s="116" t="b">
        <v>1</v>
      </c>
      <c r="C32" s="62" t="str">
        <f>_xll.qlIMMNextCode($C31,$B32,Trigger)</f>
        <v>H0</v>
      </c>
      <c r="D32" s="123"/>
      <c r="E32" s="207">
        <f>_xll.qlIMMdate($C32,,Trigger)</f>
        <v>43908</v>
      </c>
      <c r="F32" s="207">
        <f>_xll.qlIMMNextDate($E32,,Trigger)</f>
        <v>43999</v>
      </c>
      <c r="G32" s="61" t="str">
        <f t="shared" si="7"/>
        <v>Euribor3M</v>
      </c>
      <c r="H32" s="119" t="str">
        <f t="shared" si="8"/>
        <v>FEIH0_LCHQuote</v>
      </c>
      <c r="I32" s="119">
        <v>0</v>
      </c>
      <c r="J32" s="64" t="str">
        <f>_xll.qlFuturesRateHelper(,$H32,,$E32,$G32,$I32,FALSE,"customdate",$F32,Permanent,Trigger,ObjectOverwrite)</f>
        <v>obj_007a7#0001</v>
      </c>
      <c r="K32" s="48"/>
      <c r="L32" s="10" t="str">
        <f t="shared" si="5"/>
        <v>FUT</v>
      </c>
      <c r="M32" s="94" t="str">
        <f t="shared" si="6"/>
        <v>obj_007b8#0001</v>
      </c>
      <c r="N32" s="146" t="str">
        <f>IFERROR(_xll.qlRateHelperQuoteName(M32,Trigger),"--")</f>
        <v>FEIU0_LCHQuote</v>
      </c>
      <c r="O32" s="210" t="str">
        <f>IFERROR(_xll.qlRateHelperQuoteValue($M32,Trigger),"--")</f>
        <v>--</v>
      </c>
      <c r="P32" s="97" t="b">
        <v>1</v>
      </c>
      <c r="Q32" s="94">
        <v>20</v>
      </c>
      <c r="R32" s="94">
        <v>1</v>
      </c>
      <c r="S32" s="99">
        <f>IFERROR(_xll.qlRateHelperEarliestDate(M32,Trigger),"--")</f>
        <v>44090</v>
      </c>
      <c r="T32" s="99">
        <f>IFERROR(_xll.qlRateHelperPillarDate(M32,Trigger),"--")</f>
        <v>44181</v>
      </c>
      <c r="V32" s="4" t="str">
        <f t="shared" si="0"/>
        <v>Sw</v>
      </c>
      <c r="W32" s="4" t="str">
        <v>obj_0062d</v>
      </c>
      <c r="X32" s="4" t="str">
        <f>IFERROR(_xll.qlRateHelperQuoteName(W32,Trigger),"")</f>
        <v>EURAB6E60Y_LCHQuote</v>
      </c>
      <c r="Y32" s="70">
        <f>IFERROR(_xll.qlRateHelperRate(W32,Trigger),"")</f>
        <v>1.5025E-2</v>
      </c>
      <c r="Z32" s="104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42256</v>
      </c>
      <c r="AB32" s="5">
        <f>IFERROR(_xll.qlRateHelperPillarDate(W32,Trigger),"")</f>
        <v>64171</v>
      </c>
      <c r="AC32" s="70">
        <v>1.4901876581849147E-2</v>
      </c>
      <c r="AD32" s="169" t="e">
        <v>#N/A</v>
      </c>
      <c r="AE32" s="170" t="e">
        <v>#N/A</v>
      </c>
      <c r="AF32" s="172" t="e">
        <f>_xll.qlYieldTSZeroRate(yieldcurve1_STD,$AD32,"ACTUAL/365 (FIXED)",,,TRUE,Trigger)-AE32</f>
        <v>#NUM!</v>
      </c>
      <c r="AG32" s="161"/>
    </row>
    <row r="33" spans="1:33" ht="11.25" customHeight="1" x14ac:dyDescent="0.2">
      <c r="A33" s="59" t="s">
        <v>94</v>
      </c>
      <c r="B33" s="116" t="b">
        <v>1</v>
      </c>
      <c r="C33" s="62" t="str">
        <f>_xll.qlIMMNextCode($C32,$B33,Trigger)</f>
        <v>M0</v>
      </c>
      <c r="D33" s="123"/>
      <c r="E33" s="207">
        <f>_xll.qlIMMdate($C33,,Trigger)</f>
        <v>43999</v>
      </c>
      <c r="F33" s="207">
        <f>_xll.qlIMMNextDate($E33,,Trigger)</f>
        <v>44090</v>
      </c>
      <c r="G33" s="61" t="str">
        <f t="shared" si="7"/>
        <v>Euribor3M</v>
      </c>
      <c r="H33" s="119" t="str">
        <f t="shared" si="8"/>
        <v>FEIM0_LCHQuote</v>
      </c>
      <c r="I33" s="119">
        <v>0</v>
      </c>
      <c r="J33" s="64" t="str">
        <f>_xll.qlFuturesRateHelper(,$H33,,$E33,$G33,$I33,FALSE,"customdate",$F33,Permanent,Trigger,ObjectOverwrite)</f>
        <v>obj_007b1#0001</v>
      </c>
      <c r="K33" s="48"/>
      <c r="L33" s="10" t="str">
        <f t="shared" si="5"/>
        <v>FUT</v>
      </c>
      <c r="M33" s="94" t="str">
        <f t="shared" si="6"/>
        <v>obj_007b7#0001</v>
      </c>
      <c r="N33" s="146" t="str">
        <f>IFERROR(_xll.qlRateHelperQuoteName(M33,Trigger),"--")</f>
        <v>FEIZ0_LCHQuote</v>
      </c>
      <c r="O33" s="210" t="str">
        <f>IFERROR(_xll.qlRateHelperQuoteValue($M33,Trigger),"--")</f>
        <v>--</v>
      </c>
      <c r="P33" s="97" t="b">
        <v>1</v>
      </c>
      <c r="Q33" s="94">
        <v>20</v>
      </c>
      <c r="R33" s="94">
        <v>1</v>
      </c>
      <c r="S33" s="99">
        <f>IFERROR(_xll.qlRateHelperEarliestDate(M33,Trigger),"--")</f>
        <v>44181</v>
      </c>
      <c r="T33" s="99">
        <f>IFERROR(_xll.qlRateHelperPillarDate(M33,Trigger),"--")</f>
        <v>44272</v>
      </c>
      <c r="V33" s="4" t="str">
        <f t="shared" si="0"/>
        <v/>
      </c>
      <c r="W33" s="4" t="e">
        <v>#N/A</v>
      </c>
      <c r="X33" s="4" t="str">
        <f>IFERROR(_xll.qlRateHelperQuoteName(W33,Trigger),"")</f>
        <v/>
      </c>
      <c r="Y33" s="70" t="str">
        <f>IFERROR(_xll.qlRateHelperRate(W33,Trigger),"")</f>
        <v/>
      </c>
      <c r="Z33" s="104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0" t="e">
        <v>#N/A</v>
      </c>
      <c r="AD33" s="169" t="e">
        <v>#N/A</v>
      </c>
      <c r="AE33" s="170" t="e">
        <v>#N/A</v>
      </c>
      <c r="AF33" s="172" t="e">
        <f>_xll.qlYieldTSZeroRate(yieldcurve1_STD,$AD33,"ACTUAL/365 (FIXED)",,,TRUE,Trigger)-AE33</f>
        <v>#NUM!</v>
      </c>
      <c r="AG33" s="161"/>
    </row>
    <row r="34" spans="1:33" ht="11.25" customHeight="1" x14ac:dyDescent="0.2">
      <c r="A34" s="59" t="s">
        <v>94</v>
      </c>
      <c r="B34" s="116" t="b">
        <v>1</v>
      </c>
      <c r="C34" s="62" t="str">
        <f>_xll.qlIMMNextCode($C33,$B34,Trigger)</f>
        <v>U0</v>
      </c>
      <c r="D34" s="123"/>
      <c r="E34" s="207">
        <f>_xll.qlIMMdate($C34,,Trigger)</f>
        <v>44090</v>
      </c>
      <c r="F34" s="207">
        <f>_xll.qlIMMNextDate($E34,,Trigger)</f>
        <v>44181</v>
      </c>
      <c r="G34" s="61" t="str">
        <f t="shared" si="7"/>
        <v>Euribor3M</v>
      </c>
      <c r="H34" s="119" t="str">
        <f t="shared" si="8"/>
        <v>FEIU0_LCHQuote</v>
      </c>
      <c r="I34" s="119">
        <v>0</v>
      </c>
      <c r="J34" s="64" t="str">
        <f>_xll.qlFuturesRateHelper(,$H34,,$E34,$G34,$I34,FALSE,"customdate",$F34,Permanent,Trigger,ObjectOverwrite)</f>
        <v>obj_007b8#0001</v>
      </c>
      <c r="K34" s="48"/>
      <c r="L34" s="10" t="str">
        <f t="shared" si="5"/>
        <v>FUT</v>
      </c>
      <c r="M34" s="94" t="str">
        <f t="shared" si="6"/>
        <v>obj_007b6#0001</v>
      </c>
      <c r="N34" s="146" t="str">
        <f>IFERROR(_xll.qlRateHelperQuoteName(M34,Trigger),"--")</f>
        <v>FEIH1_LCHQuote</v>
      </c>
      <c r="O34" s="210" t="str">
        <f>IFERROR(_xll.qlRateHelperQuoteValue($M34,Trigger),"--")</f>
        <v>--</v>
      </c>
      <c r="P34" s="97" t="b">
        <v>1</v>
      </c>
      <c r="Q34" s="94">
        <v>20</v>
      </c>
      <c r="R34" s="94">
        <v>1</v>
      </c>
      <c r="S34" s="99">
        <f>IFERROR(_xll.qlRateHelperEarliestDate(M34,Trigger),"--")</f>
        <v>44272</v>
      </c>
      <c r="T34" s="99">
        <f>IFERROR(_xll.qlRateHelperPillarDate(M34,Trigger),"--")</f>
        <v>44363</v>
      </c>
      <c r="V34" s="4" t="str">
        <f t="shared" si="0"/>
        <v/>
      </c>
      <c r="W34" s="4" t="e">
        <v>#N/A</v>
      </c>
      <c r="X34" s="4" t="str">
        <f>IFERROR(_xll.qlRateHelperQuoteName(W34,Trigger),"")</f>
        <v/>
      </c>
      <c r="Y34" s="70" t="str">
        <f>IFERROR(_xll.qlRateHelperRate(W34,Trigger),"")</f>
        <v/>
      </c>
      <c r="Z34" s="104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0" t="e">
        <v>#N/A</v>
      </c>
      <c r="AD34" s="169" t="e">
        <v>#N/A</v>
      </c>
      <c r="AE34" s="170" t="e">
        <v>#N/A</v>
      </c>
      <c r="AF34" s="172" t="e">
        <f>_xll.qlYieldTSZeroRate(yieldcurve1_STD,$AD34,"ACTUAL/365 (FIXED)",,,TRUE,Trigger)-AE34</f>
        <v>#NUM!</v>
      </c>
      <c r="AG34" s="161"/>
    </row>
    <row r="35" spans="1:33" ht="11.25" customHeight="1" x14ac:dyDescent="0.2">
      <c r="A35" s="59" t="s">
        <v>94</v>
      </c>
      <c r="B35" s="116" t="b">
        <v>1</v>
      </c>
      <c r="C35" s="62" t="str">
        <f>_xll.qlIMMNextCode($C34,$B35,Trigger)</f>
        <v>Z0</v>
      </c>
      <c r="D35" s="123"/>
      <c r="E35" s="207">
        <f>_xll.qlIMMdate($C35,,Trigger)</f>
        <v>44181</v>
      </c>
      <c r="F35" s="207">
        <f>_xll.qlIMMNextDate($E35,,Trigger)</f>
        <v>44272</v>
      </c>
      <c r="G35" s="61" t="str">
        <f t="shared" si="7"/>
        <v>Euribor3M</v>
      </c>
      <c r="H35" s="119" t="str">
        <f t="shared" si="8"/>
        <v>FEIZ0_LCHQuote</v>
      </c>
      <c r="I35" s="119">
        <v>0</v>
      </c>
      <c r="J35" s="64" t="str">
        <f>_xll.qlFuturesRateHelper(,$H35,,$E35,$G35,$I35,FALSE,"customdate",$F35,Permanent,Trigger,ObjectOverwrite)</f>
        <v>obj_007b7#0001</v>
      </c>
      <c r="K35" s="48"/>
      <c r="L35" s="10" t="str">
        <f t="shared" si="5"/>
        <v>FUT</v>
      </c>
      <c r="M35" s="94" t="str">
        <f t="shared" si="6"/>
        <v>obj_007b5#0001</v>
      </c>
      <c r="N35" s="146" t="str">
        <f>IFERROR(_xll.qlRateHelperQuoteName(M35,Trigger),"--")</f>
        <v>FEIM1_LCHQuote</v>
      </c>
      <c r="O35" s="210" t="str">
        <f>IFERROR(_xll.qlRateHelperQuoteValue($M35,Trigger),"--")</f>
        <v>--</v>
      </c>
      <c r="P35" s="97" t="b">
        <v>1</v>
      </c>
      <c r="Q35" s="94">
        <v>20</v>
      </c>
      <c r="R35" s="94">
        <v>1</v>
      </c>
      <c r="S35" s="99">
        <f>IFERROR(_xll.qlRateHelperEarliestDate(M35,Trigger),"--")</f>
        <v>44363</v>
      </c>
      <c r="T35" s="99">
        <f>IFERROR(_xll.qlRateHelperPillarDate(M35,Trigger),"--")</f>
        <v>44454</v>
      </c>
      <c r="V35" s="4" t="str">
        <f t="shared" ref="V35:V66" si="9">IFERROR(INDEX($L$3:$L$72,MATCH(X35,$N$3:$N$72,0),1),"")</f>
        <v/>
      </c>
      <c r="W35" s="4" t="e">
        <v>#N/A</v>
      </c>
      <c r="X35" s="4" t="str">
        <f>IFERROR(_xll.qlRateHelperQuoteName(W35,Trigger),"")</f>
        <v/>
      </c>
      <c r="Y35" s="70" t="str">
        <f>IFERROR(_xll.qlRateHelperRate(W35,Trigger),"")</f>
        <v/>
      </c>
      <c r="Z35" s="104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0" t="e">
        <v>#N/A</v>
      </c>
      <c r="AD35" s="169" t="e">
        <v>#N/A</v>
      </c>
      <c r="AE35" s="170" t="e">
        <v>#N/A</v>
      </c>
      <c r="AF35" s="172" t="e">
        <f>_xll.qlYieldTSZeroRate(yieldcurve1_STD,$AD35,"ACTUAL/365 (FIXED)",,,TRUE,Trigger)-AE35</f>
        <v>#NUM!</v>
      </c>
      <c r="AG35" s="161"/>
    </row>
    <row r="36" spans="1:33" ht="11.25" customHeight="1" x14ac:dyDescent="0.2">
      <c r="A36" s="59" t="s">
        <v>94</v>
      </c>
      <c r="B36" s="116" t="b">
        <v>1</v>
      </c>
      <c r="C36" s="62" t="str">
        <f>_xll.qlIMMNextCode($C35,$B36,Trigger)</f>
        <v>H1</v>
      </c>
      <c r="D36" s="123"/>
      <c r="E36" s="207">
        <f>_xll.qlIMMdate($C36,,Trigger)</f>
        <v>44272</v>
      </c>
      <c r="F36" s="207">
        <f>_xll.qlIMMNextDate($E36,,Trigger)</f>
        <v>44363</v>
      </c>
      <c r="G36" s="61" t="str">
        <f t="shared" si="7"/>
        <v>Euribor3M</v>
      </c>
      <c r="H36" s="119" t="str">
        <f t="shared" si="8"/>
        <v>FEIH1_LCHQuote</v>
      </c>
      <c r="I36" s="119">
        <v>0</v>
      </c>
      <c r="J36" s="64" t="str">
        <f>_xll.qlFuturesRateHelper(,$H36,,$E36,$G36,$I36,FALSE,"customdate",$F36,Permanent,Trigger,ObjectOverwrite)</f>
        <v>obj_007b6#0001</v>
      </c>
      <c r="K36" s="48"/>
      <c r="L36" s="68" t="str">
        <f t="shared" ref="L36:L72" si="10">A40</f>
        <v>Sw</v>
      </c>
      <c r="M36" s="131" t="str">
        <f t="shared" ref="M36" si="11">IF(ISBLANK(J40),"--",J40)</f>
        <v>obj_00632#0001</v>
      </c>
      <c r="N36" s="145" t="str">
        <f>IFERROR(_xll.qlRateHelperQuoteName(M36,Trigger),"--")</f>
        <v>EURAB6E1Y_LCHQuote</v>
      </c>
      <c r="O36" s="133" t="str">
        <f>IFERROR(_xll.qlRateHelperQuoteValue($M36,Trigger),"--")</f>
        <v>--</v>
      </c>
      <c r="P36" s="132" t="b">
        <v>0</v>
      </c>
      <c r="Q36" s="131">
        <v>10</v>
      </c>
      <c r="R36" s="131">
        <v>1</v>
      </c>
      <c r="S36" s="134">
        <f>IFERROR(_xll.qlRateHelperEarliestDate(M36,Trigger),"--")</f>
        <v>42256</v>
      </c>
      <c r="T36" s="134">
        <f>IFERROR(_xll.qlRateHelperPillarDate(M36,Trigger),"--")</f>
        <v>42622</v>
      </c>
      <c r="V36" s="4" t="str">
        <f t="shared" si="9"/>
        <v/>
      </c>
      <c r="W36" s="4" t="e">
        <v>#N/A</v>
      </c>
      <c r="X36" s="4" t="str">
        <f>IFERROR(_xll.qlRateHelperQuoteName(W36,Trigger),"")</f>
        <v/>
      </c>
      <c r="Y36" s="70" t="str">
        <f>IFERROR(_xll.qlRateHelperRate(W36,Trigger),"")</f>
        <v/>
      </c>
      <c r="Z36" s="104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0" t="e">
        <v>#N/A</v>
      </c>
      <c r="AD36" s="169" t="e">
        <v>#N/A</v>
      </c>
      <c r="AE36" s="170" t="e">
        <v>#N/A</v>
      </c>
      <c r="AF36" s="172" t="e">
        <f>_xll.qlYieldTSZeroRate(yieldcurve1_STD,$AD36,"ACTUAL/365 (FIXED)",,,TRUE,Trigger)-AE36</f>
        <v>#NUM!</v>
      </c>
      <c r="AG36" s="161"/>
    </row>
    <row r="37" spans="1:33" ht="11.25" customHeight="1" x14ac:dyDescent="0.2">
      <c r="A37" s="1" t="s">
        <v>94</v>
      </c>
      <c r="B37" s="117" t="b">
        <v>1</v>
      </c>
      <c r="C37" s="9" t="str">
        <f>_xll.qlIMMNextCode($C36,$B37,Trigger)</f>
        <v>M1</v>
      </c>
      <c r="D37" s="124"/>
      <c r="E37" s="208">
        <f>_xll.qlIMMdate($C37,,Trigger)</f>
        <v>44363</v>
      </c>
      <c r="F37" s="208">
        <f>_xll.qlIMMNextDate($E37,,Trigger)</f>
        <v>44454</v>
      </c>
      <c r="G37" s="7" t="str">
        <f t="shared" si="7"/>
        <v>Euribor3M</v>
      </c>
      <c r="H37" s="120" t="str">
        <f t="shared" si="8"/>
        <v>FEIM1_LCHQuote</v>
      </c>
      <c r="I37" s="120">
        <v>0</v>
      </c>
      <c r="J37" s="3" t="str">
        <f>_xll.qlFuturesRateHelper(,$H37,,$E37,$G37,$I37,FALSE,"customdate",$F37,Permanent,Trigger,ObjectOverwrite)</f>
        <v>obj_007b5#0001</v>
      </c>
      <c r="K37" s="48"/>
      <c r="L37" s="10" t="str">
        <f t="shared" si="10"/>
        <v>Sw</v>
      </c>
      <c r="M37" s="94" t="str">
        <f t="shared" ref="M37:M72" si="12">IF(ISBLANK(J41),"--",J41)</f>
        <v>obj_00630#0001</v>
      </c>
      <c r="N37" s="146" t="str">
        <f>IFERROR(_xll.qlRateHelperQuoteName(M37,Trigger),"--")</f>
        <v>EURAB6E15M_LCHQuote</v>
      </c>
      <c r="O37" s="98" t="str">
        <f>IFERROR(_xll.qlRateHelperQuoteValue($M37,Trigger),"--")</f>
        <v>--</v>
      </c>
      <c r="P37" s="97" t="b">
        <v>0</v>
      </c>
      <c r="Q37" s="94">
        <v>10</v>
      </c>
      <c r="R37" s="94">
        <v>1</v>
      </c>
      <c r="S37" s="99">
        <f>IFERROR(_xll.qlRateHelperEarliestDate(M37,Trigger),"--")</f>
        <v>42256</v>
      </c>
      <c r="T37" s="99">
        <f>IFERROR(_xll.qlRateHelperPillarDate(M37,Trigger),"--")</f>
        <v>42713</v>
      </c>
      <c r="V37" s="4" t="str">
        <f t="shared" si="9"/>
        <v/>
      </c>
      <c r="W37" s="4" t="e">
        <v>#N/A</v>
      </c>
      <c r="X37" s="4" t="str">
        <f>IFERROR(_xll.qlRateHelperQuoteName(W37,Trigger),"")</f>
        <v/>
      </c>
      <c r="Y37" s="70" t="str">
        <f>IFERROR(_xll.qlRateHelperRate(W37,Trigger),"")</f>
        <v/>
      </c>
      <c r="Z37" s="104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0" t="e">
        <v>#N/A</v>
      </c>
      <c r="AD37" s="169" t="e">
        <v>#N/A</v>
      </c>
      <c r="AE37" s="170" t="e">
        <v>#N/A</v>
      </c>
      <c r="AF37" s="172" t="e">
        <f>_xll.qlYieldTSZeroRate(yieldcurve1_STD,$AD37,"ACTUAL/365 (FIXED)",,,TRUE,Trigger)-AE37</f>
        <v>#NUM!</v>
      </c>
      <c r="AG37" s="161"/>
    </row>
    <row r="38" spans="1:33" ht="11.25" customHeight="1" x14ac:dyDescent="0.2">
      <c r="B38" s="46"/>
      <c r="C38" s="46"/>
      <c r="D38" s="46"/>
      <c r="E38" s="46"/>
      <c r="F38" s="50" t="s">
        <v>3</v>
      </c>
      <c r="G38" s="50" t="s">
        <v>126</v>
      </c>
      <c r="H38" s="50" t="s">
        <v>129</v>
      </c>
      <c r="K38" s="48"/>
      <c r="L38" s="10" t="str">
        <f t="shared" si="10"/>
        <v>Sw</v>
      </c>
      <c r="M38" s="94" t="str">
        <f t="shared" si="12"/>
        <v>obj_0062c#0001</v>
      </c>
      <c r="N38" s="146" t="str">
        <f>IFERROR(_xll.qlRateHelperQuoteName(M38,Trigger),"--")</f>
        <v>EURAB6E18M_LCHQuote</v>
      </c>
      <c r="O38" s="98" t="str">
        <f>IFERROR(_xll.qlRateHelperQuoteValue($M38,Trigger),"--")</f>
        <v>--</v>
      </c>
      <c r="P38" s="97" t="b">
        <v>0</v>
      </c>
      <c r="Q38" s="94">
        <v>10</v>
      </c>
      <c r="R38" s="94">
        <v>1</v>
      </c>
      <c r="S38" s="99">
        <f>IFERROR(_xll.qlRateHelperEarliestDate(M38,Trigger),"--")</f>
        <v>42256</v>
      </c>
      <c r="T38" s="99">
        <f>IFERROR(_xll.qlRateHelperPillarDate(M38,Trigger),"--")</f>
        <v>42803</v>
      </c>
      <c r="V38" s="4" t="str">
        <f t="shared" si="9"/>
        <v/>
      </c>
      <c r="W38" s="4" t="e">
        <v>#N/A</v>
      </c>
      <c r="X38" s="4" t="str">
        <f>IFERROR(_xll.qlRateHelperQuoteName(W38,Trigger),"")</f>
        <v/>
      </c>
      <c r="Y38" s="70" t="str">
        <f>IFERROR(_xll.qlRateHelperRate(W38,Trigger),"")</f>
        <v/>
      </c>
      <c r="Z38" s="104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0" t="e">
        <v>#N/A</v>
      </c>
      <c r="AD38" s="169" t="e">
        <v>#N/A</v>
      </c>
      <c r="AE38" s="170" t="e">
        <v>#N/A</v>
      </c>
      <c r="AF38" s="172" t="e">
        <f>_xll.qlYieldTSZeroRate(yieldcurve1_STD,$AD38,"ACTUAL/365 (FIXED)",,,TRUE,Trigger)-AE38</f>
        <v>#NUM!</v>
      </c>
      <c r="AG38" s="161"/>
    </row>
    <row r="39" spans="1:33" ht="11.25" customHeight="1" x14ac:dyDescent="0.2">
      <c r="A39" s="65" t="s">
        <v>9</v>
      </c>
      <c r="B39" s="65" t="s">
        <v>29</v>
      </c>
      <c r="C39" s="65" t="s">
        <v>114</v>
      </c>
      <c r="D39" s="65" t="s">
        <v>5</v>
      </c>
      <c r="E39" s="65" t="s">
        <v>34</v>
      </c>
      <c r="F39" s="65" t="s">
        <v>115</v>
      </c>
      <c r="G39" s="65" t="s">
        <v>4</v>
      </c>
      <c r="H39" s="65" t="s">
        <v>1</v>
      </c>
      <c r="I39" s="65" t="s">
        <v>113</v>
      </c>
      <c r="J39" s="65" t="s">
        <v>24</v>
      </c>
      <c r="K39" s="48"/>
      <c r="L39" s="10" t="str">
        <f t="shared" si="10"/>
        <v>Sw</v>
      </c>
      <c r="M39" s="94" t="str">
        <f t="shared" si="12"/>
        <v>obj_00627#0001</v>
      </c>
      <c r="N39" s="146" t="str">
        <f>IFERROR(_xll.qlRateHelperQuoteName(M39,Trigger),"--")</f>
        <v>EURAB6E21M_LCHQuote</v>
      </c>
      <c r="O39" s="98" t="str">
        <f>IFERROR(_xll.qlRateHelperQuoteValue($M39,Trigger),"--")</f>
        <v>--</v>
      </c>
      <c r="P39" s="97" t="b">
        <v>0</v>
      </c>
      <c r="Q39" s="94">
        <v>10</v>
      </c>
      <c r="R39" s="94">
        <v>1</v>
      </c>
      <c r="S39" s="99">
        <f>IFERROR(_xll.qlRateHelperEarliestDate(M39,Trigger),"--")</f>
        <v>42256</v>
      </c>
      <c r="T39" s="99">
        <f>IFERROR(_xll.qlRateHelperPillarDate(M39,Trigger),"--")</f>
        <v>42895</v>
      </c>
      <c r="V39" s="4" t="str">
        <f t="shared" si="9"/>
        <v/>
      </c>
      <c r="W39" s="4" t="e">
        <v>#N/A</v>
      </c>
      <c r="X39" s="4" t="str">
        <f>IFERROR(_xll.qlRateHelperQuoteName(W39,Trigger),"")</f>
        <v/>
      </c>
      <c r="Y39" s="70" t="str">
        <f>IFERROR(_xll.qlRateHelperRate(W39,Trigger),"")</f>
        <v/>
      </c>
      <c r="Z39" s="104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0" t="e">
        <v>#N/A</v>
      </c>
      <c r="AD39" s="169" t="e">
        <v>#N/A</v>
      </c>
      <c r="AE39" s="170" t="e">
        <v>#N/A</v>
      </c>
      <c r="AF39" s="172" t="e">
        <f>_xll.qlYieldTSZeroRate(yieldcurve1_STD,$AD39,"ACTUAL/365 (FIXED)",,,TRUE,Trigger)-AE39</f>
        <v>#NUM!</v>
      </c>
      <c r="AG39" s="161"/>
    </row>
    <row r="40" spans="1:33" ht="11.25" customHeight="1" x14ac:dyDescent="0.2">
      <c r="A40" s="53" t="s">
        <v>25</v>
      </c>
      <c r="B40" s="54" t="s">
        <v>28</v>
      </c>
      <c r="C40" s="55" t="s">
        <v>6</v>
      </c>
      <c r="D40" s="55" t="s">
        <v>8</v>
      </c>
      <c r="E40" s="55" t="s">
        <v>7</v>
      </c>
      <c r="F40" s="55" t="s">
        <v>125</v>
      </c>
      <c r="G40" s="55" t="str">
        <f t="shared" ref="G40:G76" si="13">PROPER(Currency)&amp;FamilyName&amp;$F$38</f>
        <v>Euribor6M</v>
      </c>
      <c r="H40" s="53" t="str">
        <f t="shared" ref="H40:H76" si="14">IF(LCHQuoteOverwrite,Currency&amp;$G$38&amp;$H$38&amp;$B40&amp;LCHQuoteSuffix,Currency&amp;$G$38&amp;$H$38&amp;$B40&amp;QuoteSuffix)</f>
        <v>EURAB6E1Y_LCHQuote</v>
      </c>
      <c r="I40" s="126">
        <v>0</v>
      </c>
      <c r="J40" s="64" t="str">
        <f>_xll.qlSwapRateHelper2(,$H40,,$B40,Calendar,$D40,$E40,$F40,$G40,$I40,$C40,,PillarDate,,Permanent,Trigger,ObjectOverwrite)</f>
        <v>obj_00632#0001</v>
      </c>
      <c r="K40" s="48"/>
      <c r="L40" s="10" t="str">
        <f t="shared" si="10"/>
        <v>Sw</v>
      </c>
      <c r="M40" s="94" t="str">
        <f t="shared" si="12"/>
        <v>obj_00633#0001</v>
      </c>
      <c r="N40" s="146" t="str">
        <f>IFERROR(_xll.qlRateHelperQuoteName(M40,Trigger),"--")</f>
        <v>EURAB6E2Y_LCHQuote</v>
      </c>
      <c r="O40" s="98">
        <f>IFERROR(_xll.qlRateHelperQuoteValue($M40,Trigger),"--")</f>
        <v>7.9675000000000004E-4</v>
      </c>
      <c r="P40" s="97" t="b">
        <v>0</v>
      </c>
      <c r="Q40" s="94">
        <v>10</v>
      </c>
      <c r="R40" s="94">
        <v>1</v>
      </c>
      <c r="S40" s="99">
        <f>IFERROR(_xll.qlRateHelperEarliestDate(M40,Trigger),"--")</f>
        <v>42256</v>
      </c>
      <c r="T40" s="99">
        <f>IFERROR(_xll.qlRateHelperPillarDate(M40,Trigger),"--")</f>
        <v>42989</v>
      </c>
      <c r="V40" s="4" t="str">
        <f t="shared" si="9"/>
        <v/>
      </c>
      <c r="W40" s="4" t="e">
        <v>#N/A</v>
      </c>
      <c r="X40" s="4" t="str">
        <f>IFERROR(_xll.qlRateHelperQuoteName(W40,Trigger),"")</f>
        <v/>
      </c>
      <c r="Y40" s="70" t="str">
        <f>IFERROR(_xll.qlRateHelperRate(W40,Trigger),"")</f>
        <v/>
      </c>
      <c r="Z40" s="104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0" t="e">
        <v>#N/A</v>
      </c>
      <c r="AD40" s="169" t="e">
        <v>#N/A</v>
      </c>
      <c r="AE40" s="170" t="e">
        <v>#N/A</v>
      </c>
      <c r="AF40" s="172" t="e">
        <f>_xll.qlYieldTSZeroRate(yieldcurve1_STD,$AD40,"ACTUAL/365 (FIXED)",,,TRUE,Trigger)-AE40</f>
        <v>#NUM!</v>
      </c>
    </row>
    <row r="41" spans="1:33" ht="11.25" customHeight="1" x14ac:dyDescent="0.2">
      <c r="A41" s="59" t="s">
        <v>25</v>
      </c>
      <c r="B41" s="60" t="s">
        <v>49</v>
      </c>
      <c r="C41" s="61" t="s">
        <v>6</v>
      </c>
      <c r="D41" s="61" t="s">
        <v>8</v>
      </c>
      <c r="E41" s="61" t="s">
        <v>7</v>
      </c>
      <c r="F41" s="61" t="s">
        <v>125</v>
      </c>
      <c r="G41" s="61" t="str">
        <f t="shared" si="13"/>
        <v>Euribor6M</v>
      </c>
      <c r="H41" s="59" t="str">
        <f t="shared" si="14"/>
        <v>EURAB6E15M_LCHQuote</v>
      </c>
      <c r="I41" s="127">
        <v>0</v>
      </c>
      <c r="J41" s="64" t="str">
        <f>_xll.qlSwapRateHelper2(,$H41,,$B41,Calendar,$D41,$E41,$F41,$G41,$I41,$C41,,PillarDate,,Permanent,Trigger,ObjectOverwrite)</f>
        <v>obj_00630#0001</v>
      </c>
      <c r="K41" s="48"/>
      <c r="L41" s="10" t="str">
        <f t="shared" si="10"/>
        <v>Sw</v>
      </c>
      <c r="M41" s="94" t="str">
        <f t="shared" si="12"/>
        <v>obj_0061a#0001</v>
      </c>
      <c r="N41" s="146" t="str">
        <f>IFERROR(_xll.qlRateHelperQuoteName(M41,Trigger),"--")</f>
        <v>EURAB6E3Y_LCHQuote</v>
      </c>
      <c r="O41" s="98">
        <f>IFERROR(_xll.qlRateHelperQuoteValue($M41,Trigger),"--")</f>
        <v>1.5089999999999999E-3</v>
      </c>
      <c r="P41" s="97" t="b">
        <v>0</v>
      </c>
      <c r="Q41" s="94">
        <v>10</v>
      </c>
      <c r="R41" s="94">
        <v>1</v>
      </c>
      <c r="S41" s="99">
        <f>IFERROR(_xll.qlRateHelperEarliestDate(M41,Trigger),"--")</f>
        <v>42256</v>
      </c>
      <c r="T41" s="99">
        <f>IFERROR(_xll.qlRateHelperPillarDate(M41,Trigger),"--")</f>
        <v>43353</v>
      </c>
      <c r="V41" s="4" t="str">
        <f t="shared" si="9"/>
        <v/>
      </c>
      <c r="W41" s="4" t="e">
        <v>#N/A</v>
      </c>
      <c r="X41" s="4" t="str">
        <f>IFERROR(_xll.qlRateHelperQuoteName(W41,Trigger),"")</f>
        <v/>
      </c>
      <c r="Y41" s="70" t="str">
        <f>IFERROR(_xll.qlRateHelperRate(W41,Trigger),"")</f>
        <v/>
      </c>
      <c r="Z41" s="104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0" t="e">
        <v>#N/A</v>
      </c>
      <c r="AD41" s="169" t="e">
        <v>#N/A</v>
      </c>
      <c r="AE41" s="170" t="e">
        <v>#N/A</v>
      </c>
      <c r="AF41" s="172" t="e">
        <f>_xll.qlYieldTSZeroRate(yieldcurve1_STD,$AD41,"ACTUAL/365 (FIXED)",,,TRUE,Trigger)-AE41</f>
        <v>#NUM!</v>
      </c>
    </row>
    <row r="42" spans="1:33" ht="11.25" customHeight="1" x14ac:dyDescent="0.2">
      <c r="A42" s="59" t="s">
        <v>25</v>
      </c>
      <c r="B42" s="60" t="s">
        <v>50</v>
      </c>
      <c r="C42" s="61" t="s">
        <v>6</v>
      </c>
      <c r="D42" s="61" t="s">
        <v>8</v>
      </c>
      <c r="E42" s="61" t="s">
        <v>7</v>
      </c>
      <c r="F42" s="61" t="s">
        <v>125</v>
      </c>
      <c r="G42" s="61" t="str">
        <f t="shared" si="13"/>
        <v>Euribor6M</v>
      </c>
      <c r="H42" s="59" t="str">
        <f t="shared" si="14"/>
        <v>EURAB6E18M_LCHQuote</v>
      </c>
      <c r="I42" s="127">
        <v>0</v>
      </c>
      <c r="J42" s="64" t="str">
        <f>_xll.qlSwapRateHelper2(,$H42,,$B42,Calendar,$D42,$E42,$F42,$G42,$I42,$C42,,PillarDate,,Permanent,Trigger,ObjectOverwrite)</f>
        <v>obj_0062c#0001</v>
      </c>
      <c r="K42" s="48"/>
      <c r="L42" s="10" t="str">
        <f t="shared" si="10"/>
        <v>Sw</v>
      </c>
      <c r="M42" s="94" t="str">
        <f t="shared" si="12"/>
        <v>obj_00698#0001</v>
      </c>
      <c r="N42" s="146" t="str">
        <f>IFERROR(_xll.qlRateHelperQuoteName(M42,Trigger),"--")</f>
        <v>EURAB6E4Y_LCHQuote</v>
      </c>
      <c r="O42" s="98">
        <f>IFERROR(_xll.qlRateHelperQuoteValue($M42,Trigger),"--")</f>
        <v>2.5507500000000001E-3</v>
      </c>
      <c r="P42" s="97" t="b">
        <v>1</v>
      </c>
      <c r="Q42" s="94">
        <v>10</v>
      </c>
      <c r="R42" s="94">
        <v>1</v>
      </c>
      <c r="S42" s="99">
        <f>IFERROR(_xll.qlRateHelperEarliestDate(M42,Trigger),"--")</f>
        <v>42256</v>
      </c>
      <c r="T42" s="99">
        <f>IFERROR(_xll.qlRateHelperPillarDate(M42,Trigger),"--")</f>
        <v>43717</v>
      </c>
      <c r="V42" s="4" t="str">
        <f t="shared" si="9"/>
        <v/>
      </c>
      <c r="W42" s="4" t="e">
        <v>#N/A</v>
      </c>
      <c r="X42" s="4" t="str">
        <f>IFERROR(_xll.qlRateHelperQuoteName(W42,Trigger),"")</f>
        <v/>
      </c>
      <c r="Y42" s="70" t="str">
        <f>IFERROR(_xll.qlRateHelperRate(W42,Trigger),"")</f>
        <v/>
      </c>
      <c r="Z42" s="104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0" t="e">
        <v>#N/A</v>
      </c>
      <c r="AD42" s="169" t="e">
        <v>#N/A</v>
      </c>
      <c r="AE42" s="170" t="e">
        <v>#N/A</v>
      </c>
      <c r="AF42" s="172" t="e">
        <f>_xll.qlYieldTSZeroRate(yieldcurve1_STD,$AD42,"ACTUAL/365 (FIXED)",,,TRUE,Trigger)-AE42</f>
        <v>#NUM!</v>
      </c>
    </row>
    <row r="43" spans="1:33" ht="11.25" customHeight="1" x14ac:dyDescent="0.2">
      <c r="A43" s="59" t="s">
        <v>25</v>
      </c>
      <c r="B43" s="60" t="s">
        <v>51</v>
      </c>
      <c r="C43" s="61" t="s">
        <v>6</v>
      </c>
      <c r="D43" s="61" t="s">
        <v>8</v>
      </c>
      <c r="E43" s="61" t="s">
        <v>7</v>
      </c>
      <c r="F43" s="61" t="s">
        <v>125</v>
      </c>
      <c r="G43" s="61" t="str">
        <f t="shared" si="13"/>
        <v>Euribor6M</v>
      </c>
      <c r="H43" s="59" t="str">
        <f t="shared" si="14"/>
        <v>EURAB6E21M_LCHQuote</v>
      </c>
      <c r="I43" s="127">
        <v>0</v>
      </c>
      <c r="J43" s="64" t="str">
        <f>_xll.qlSwapRateHelper2(,$H43,,$B43,Calendar,$D43,$E43,$F43,$G43,$I43,$C43,,PillarDate,,Permanent,Trigger,ObjectOverwrite)</f>
        <v>obj_00627#0001</v>
      </c>
      <c r="K43" s="48"/>
      <c r="L43" s="10" t="str">
        <f t="shared" si="10"/>
        <v>Sw</v>
      </c>
      <c r="M43" s="94" t="str">
        <f t="shared" si="12"/>
        <v>obj_00619#0001</v>
      </c>
      <c r="N43" s="146" t="str">
        <f>IFERROR(_xll.qlRateHelperQuoteName(M43,Trigger),"--")</f>
        <v>EURAB6E5Y_LCHQuote</v>
      </c>
      <c r="O43" s="98">
        <f>IFERROR(_xll.qlRateHelperQuoteValue($M43,Trigger),"--")</f>
        <v>3.7490000000000002E-3</v>
      </c>
      <c r="P43" s="97" t="b">
        <v>1</v>
      </c>
      <c r="Q43" s="94">
        <v>10</v>
      </c>
      <c r="R43" s="94">
        <v>1</v>
      </c>
      <c r="S43" s="99">
        <f>IFERROR(_xll.qlRateHelperEarliestDate(M43,Trigger),"--")</f>
        <v>42256</v>
      </c>
      <c r="T43" s="99">
        <f>IFERROR(_xll.qlRateHelperPillarDate(M43,Trigger),"--")</f>
        <v>44083</v>
      </c>
      <c r="V43" s="4" t="str">
        <f t="shared" si="9"/>
        <v/>
      </c>
      <c r="W43" s="4" t="e">
        <v>#N/A</v>
      </c>
      <c r="X43" s="4" t="str">
        <f>IFERROR(_xll.qlRateHelperQuoteName(W43,Trigger),"")</f>
        <v/>
      </c>
      <c r="Y43" s="70" t="str">
        <f>IFERROR(_xll.qlRateHelperRate(W43,Trigger),"")</f>
        <v/>
      </c>
      <c r="Z43" s="104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0" t="e">
        <v>#N/A</v>
      </c>
      <c r="AD43" s="169" t="e">
        <v>#N/A</v>
      </c>
      <c r="AE43" s="170" t="e">
        <v>#N/A</v>
      </c>
      <c r="AF43" s="172" t="e">
        <f>_xll.qlYieldTSZeroRate(yieldcurve1_STD,$AD43,"ACTUAL/365 (FIXED)",,,TRUE,Trigger)-AE43</f>
        <v>#NUM!</v>
      </c>
    </row>
    <row r="44" spans="1:33" ht="11.25" customHeight="1" x14ac:dyDescent="0.2">
      <c r="A44" s="59" t="s">
        <v>25</v>
      </c>
      <c r="B44" s="60" t="s">
        <v>52</v>
      </c>
      <c r="C44" s="61" t="s">
        <v>6</v>
      </c>
      <c r="D44" s="61" t="s">
        <v>8</v>
      </c>
      <c r="E44" s="61" t="s">
        <v>7</v>
      </c>
      <c r="F44" s="61" t="s">
        <v>125</v>
      </c>
      <c r="G44" s="61" t="str">
        <f t="shared" si="13"/>
        <v>Euribor6M</v>
      </c>
      <c r="H44" s="59" t="str">
        <f t="shared" si="14"/>
        <v>EURAB6E2Y_LCHQuote</v>
      </c>
      <c r="I44" s="127">
        <v>0</v>
      </c>
      <c r="J44" s="64" t="str">
        <f>_xll.qlSwapRateHelper2(,$H44,,$B44,Calendar,$D44,$E44,$F44,$G44,$I44,$C44,,PillarDate,,Permanent,Trigger,ObjectOverwrite)</f>
        <v>obj_00633#0001</v>
      </c>
      <c r="K44" s="48"/>
      <c r="L44" s="10" t="str">
        <f t="shared" si="10"/>
        <v>Sw</v>
      </c>
      <c r="M44" s="94" t="str">
        <f t="shared" si="12"/>
        <v>obj_00613#0001</v>
      </c>
      <c r="N44" s="146" t="str">
        <f>IFERROR(_xll.qlRateHelperQuoteName(M44,Trigger),"--")</f>
        <v>EURAB6E6Y_LCHQuote</v>
      </c>
      <c r="O44" s="98">
        <f>IFERROR(_xll.qlRateHelperQuoteValue($M44,Trigger),"--")</f>
        <v>5.0607500000000001E-3</v>
      </c>
      <c r="P44" s="97" t="b">
        <v>1</v>
      </c>
      <c r="Q44" s="94">
        <v>10</v>
      </c>
      <c r="R44" s="94">
        <v>1</v>
      </c>
      <c r="S44" s="99">
        <f>IFERROR(_xll.qlRateHelperEarliestDate(M44,Trigger),"--")</f>
        <v>42256</v>
      </c>
      <c r="T44" s="99">
        <f>IFERROR(_xll.qlRateHelperPillarDate(M44,Trigger),"--")</f>
        <v>44448</v>
      </c>
      <c r="V44" s="4" t="str">
        <f t="shared" si="9"/>
        <v/>
      </c>
      <c r="W44" s="4" t="e">
        <v>#N/A</v>
      </c>
      <c r="X44" s="4" t="str">
        <f>IFERROR(_xll.qlRateHelperQuoteName(W44,Trigger),"")</f>
        <v/>
      </c>
      <c r="Y44" s="70" t="str">
        <f>IFERROR(_xll.qlRateHelperRate(W44,Trigger),"")</f>
        <v/>
      </c>
      <c r="Z44" s="104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0" t="e">
        <v>#N/A</v>
      </c>
      <c r="AD44" s="169" t="e">
        <v>#N/A</v>
      </c>
      <c r="AE44" s="170" t="e">
        <v>#N/A</v>
      </c>
      <c r="AF44" s="172" t="e">
        <f>_xll.qlYieldTSZeroRate(yieldcurve1_STD,$AD44,"ACTUAL/365 (FIXED)",,,TRUE,Trigger)-AE44</f>
        <v>#NUM!</v>
      </c>
    </row>
    <row r="45" spans="1:33" ht="11.25" customHeight="1" x14ac:dyDescent="0.2">
      <c r="A45" s="59" t="s">
        <v>25</v>
      </c>
      <c r="B45" s="60" t="s">
        <v>53</v>
      </c>
      <c r="C45" s="61" t="s">
        <v>6</v>
      </c>
      <c r="D45" s="61" t="s">
        <v>8</v>
      </c>
      <c r="E45" s="61" t="s">
        <v>7</v>
      </c>
      <c r="F45" s="61" t="s">
        <v>125</v>
      </c>
      <c r="G45" s="61" t="str">
        <f t="shared" si="13"/>
        <v>Euribor6M</v>
      </c>
      <c r="H45" s="59" t="str">
        <f t="shared" si="14"/>
        <v>EURAB6E3Y_LCHQuote</v>
      </c>
      <c r="I45" s="127">
        <v>0</v>
      </c>
      <c r="J45" s="64" t="str">
        <f>_xll.qlSwapRateHelper2(,$H45,,$B45,Calendar,$D45,$E45,$F45,$G45,$I45,$C45,,PillarDate,,Permanent,Trigger,ObjectOverwrite)</f>
        <v>obj_0061a#0001</v>
      </c>
      <c r="K45" s="48"/>
      <c r="L45" s="10" t="str">
        <f t="shared" si="10"/>
        <v>Sw</v>
      </c>
      <c r="M45" s="94" t="str">
        <f t="shared" si="12"/>
        <v>obj_0061d#0001</v>
      </c>
      <c r="N45" s="146" t="str">
        <f>IFERROR(_xll.qlRateHelperQuoteName(M45,Trigger),"--")</f>
        <v>EURAB6E7Y_LCHQuote</v>
      </c>
      <c r="O45" s="98">
        <f>IFERROR(_xll.qlRateHelperQuoteValue($M45,Trigger),"--")</f>
        <v>6.4152499999999999E-3</v>
      </c>
      <c r="P45" s="97" t="b">
        <v>1</v>
      </c>
      <c r="Q45" s="94">
        <v>10</v>
      </c>
      <c r="R45" s="94">
        <v>1</v>
      </c>
      <c r="S45" s="99">
        <f>IFERROR(_xll.qlRateHelperEarliestDate(M45,Trigger),"--")</f>
        <v>42256</v>
      </c>
      <c r="T45" s="99">
        <f>IFERROR(_xll.qlRateHelperPillarDate(M45,Trigger),"--")</f>
        <v>44813</v>
      </c>
      <c r="V45" s="4" t="str">
        <f t="shared" si="9"/>
        <v/>
      </c>
      <c r="W45" s="4" t="e">
        <v>#N/A</v>
      </c>
      <c r="X45" s="4" t="str">
        <f>IFERROR(_xll.qlRateHelperQuoteName(W45,Trigger),"")</f>
        <v/>
      </c>
      <c r="Y45" s="70" t="str">
        <f>IFERROR(_xll.qlRateHelperRate(W45,Trigger),"")</f>
        <v/>
      </c>
      <c r="Z45" s="104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0" t="e">
        <v>#N/A</v>
      </c>
      <c r="AD45" s="169" t="e">
        <v>#N/A</v>
      </c>
      <c r="AE45" s="170" t="e">
        <v>#N/A</v>
      </c>
      <c r="AF45" s="172" t="e">
        <f>_xll.qlYieldTSZeroRate(yieldcurve1_STD,$AD45,"ACTUAL/365 (FIXED)",,,TRUE,Trigger)-AE45</f>
        <v>#NUM!</v>
      </c>
    </row>
    <row r="46" spans="1:33" ht="11.25" customHeight="1" x14ac:dyDescent="0.2">
      <c r="A46" s="59" t="s">
        <v>25</v>
      </c>
      <c r="B46" s="60" t="s">
        <v>54</v>
      </c>
      <c r="C46" s="61" t="s">
        <v>6</v>
      </c>
      <c r="D46" s="61" t="s">
        <v>8</v>
      </c>
      <c r="E46" s="61" t="s">
        <v>7</v>
      </c>
      <c r="F46" s="61" t="s">
        <v>125</v>
      </c>
      <c r="G46" s="61" t="str">
        <f t="shared" si="13"/>
        <v>Euribor6M</v>
      </c>
      <c r="H46" s="59" t="str">
        <f t="shared" si="14"/>
        <v>EURAB6E4Y_LCHQuote</v>
      </c>
      <c r="I46" s="127">
        <v>0</v>
      </c>
      <c r="J46" s="64" t="str">
        <f>_xll.qlSwapRateHelper2(,$H46,,$B46,Calendar,$D46,$E46,$F46,$G46,$I46,$C46,,PillarDate,,Permanent,Trigger,ObjectOverwrite)</f>
        <v>obj_00698#0001</v>
      </c>
      <c r="L46" s="10" t="str">
        <f t="shared" si="10"/>
        <v>Sw</v>
      </c>
      <c r="M46" s="94" t="str">
        <f t="shared" si="12"/>
        <v>obj_00628#0001</v>
      </c>
      <c r="N46" s="146" t="str">
        <f>IFERROR(_xll.qlRateHelperQuoteName(M46,Trigger),"--")</f>
        <v>EURAB6E8Y_LCHQuote</v>
      </c>
      <c r="O46" s="98">
        <f>IFERROR(_xll.qlRateHelperQuoteValue($M46,Trigger),"--")</f>
        <v>7.7302500000000001E-3</v>
      </c>
      <c r="P46" s="97" t="b">
        <v>1</v>
      </c>
      <c r="Q46" s="94">
        <v>10</v>
      </c>
      <c r="R46" s="94">
        <v>1</v>
      </c>
      <c r="S46" s="99">
        <f>IFERROR(_xll.qlRateHelperEarliestDate(M46,Trigger),"--")</f>
        <v>42256</v>
      </c>
      <c r="T46" s="99">
        <f>IFERROR(_xll.qlRateHelperPillarDate(M46,Trigger),"--")</f>
        <v>45180</v>
      </c>
      <c r="V46" s="4" t="str">
        <f t="shared" si="9"/>
        <v/>
      </c>
      <c r="W46" s="4" t="e">
        <v>#N/A</v>
      </c>
      <c r="X46" s="4" t="str">
        <f>IFERROR(_xll.qlRateHelperQuoteName(W46,Trigger),"")</f>
        <v/>
      </c>
      <c r="Y46" s="70" t="str">
        <f>IFERROR(_xll.qlRateHelperRate(W46,Trigger),"")</f>
        <v/>
      </c>
      <c r="Z46" s="104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0" t="e">
        <v>#N/A</v>
      </c>
      <c r="AD46" s="169" t="e">
        <v>#N/A</v>
      </c>
      <c r="AE46" s="170" t="e">
        <v>#N/A</v>
      </c>
      <c r="AF46" s="172" t="e">
        <f>_xll.qlYieldTSZeroRate(yieldcurve1_STD,$AD46,"ACTUAL/365 (FIXED)",,,TRUE,Trigger)-AE46</f>
        <v>#NUM!</v>
      </c>
    </row>
    <row r="47" spans="1:33" ht="11.25" customHeight="1" x14ac:dyDescent="0.2">
      <c r="A47" s="59" t="s">
        <v>25</v>
      </c>
      <c r="B47" s="60" t="s">
        <v>55</v>
      </c>
      <c r="C47" s="61" t="s">
        <v>6</v>
      </c>
      <c r="D47" s="61" t="s">
        <v>8</v>
      </c>
      <c r="E47" s="61" t="s">
        <v>7</v>
      </c>
      <c r="F47" s="61" t="s">
        <v>125</v>
      </c>
      <c r="G47" s="61" t="str">
        <f t="shared" si="13"/>
        <v>Euribor6M</v>
      </c>
      <c r="H47" s="59" t="str">
        <f t="shared" si="14"/>
        <v>EURAB6E5Y_LCHQuote</v>
      </c>
      <c r="I47" s="127">
        <v>0</v>
      </c>
      <c r="J47" s="64" t="str">
        <f>_xll.qlSwapRateHelper2(,$H47,,$B47,Calendar,$D47,$E47,$F47,$G47,$I47,$C47,,PillarDate,,Permanent,Trigger,ObjectOverwrite)</f>
        <v>obj_00619#0001</v>
      </c>
      <c r="L47" s="10" t="str">
        <f t="shared" si="10"/>
        <v>Sw</v>
      </c>
      <c r="M47" s="94" t="str">
        <f t="shared" si="12"/>
        <v>obj_0061e#0001</v>
      </c>
      <c r="N47" s="146" t="str">
        <f>IFERROR(_xll.qlRateHelperQuoteName(M47,Trigger),"--")</f>
        <v>EURAB6E9Y_LCHQuote</v>
      </c>
      <c r="O47" s="98">
        <f>IFERROR(_xll.qlRateHelperQuoteValue($M47,Trigger),"--")</f>
        <v>8.9230000000000004E-3</v>
      </c>
      <c r="P47" s="97" t="b">
        <v>1</v>
      </c>
      <c r="Q47" s="94">
        <v>10</v>
      </c>
      <c r="R47" s="94">
        <v>1</v>
      </c>
      <c r="S47" s="99">
        <f>IFERROR(_xll.qlRateHelperEarliestDate(M47,Trigger),"--")</f>
        <v>42256</v>
      </c>
      <c r="T47" s="99">
        <f>IFERROR(_xll.qlRateHelperPillarDate(M47,Trigger),"--")</f>
        <v>45544</v>
      </c>
      <c r="V47" s="4" t="str">
        <f t="shared" si="9"/>
        <v/>
      </c>
      <c r="W47" s="4" t="e">
        <v>#N/A</v>
      </c>
      <c r="X47" s="4" t="str">
        <f>IFERROR(_xll.qlRateHelperQuoteName(W47,Trigger),"")</f>
        <v/>
      </c>
      <c r="Y47" s="70" t="str">
        <f>IFERROR(_xll.qlRateHelperRate(W47,Trigger),"")</f>
        <v/>
      </c>
      <c r="Z47" s="104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0" t="e">
        <v>#N/A</v>
      </c>
      <c r="AD47" s="169" t="e">
        <v>#N/A</v>
      </c>
      <c r="AE47" s="170" t="e">
        <v>#N/A</v>
      </c>
      <c r="AF47" s="172" t="e">
        <f>_xll.qlYieldTSZeroRate(yieldcurve1_STD,$AD47,"ACTUAL/365 (FIXED)",,,TRUE,Trigger)-AE47</f>
        <v>#NUM!</v>
      </c>
    </row>
    <row r="48" spans="1:33" ht="11.25" customHeight="1" x14ac:dyDescent="0.2">
      <c r="A48" s="59" t="s">
        <v>25</v>
      </c>
      <c r="B48" s="60" t="s">
        <v>56</v>
      </c>
      <c r="C48" s="61" t="s">
        <v>6</v>
      </c>
      <c r="D48" s="61" t="s">
        <v>8</v>
      </c>
      <c r="E48" s="61" t="s">
        <v>7</v>
      </c>
      <c r="F48" s="61" t="s">
        <v>125</v>
      </c>
      <c r="G48" s="61" t="str">
        <f t="shared" si="13"/>
        <v>Euribor6M</v>
      </c>
      <c r="H48" s="59" t="str">
        <f t="shared" si="14"/>
        <v>EURAB6E6Y_LCHQuote</v>
      </c>
      <c r="I48" s="127">
        <v>0</v>
      </c>
      <c r="J48" s="64" t="str">
        <f>_xll.qlSwapRateHelper2(,$H48,,$B48,Calendar,$D48,$E48,$F48,$G48,$I48,$C48,,PillarDate,,Permanent,Trigger,ObjectOverwrite)</f>
        <v>obj_00613#0001</v>
      </c>
      <c r="L48" s="10" t="str">
        <f t="shared" si="10"/>
        <v>Sw</v>
      </c>
      <c r="M48" s="94" t="str">
        <f t="shared" si="12"/>
        <v>obj_00636#0001</v>
      </c>
      <c r="N48" s="146" t="str">
        <f>IFERROR(_xll.qlRateHelperQuoteName(M48,Trigger),"--")</f>
        <v>EURAB6E10Y_LCHQuote</v>
      </c>
      <c r="O48" s="98">
        <f>IFERROR(_xll.qlRateHelperQuoteValue($M48,Trigger),"--")</f>
        <v>9.9725000000000005E-3</v>
      </c>
      <c r="P48" s="97" t="b">
        <v>1</v>
      </c>
      <c r="Q48" s="94">
        <v>10</v>
      </c>
      <c r="R48" s="94">
        <v>1</v>
      </c>
      <c r="S48" s="99">
        <f>IFERROR(_xll.qlRateHelperEarliestDate(M48,Trigger),"--")</f>
        <v>42256</v>
      </c>
      <c r="T48" s="99">
        <f>IFERROR(_xll.qlRateHelperPillarDate(M48,Trigger),"--")</f>
        <v>45909</v>
      </c>
      <c r="V48" s="4" t="str">
        <f t="shared" si="9"/>
        <v/>
      </c>
      <c r="W48" s="4" t="e">
        <v>#N/A</v>
      </c>
      <c r="X48" s="4" t="str">
        <f>IFERROR(_xll.qlRateHelperQuoteName(W48,Trigger),"")</f>
        <v/>
      </c>
      <c r="Y48" s="70" t="str">
        <f>IFERROR(_xll.qlRateHelperRate(W48,Trigger),"")</f>
        <v/>
      </c>
      <c r="Z48" s="104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0" t="e">
        <v>#N/A</v>
      </c>
      <c r="AD48" s="169" t="e">
        <v>#N/A</v>
      </c>
      <c r="AE48" s="170" t="e">
        <v>#N/A</v>
      </c>
      <c r="AF48" s="172" t="e">
        <f>_xll.qlYieldTSZeroRate(yieldcurve1_STD,$AD48,"ACTUAL/365 (FIXED)",,,TRUE,Trigger)-AE48</f>
        <v>#NUM!</v>
      </c>
    </row>
    <row r="49" spans="1:32" ht="11.25" customHeight="1" x14ac:dyDescent="0.2">
      <c r="A49" s="59" t="s">
        <v>25</v>
      </c>
      <c r="B49" s="60" t="s">
        <v>57</v>
      </c>
      <c r="C49" s="61" t="s">
        <v>6</v>
      </c>
      <c r="D49" s="61" t="s">
        <v>8</v>
      </c>
      <c r="E49" s="61" t="s">
        <v>7</v>
      </c>
      <c r="F49" s="61" t="s">
        <v>125</v>
      </c>
      <c r="G49" s="61" t="str">
        <f t="shared" si="13"/>
        <v>Euribor6M</v>
      </c>
      <c r="H49" s="59" t="str">
        <f t="shared" si="14"/>
        <v>EURAB6E7Y_LCHQuote</v>
      </c>
      <c r="I49" s="127">
        <v>0</v>
      </c>
      <c r="J49" s="64" t="str">
        <f>_xll.qlSwapRateHelper2(,$H49,,$B49,Calendar,$D49,$E49,$F49,$G49,$I49,$C49,,PillarDate,,Permanent,Trigger,ObjectOverwrite)</f>
        <v>obj_0061d#0001</v>
      </c>
      <c r="L49" s="10" t="str">
        <f t="shared" si="10"/>
        <v>Sw</v>
      </c>
      <c r="M49" s="94" t="str">
        <f t="shared" si="12"/>
        <v>obj_00622#0001</v>
      </c>
      <c r="N49" s="146" t="str">
        <f>IFERROR(_xll.qlRateHelperQuoteName(M49,Trigger),"--")</f>
        <v>EURAB6E11Y_LCHQuote</v>
      </c>
      <c r="O49" s="98" t="str">
        <f>IFERROR(_xll.qlRateHelperQuoteValue($M49,Trigger),"--")</f>
        <v>--</v>
      </c>
      <c r="P49" s="97" t="b">
        <v>0</v>
      </c>
      <c r="Q49" s="94">
        <v>10</v>
      </c>
      <c r="R49" s="94">
        <v>1</v>
      </c>
      <c r="S49" s="99">
        <f>IFERROR(_xll.qlRateHelperEarliestDate(M49,Trigger),"--")</f>
        <v>42256</v>
      </c>
      <c r="T49" s="99">
        <f>IFERROR(_xll.qlRateHelperPillarDate(M49,Trigger),"--")</f>
        <v>46274</v>
      </c>
      <c r="V49" s="4" t="str">
        <f t="shared" si="9"/>
        <v/>
      </c>
      <c r="W49" s="4" t="e">
        <v>#N/A</v>
      </c>
      <c r="X49" s="4" t="str">
        <f>IFERROR(_xll.qlRateHelperQuoteName(W49,Trigger),"")</f>
        <v/>
      </c>
      <c r="Y49" s="70" t="str">
        <f>IFERROR(_xll.qlRateHelperRate(W49,Trigger),"")</f>
        <v/>
      </c>
      <c r="Z49" s="104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0" t="e">
        <v>#N/A</v>
      </c>
      <c r="AD49" s="169" t="e">
        <v>#N/A</v>
      </c>
      <c r="AE49" s="170" t="e">
        <v>#N/A</v>
      </c>
      <c r="AF49" s="172" t="e">
        <f>_xll.qlYieldTSZeroRate(yieldcurve1_STD,$AD49,"ACTUAL/365 (FIXED)",,,TRUE,Trigger)-AE49</f>
        <v>#NUM!</v>
      </c>
    </row>
    <row r="50" spans="1:32" ht="11.25" customHeight="1" x14ac:dyDescent="0.2">
      <c r="A50" s="59" t="s">
        <v>25</v>
      </c>
      <c r="B50" s="60" t="s">
        <v>58</v>
      </c>
      <c r="C50" s="61" t="s">
        <v>6</v>
      </c>
      <c r="D50" s="61" t="s">
        <v>8</v>
      </c>
      <c r="E50" s="61" t="s">
        <v>7</v>
      </c>
      <c r="F50" s="61" t="s">
        <v>125</v>
      </c>
      <c r="G50" s="61" t="str">
        <f t="shared" si="13"/>
        <v>Euribor6M</v>
      </c>
      <c r="H50" s="59" t="str">
        <f t="shared" si="14"/>
        <v>EURAB6E8Y_LCHQuote</v>
      </c>
      <c r="I50" s="127">
        <v>0</v>
      </c>
      <c r="J50" s="64" t="str">
        <f>_xll.qlSwapRateHelper2(,$H50,,$B50,Calendar,$D50,$E50,$F50,$G50,$I50,$C50,,PillarDate,,Permanent,Trigger,ObjectOverwrite)</f>
        <v>obj_00628#0001</v>
      </c>
      <c r="L50" s="10" t="str">
        <f t="shared" si="10"/>
        <v>Sw</v>
      </c>
      <c r="M50" s="94" t="str">
        <f t="shared" si="12"/>
        <v>obj_00612#0001</v>
      </c>
      <c r="N50" s="146" t="str">
        <f>IFERROR(_xll.qlRateHelperQuoteName(M50,Trigger),"--")</f>
        <v>EURAB6E12Y_LCHQuote</v>
      </c>
      <c r="O50" s="98">
        <f>IFERROR(_xll.qlRateHelperQuoteValue($M50,Trigger),"--")</f>
        <v>1.17675E-2</v>
      </c>
      <c r="P50" s="97" t="b">
        <v>1</v>
      </c>
      <c r="Q50" s="94">
        <v>10</v>
      </c>
      <c r="R50" s="94">
        <v>1</v>
      </c>
      <c r="S50" s="99">
        <f>IFERROR(_xll.qlRateHelperEarliestDate(M50,Trigger),"--")</f>
        <v>42256</v>
      </c>
      <c r="T50" s="99">
        <f>IFERROR(_xll.qlRateHelperPillarDate(M50,Trigger),"--")</f>
        <v>46639</v>
      </c>
      <c r="V50" s="4" t="str">
        <f t="shared" si="9"/>
        <v/>
      </c>
      <c r="W50" s="4" t="e">
        <v>#N/A</v>
      </c>
      <c r="X50" s="4" t="str">
        <f>IFERROR(_xll.qlRateHelperQuoteName(W50,Trigger),"")</f>
        <v/>
      </c>
      <c r="Y50" s="70" t="str">
        <f>IFERROR(_xll.qlRateHelperRate(W50,Trigger),"")</f>
        <v/>
      </c>
      <c r="Z50" s="104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0" t="e">
        <v>#N/A</v>
      </c>
      <c r="AD50" s="169" t="e">
        <v>#N/A</v>
      </c>
      <c r="AE50" s="170" t="e">
        <v>#N/A</v>
      </c>
      <c r="AF50" s="172" t="e">
        <f>_xll.qlYieldTSZeroRate(yieldcurve1_STD,$AD50,"ACTUAL/365 (FIXED)",,,TRUE,Trigger)-AE50</f>
        <v>#NUM!</v>
      </c>
    </row>
    <row r="51" spans="1:32" ht="11.25" customHeight="1" x14ac:dyDescent="0.2">
      <c r="A51" s="59" t="s">
        <v>25</v>
      </c>
      <c r="B51" s="60" t="s">
        <v>59</v>
      </c>
      <c r="C51" s="61" t="s">
        <v>6</v>
      </c>
      <c r="D51" s="61" t="s">
        <v>8</v>
      </c>
      <c r="E51" s="61" t="s">
        <v>7</v>
      </c>
      <c r="F51" s="61" t="s">
        <v>125</v>
      </c>
      <c r="G51" s="61" t="str">
        <f t="shared" si="13"/>
        <v>Euribor6M</v>
      </c>
      <c r="H51" s="59" t="str">
        <f t="shared" si="14"/>
        <v>EURAB6E9Y_LCHQuote</v>
      </c>
      <c r="I51" s="127">
        <v>0</v>
      </c>
      <c r="J51" s="64" t="str">
        <f>_xll.qlSwapRateHelper2(,$H51,,$B51,Calendar,$D51,$E51,$F51,$G51,$I51,$C51,,PillarDate,,Permanent,Trigger,ObjectOverwrite)</f>
        <v>obj_0061e#0001</v>
      </c>
      <c r="L51" s="10" t="str">
        <f t="shared" si="10"/>
        <v>Sw</v>
      </c>
      <c r="M51" s="94" t="str">
        <f t="shared" si="12"/>
        <v>obj_00624#0001</v>
      </c>
      <c r="N51" s="146" t="str">
        <f>IFERROR(_xll.qlRateHelperQuoteName(M51,Trigger),"--")</f>
        <v>EURAB6E13Y_LCHQuote</v>
      </c>
      <c r="O51" s="98" t="str">
        <f>IFERROR(_xll.qlRateHelperQuoteValue($M51,Trigger),"--")</f>
        <v>--</v>
      </c>
      <c r="P51" s="97" t="b">
        <v>0</v>
      </c>
      <c r="Q51" s="94">
        <v>10</v>
      </c>
      <c r="R51" s="94">
        <v>1</v>
      </c>
      <c r="S51" s="99">
        <f>IFERROR(_xll.qlRateHelperEarliestDate(M51,Trigger),"--")</f>
        <v>42256</v>
      </c>
      <c r="T51" s="99">
        <f>IFERROR(_xll.qlRateHelperPillarDate(M51,Trigger),"--")</f>
        <v>47007</v>
      </c>
      <c r="V51" s="4" t="str">
        <f t="shared" si="9"/>
        <v/>
      </c>
      <c r="W51" s="4" t="e">
        <v>#N/A</v>
      </c>
      <c r="X51" s="4" t="str">
        <f>IFERROR(_xll.qlRateHelperQuoteName(W51,Trigger),"")</f>
        <v/>
      </c>
      <c r="Y51" s="70" t="str">
        <f>IFERROR(_xll.qlRateHelperRate(W51,Trigger),"")</f>
        <v/>
      </c>
      <c r="Z51" s="104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0" t="e">
        <v>#N/A</v>
      </c>
      <c r="AD51" s="169" t="e">
        <v>#N/A</v>
      </c>
      <c r="AE51" s="170" t="e">
        <v>#N/A</v>
      </c>
      <c r="AF51" s="172" t="e">
        <f>_xll.qlYieldTSZeroRate(yieldcurve1_STD,$AD51,"ACTUAL/365 (FIXED)",,,TRUE,Trigger)-AE51</f>
        <v>#NUM!</v>
      </c>
    </row>
    <row r="52" spans="1:32" ht="11.25" customHeight="1" x14ac:dyDescent="0.2">
      <c r="A52" s="59" t="s">
        <v>25</v>
      </c>
      <c r="B52" s="60" t="s">
        <v>60</v>
      </c>
      <c r="C52" s="61" t="s">
        <v>6</v>
      </c>
      <c r="D52" s="61" t="s">
        <v>8</v>
      </c>
      <c r="E52" s="61" t="s">
        <v>7</v>
      </c>
      <c r="F52" s="61" t="s">
        <v>125</v>
      </c>
      <c r="G52" s="61" t="str">
        <f t="shared" si="13"/>
        <v>Euribor6M</v>
      </c>
      <c r="H52" s="59" t="str">
        <f t="shared" si="14"/>
        <v>EURAB6E10Y_LCHQuote</v>
      </c>
      <c r="I52" s="127">
        <v>0</v>
      </c>
      <c r="J52" s="64" t="str">
        <f>_xll.qlSwapRateHelper2(,$H52,,$B52,Calendar,$D52,$E52,$F52,$G52,$I52,$C52,,PillarDate,,Permanent,Trigger,ObjectOverwrite)</f>
        <v>obj_00636#0001</v>
      </c>
      <c r="L52" s="10" t="str">
        <f t="shared" si="10"/>
        <v>Sw</v>
      </c>
      <c r="M52" s="94" t="str">
        <f t="shared" si="12"/>
        <v>obj_00623#0001</v>
      </c>
      <c r="N52" s="146" t="str">
        <f>IFERROR(_xll.qlRateHelperQuoteName(M52,Trigger),"--")</f>
        <v>EURAB6E14Y_LCHQuote</v>
      </c>
      <c r="O52" s="98" t="str">
        <f>IFERROR(_xll.qlRateHelperQuoteValue($M52,Trigger),"--")</f>
        <v>--</v>
      </c>
      <c r="P52" s="97" t="b">
        <v>0</v>
      </c>
      <c r="Q52" s="94">
        <v>10</v>
      </c>
      <c r="R52" s="94">
        <v>1</v>
      </c>
      <c r="S52" s="99">
        <f>IFERROR(_xll.qlRateHelperEarliestDate(M52,Trigger),"--")</f>
        <v>42256</v>
      </c>
      <c r="T52" s="99">
        <f>IFERROR(_xll.qlRateHelperPillarDate(M52,Trigger),"--")</f>
        <v>47371</v>
      </c>
      <c r="V52" s="4" t="str">
        <f t="shared" si="9"/>
        <v/>
      </c>
      <c r="W52" s="4" t="e">
        <v>#N/A</v>
      </c>
      <c r="X52" s="4" t="str">
        <f>IFERROR(_xll.qlRateHelperQuoteName(W52,Trigger),"")</f>
        <v/>
      </c>
      <c r="Y52" s="70" t="str">
        <f>IFERROR(_xll.qlRateHelperRate(W52,Trigger),"")</f>
        <v/>
      </c>
      <c r="Z52" s="104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0" t="e">
        <v>#N/A</v>
      </c>
      <c r="AD52" s="169" t="e">
        <v>#N/A</v>
      </c>
      <c r="AE52" s="170" t="e">
        <v>#N/A</v>
      </c>
      <c r="AF52" s="172" t="e">
        <f>_xll.qlYieldTSZeroRate(yieldcurve1_STD,$AD52,"ACTUAL/365 (FIXED)",,,TRUE,Trigger)-AE52</f>
        <v>#NUM!</v>
      </c>
    </row>
    <row r="53" spans="1:32" ht="11.25" customHeight="1" x14ac:dyDescent="0.2">
      <c r="A53" s="59" t="s">
        <v>25</v>
      </c>
      <c r="B53" s="60" t="s">
        <v>98</v>
      </c>
      <c r="C53" s="61" t="s">
        <v>6</v>
      </c>
      <c r="D53" s="61" t="s">
        <v>8</v>
      </c>
      <c r="E53" s="61" t="s">
        <v>7</v>
      </c>
      <c r="F53" s="61" t="s">
        <v>125</v>
      </c>
      <c r="G53" s="61" t="str">
        <f t="shared" si="13"/>
        <v>Euribor6M</v>
      </c>
      <c r="H53" s="59" t="str">
        <f t="shared" si="14"/>
        <v>EURAB6E11Y_LCHQuote</v>
      </c>
      <c r="I53" s="127">
        <v>0</v>
      </c>
      <c r="J53" s="64" t="str">
        <f>_xll.qlSwapRateHelper2(,$H53,,$B53,Calendar,$D53,$E53,$F53,$G53,$I53,$C53,,PillarDate,,Permanent,Trigger,ObjectOverwrite)</f>
        <v>obj_00622#0001</v>
      </c>
      <c r="L53" s="10" t="str">
        <f t="shared" si="10"/>
        <v>Sw</v>
      </c>
      <c r="M53" s="94" t="str">
        <f t="shared" si="12"/>
        <v>obj_00635#0001</v>
      </c>
      <c r="N53" s="146" t="str">
        <f>IFERROR(_xll.qlRateHelperQuoteName(M53,Trigger),"--")</f>
        <v>EURAB6E15Y_LCHQuote</v>
      </c>
      <c r="O53" s="98">
        <f>IFERROR(_xll.qlRateHelperQuoteValue($M53,Trigger),"--")</f>
        <v>1.359E-2</v>
      </c>
      <c r="P53" s="97" t="b">
        <v>1</v>
      </c>
      <c r="Q53" s="94">
        <v>10</v>
      </c>
      <c r="R53" s="94">
        <v>1</v>
      </c>
      <c r="S53" s="99">
        <f>IFERROR(_xll.qlRateHelperEarliestDate(M53,Trigger),"--")</f>
        <v>42256</v>
      </c>
      <c r="T53" s="99">
        <f>IFERROR(_xll.qlRateHelperPillarDate(M53,Trigger),"--")</f>
        <v>47735</v>
      </c>
      <c r="V53" s="4" t="str">
        <f t="shared" si="9"/>
        <v/>
      </c>
      <c r="W53" s="4" t="e">
        <v>#N/A</v>
      </c>
      <c r="X53" s="4" t="str">
        <f>IFERROR(_xll.qlRateHelperQuoteName(W53,Trigger),"")</f>
        <v/>
      </c>
      <c r="Y53" s="70" t="str">
        <f>IFERROR(_xll.qlRateHelperRate(W53,Trigger),"")</f>
        <v/>
      </c>
      <c r="Z53" s="104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0" t="e">
        <v>#N/A</v>
      </c>
      <c r="AD53" s="169" t="e">
        <v>#N/A</v>
      </c>
      <c r="AE53" s="170" t="e">
        <v>#N/A</v>
      </c>
      <c r="AF53" s="172" t="e">
        <f>_xll.qlYieldTSZeroRate(yieldcurve1_STD,$AD53,"ACTUAL/365 (FIXED)",,,TRUE,Trigger)-AE53</f>
        <v>#NUM!</v>
      </c>
    </row>
    <row r="54" spans="1:32" ht="11.25" customHeight="1" x14ac:dyDescent="0.2">
      <c r="A54" s="59" t="s">
        <v>25</v>
      </c>
      <c r="B54" s="60" t="s">
        <v>61</v>
      </c>
      <c r="C54" s="61" t="s">
        <v>6</v>
      </c>
      <c r="D54" s="61" t="s">
        <v>8</v>
      </c>
      <c r="E54" s="61" t="s">
        <v>7</v>
      </c>
      <c r="F54" s="61" t="s">
        <v>125</v>
      </c>
      <c r="G54" s="61" t="str">
        <f t="shared" si="13"/>
        <v>Euribor6M</v>
      </c>
      <c r="H54" s="59" t="str">
        <f t="shared" si="14"/>
        <v>EURAB6E12Y_LCHQuote</v>
      </c>
      <c r="I54" s="127">
        <v>0</v>
      </c>
      <c r="J54" s="64" t="str">
        <f>_xll.qlSwapRateHelper2(,$H54,,$B54,Calendar,$D54,$E54,$F54,$G54,$I54,$C54,,PillarDate,,Permanent,Trigger,ObjectOverwrite)</f>
        <v>obj_00612#0001</v>
      </c>
      <c r="L54" s="10" t="str">
        <f t="shared" si="10"/>
        <v>Sw</v>
      </c>
      <c r="M54" s="94" t="str">
        <f t="shared" si="12"/>
        <v>obj_00616#0001</v>
      </c>
      <c r="N54" s="146" t="str">
        <f>IFERROR(_xll.qlRateHelperQuoteName(M54,Trigger),"--")</f>
        <v>EURAB6E16Y_LCHQuote</v>
      </c>
      <c r="O54" s="98" t="str">
        <f>IFERROR(_xll.qlRateHelperQuoteValue($M54,Trigger),"--")</f>
        <v>--</v>
      </c>
      <c r="P54" s="97" t="b">
        <v>0</v>
      </c>
      <c r="Q54" s="94">
        <v>10</v>
      </c>
      <c r="R54" s="94">
        <v>1</v>
      </c>
      <c r="S54" s="99">
        <f>IFERROR(_xll.qlRateHelperEarliestDate(M54,Trigger),"--")</f>
        <v>42256</v>
      </c>
      <c r="T54" s="99">
        <f>IFERROR(_xll.qlRateHelperPillarDate(M54,Trigger),"--")</f>
        <v>48100</v>
      </c>
      <c r="V54" s="4" t="str">
        <f t="shared" si="9"/>
        <v/>
      </c>
      <c r="W54" s="4" t="e">
        <v>#N/A</v>
      </c>
      <c r="X54" s="4" t="str">
        <f>IFERROR(_xll.qlRateHelperQuoteName(W54,Trigger),"")</f>
        <v/>
      </c>
      <c r="Y54" s="70" t="str">
        <f>IFERROR(_xll.qlRateHelperRate(W54,Trigger),"")</f>
        <v/>
      </c>
      <c r="Z54" s="104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0" t="e">
        <v>#N/A</v>
      </c>
      <c r="AD54" s="169" t="e">
        <v>#N/A</v>
      </c>
      <c r="AE54" s="170" t="e">
        <v>#N/A</v>
      </c>
      <c r="AF54" s="172" t="e">
        <f>_xll.qlYieldTSZeroRate(yieldcurve1_STD,$AD54,"ACTUAL/365 (FIXED)",,,TRUE,Trigger)-AE54</f>
        <v>#NUM!</v>
      </c>
    </row>
    <row r="55" spans="1:32" ht="11.25" customHeight="1" x14ac:dyDescent="0.2">
      <c r="A55" s="59" t="s">
        <v>25</v>
      </c>
      <c r="B55" s="60" t="s">
        <v>99</v>
      </c>
      <c r="C55" s="61" t="s">
        <v>6</v>
      </c>
      <c r="D55" s="61" t="s">
        <v>8</v>
      </c>
      <c r="E55" s="61" t="s">
        <v>7</v>
      </c>
      <c r="F55" s="61" t="s">
        <v>125</v>
      </c>
      <c r="G55" s="61" t="str">
        <f t="shared" si="13"/>
        <v>Euribor6M</v>
      </c>
      <c r="H55" s="59" t="str">
        <f t="shared" si="14"/>
        <v>EURAB6E13Y_LCHQuote</v>
      </c>
      <c r="I55" s="127">
        <v>0</v>
      </c>
      <c r="J55" s="64" t="str">
        <f>_xll.qlSwapRateHelper2(,$H55,,$B55,Calendar,$D55,$E55,$F55,$G55,$I55,$C55,,PillarDate,,Permanent,Trigger,ObjectOverwrite)</f>
        <v>obj_00624#0001</v>
      </c>
      <c r="L55" s="10" t="str">
        <f t="shared" si="10"/>
        <v>Sw</v>
      </c>
      <c r="M55" s="94" t="str">
        <f t="shared" si="12"/>
        <v>obj_00634#0001</v>
      </c>
      <c r="N55" s="146" t="str">
        <f>IFERROR(_xll.qlRateHelperQuoteName(M55,Trigger),"--")</f>
        <v>EURAB6E17Y_LCHQuote</v>
      </c>
      <c r="O55" s="98" t="str">
        <f>IFERROR(_xll.qlRateHelperQuoteValue($M55,Trigger),"--")</f>
        <v>--</v>
      </c>
      <c r="P55" s="97" t="b">
        <v>0</v>
      </c>
      <c r="Q55" s="94">
        <v>10</v>
      </c>
      <c r="R55" s="94">
        <v>1</v>
      </c>
      <c r="S55" s="99">
        <f>IFERROR(_xll.qlRateHelperEarliestDate(M55,Trigger),"--")</f>
        <v>42256</v>
      </c>
      <c r="T55" s="99">
        <f>IFERROR(_xll.qlRateHelperPillarDate(M55,Trigger),"--")</f>
        <v>48466</v>
      </c>
      <c r="V55" s="4" t="str">
        <f t="shared" si="9"/>
        <v/>
      </c>
      <c r="W55" s="4" t="e">
        <v>#N/A</v>
      </c>
      <c r="X55" s="4" t="str">
        <f>IFERROR(_xll.qlRateHelperQuoteName(W55,Trigger),"")</f>
        <v/>
      </c>
      <c r="Y55" s="70" t="str">
        <f>IFERROR(_xll.qlRateHelperRate(W55,Trigger),"")</f>
        <v/>
      </c>
      <c r="Z55" s="104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0" t="e">
        <v>#N/A</v>
      </c>
      <c r="AD55" s="169" t="e">
        <v>#N/A</v>
      </c>
      <c r="AE55" s="170" t="e">
        <v>#N/A</v>
      </c>
      <c r="AF55" s="172" t="e">
        <f>_xll.qlYieldTSZeroRate(yieldcurve1_STD,$AD55,"ACTUAL/365 (FIXED)",,,TRUE,Trigger)-AE55</f>
        <v>#NUM!</v>
      </c>
    </row>
    <row r="56" spans="1:32" ht="11.25" customHeight="1" x14ac:dyDescent="0.2">
      <c r="A56" s="59" t="s">
        <v>25</v>
      </c>
      <c r="B56" s="60" t="s">
        <v>100</v>
      </c>
      <c r="C56" s="61" t="s">
        <v>6</v>
      </c>
      <c r="D56" s="61" t="s">
        <v>8</v>
      </c>
      <c r="E56" s="61" t="s">
        <v>7</v>
      </c>
      <c r="F56" s="61" t="s">
        <v>125</v>
      </c>
      <c r="G56" s="61" t="str">
        <f t="shared" si="13"/>
        <v>Euribor6M</v>
      </c>
      <c r="H56" s="59" t="str">
        <f t="shared" si="14"/>
        <v>EURAB6E14Y_LCHQuote</v>
      </c>
      <c r="I56" s="127">
        <v>0</v>
      </c>
      <c r="J56" s="64" t="str">
        <f>_xll.qlSwapRateHelper2(,$H56,,$B56,Calendar,$D56,$E56,$F56,$G56,$I56,$C56,,PillarDate,,Permanent,Trigger,ObjectOverwrite)</f>
        <v>obj_00623#0001</v>
      </c>
      <c r="L56" s="10" t="str">
        <f t="shared" si="10"/>
        <v>Sw</v>
      </c>
      <c r="M56" s="94" t="str">
        <f t="shared" si="12"/>
        <v>obj_0061c#0001</v>
      </c>
      <c r="N56" s="146" t="str">
        <f>IFERROR(_xll.qlRateHelperQuoteName(M56,Trigger),"--")</f>
        <v>EURAB6E18Y_LCHQuote</v>
      </c>
      <c r="O56" s="98" t="str">
        <f>IFERROR(_xll.qlRateHelperQuoteValue($M56,Trigger),"--")</f>
        <v>--</v>
      </c>
      <c r="P56" s="97" t="b">
        <v>0</v>
      </c>
      <c r="Q56" s="94">
        <v>10</v>
      </c>
      <c r="R56" s="94">
        <v>1</v>
      </c>
      <c r="S56" s="99">
        <f>IFERROR(_xll.qlRateHelperEarliestDate(M56,Trigger),"--")</f>
        <v>42256</v>
      </c>
      <c r="T56" s="99">
        <f>IFERROR(_xll.qlRateHelperPillarDate(M56,Trigger),"--")</f>
        <v>48831</v>
      </c>
      <c r="V56" s="4" t="str">
        <f t="shared" si="9"/>
        <v/>
      </c>
      <c r="W56" s="4" t="e">
        <v>#N/A</v>
      </c>
      <c r="X56" s="4" t="str">
        <f>IFERROR(_xll.qlRateHelperQuoteName(W56,Trigger),"")</f>
        <v/>
      </c>
      <c r="Y56" s="70" t="str">
        <f>IFERROR(_xll.qlRateHelperRate(W56,Trigger),"")</f>
        <v/>
      </c>
      <c r="Z56" s="104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0" t="e">
        <v>#N/A</v>
      </c>
      <c r="AD56" s="169" t="e">
        <v>#N/A</v>
      </c>
      <c r="AE56" s="170" t="e">
        <v>#N/A</v>
      </c>
      <c r="AF56" s="172" t="e">
        <f>_xll.qlYieldTSZeroRate(yieldcurve1_STD,$AD56,"ACTUAL/365 (FIXED)",,,TRUE,Trigger)-AE56</f>
        <v>#NUM!</v>
      </c>
    </row>
    <row r="57" spans="1:32" ht="11.25" customHeight="1" x14ac:dyDescent="0.2">
      <c r="A57" s="59" t="s">
        <v>25</v>
      </c>
      <c r="B57" s="60" t="s">
        <v>62</v>
      </c>
      <c r="C57" s="61" t="s">
        <v>6</v>
      </c>
      <c r="D57" s="61" t="s">
        <v>8</v>
      </c>
      <c r="E57" s="61" t="s">
        <v>7</v>
      </c>
      <c r="F57" s="61" t="s">
        <v>125</v>
      </c>
      <c r="G57" s="61" t="str">
        <f t="shared" si="13"/>
        <v>Euribor6M</v>
      </c>
      <c r="H57" s="59" t="str">
        <f t="shared" si="14"/>
        <v>EURAB6E15Y_LCHQuote</v>
      </c>
      <c r="I57" s="127">
        <v>0</v>
      </c>
      <c r="J57" s="64" t="str">
        <f>_xll.qlSwapRateHelper2(,$H57,,$B57,Calendar,$D57,$E57,$F57,$G57,$I57,$C57,,PillarDate,,Permanent,Trigger,ObjectOverwrite)</f>
        <v>obj_00635#0001</v>
      </c>
      <c r="L57" s="10" t="str">
        <f t="shared" si="10"/>
        <v>Sw</v>
      </c>
      <c r="M57" s="94" t="str">
        <f t="shared" si="12"/>
        <v>obj_00611#0001</v>
      </c>
      <c r="N57" s="146" t="str">
        <f>IFERROR(_xll.qlRateHelperQuoteName(M57,Trigger),"--")</f>
        <v>EURAB6E19Y_LCHQuote</v>
      </c>
      <c r="O57" s="98" t="str">
        <f>IFERROR(_xll.qlRateHelperQuoteValue($M57,Trigger),"--")</f>
        <v>--</v>
      </c>
      <c r="P57" s="97" t="b">
        <v>0</v>
      </c>
      <c r="Q57" s="94">
        <v>10</v>
      </c>
      <c r="R57" s="94">
        <v>1</v>
      </c>
      <c r="S57" s="99">
        <f>IFERROR(_xll.qlRateHelperEarliestDate(M57,Trigger),"--")</f>
        <v>42256</v>
      </c>
      <c r="T57" s="99">
        <f>IFERROR(_xll.qlRateHelperPillarDate(M57,Trigger),"--")</f>
        <v>49198</v>
      </c>
      <c r="V57" s="4" t="str">
        <f t="shared" si="9"/>
        <v/>
      </c>
      <c r="W57" s="4" t="e">
        <v>#N/A</v>
      </c>
      <c r="X57" s="4" t="str">
        <f>IFERROR(_xll.qlRateHelperQuoteName(W57,Trigger),"")</f>
        <v/>
      </c>
      <c r="Y57" s="70" t="str">
        <f>IFERROR(_xll.qlRateHelperRate(W57,Trigger),"")</f>
        <v/>
      </c>
      <c r="Z57" s="104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0" t="e">
        <v>#N/A</v>
      </c>
      <c r="AD57" s="46" t="e">
        <v>#N/A</v>
      </c>
      <c r="AE57" s="46" t="e">
        <v>#N/A</v>
      </c>
      <c r="AF57" s="172" t="e">
        <f>_xll.qlYieldTSZeroRate(yieldcurve1_STD,$AD57,"ACTUAL/365 (FIXED)",,,TRUE,Trigger)-AE57</f>
        <v>#NUM!</v>
      </c>
    </row>
    <row r="58" spans="1:32" ht="11.25" customHeight="1" x14ac:dyDescent="0.2">
      <c r="A58" s="59" t="s">
        <v>25</v>
      </c>
      <c r="B58" s="60" t="s">
        <v>101</v>
      </c>
      <c r="C58" s="61" t="s">
        <v>6</v>
      </c>
      <c r="D58" s="61" t="s">
        <v>8</v>
      </c>
      <c r="E58" s="61" t="s">
        <v>7</v>
      </c>
      <c r="F58" s="61" t="s">
        <v>125</v>
      </c>
      <c r="G58" s="61" t="str">
        <f t="shared" si="13"/>
        <v>Euribor6M</v>
      </c>
      <c r="H58" s="59" t="str">
        <f t="shared" si="14"/>
        <v>EURAB6E16Y_LCHQuote</v>
      </c>
      <c r="I58" s="127">
        <v>0</v>
      </c>
      <c r="J58" s="64" t="str">
        <f>_xll.qlSwapRateHelper2(,$H58,,$B58,Calendar,$D58,$E58,$F58,$G58,$I58,$C58,,PillarDate,,Permanent,Trigger,ObjectOverwrite)</f>
        <v>obj_00616#0001</v>
      </c>
      <c r="L58" s="10" t="str">
        <f t="shared" si="10"/>
        <v>Sw</v>
      </c>
      <c r="M58" s="94" t="str">
        <f t="shared" si="12"/>
        <v>obj_00637#0001</v>
      </c>
      <c r="N58" s="146" t="str">
        <f>IFERROR(_xll.qlRateHelperQuoteName(M58,Trigger),"--")</f>
        <v>EURAB6E20Y_LCHQuote</v>
      </c>
      <c r="O58" s="98">
        <f>IFERROR(_xll.qlRateHelperQuoteValue($M58,Trigger),"--")</f>
        <v>1.507E-2</v>
      </c>
      <c r="P58" s="97" t="b">
        <v>1</v>
      </c>
      <c r="Q58" s="94">
        <v>10</v>
      </c>
      <c r="R58" s="94">
        <v>1</v>
      </c>
      <c r="S58" s="99">
        <f>IFERROR(_xll.qlRateHelperEarliestDate(M58,Trigger),"--")</f>
        <v>42256</v>
      </c>
      <c r="T58" s="99">
        <f>IFERROR(_xll.qlRateHelperPillarDate(M58,Trigger),"--")</f>
        <v>49562</v>
      </c>
      <c r="V58" s="4" t="str">
        <f t="shared" si="9"/>
        <v/>
      </c>
      <c r="W58" s="4" t="e">
        <v>#N/A</v>
      </c>
      <c r="X58" s="4" t="str">
        <f>IFERROR(_xll.qlRateHelperQuoteName(W58,Trigger),"")</f>
        <v/>
      </c>
      <c r="Y58" s="70" t="str">
        <f>IFERROR(_xll.qlRateHelperRate(W58,Trigger),"")</f>
        <v/>
      </c>
      <c r="Z58" s="104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0" t="e">
        <v>#N/A</v>
      </c>
      <c r="AD58" s="46" t="e">
        <v>#N/A</v>
      </c>
      <c r="AE58" s="46" t="e">
        <v>#N/A</v>
      </c>
      <c r="AF58" s="172" t="e">
        <f>_xll.qlYieldTSZeroRate(yieldcurve1_STD,$AD58,"ACTUAL/365 (FIXED)",,,TRUE,Trigger)-AE58</f>
        <v>#NUM!</v>
      </c>
    </row>
    <row r="59" spans="1:32" ht="11.25" customHeight="1" x14ac:dyDescent="0.2">
      <c r="A59" s="59" t="s">
        <v>25</v>
      </c>
      <c r="B59" s="60" t="s">
        <v>102</v>
      </c>
      <c r="C59" s="61" t="s">
        <v>6</v>
      </c>
      <c r="D59" s="61" t="s">
        <v>8</v>
      </c>
      <c r="E59" s="61" t="s">
        <v>7</v>
      </c>
      <c r="F59" s="61" t="s">
        <v>125</v>
      </c>
      <c r="G59" s="61" t="str">
        <f t="shared" si="13"/>
        <v>Euribor6M</v>
      </c>
      <c r="H59" s="59" t="str">
        <f t="shared" si="14"/>
        <v>EURAB6E17Y_LCHQuote</v>
      </c>
      <c r="I59" s="127">
        <v>0</v>
      </c>
      <c r="J59" s="64" t="str">
        <f>_xll.qlSwapRateHelper2(,$H59,,$B59,Calendar,$D59,$E59,$F59,$G59,$I59,$C59,,PillarDate,,Permanent,Trigger,ObjectOverwrite)</f>
        <v>obj_00634#0001</v>
      </c>
      <c r="L59" s="10" t="str">
        <f t="shared" si="10"/>
        <v>Sw</v>
      </c>
      <c r="M59" s="94" t="str">
        <f t="shared" si="12"/>
        <v>obj_0062b#0001</v>
      </c>
      <c r="N59" s="146" t="str">
        <f>IFERROR(_xll.qlRateHelperQuoteName(M59,Trigger),"--")</f>
        <v>EURAB6E21Y_LCHQuote</v>
      </c>
      <c r="O59" s="98" t="str">
        <f>IFERROR(_xll.qlRateHelperQuoteValue($M59,Trigger),"--")</f>
        <v>--</v>
      </c>
      <c r="P59" s="97" t="b">
        <v>0</v>
      </c>
      <c r="Q59" s="94">
        <v>10</v>
      </c>
      <c r="R59" s="94">
        <v>1</v>
      </c>
      <c r="S59" s="99">
        <f>IFERROR(_xll.qlRateHelperEarliestDate(M59,Trigger),"--")</f>
        <v>42256</v>
      </c>
      <c r="T59" s="99">
        <f>IFERROR(_xll.qlRateHelperPillarDate(M59,Trigger),"--")</f>
        <v>49927</v>
      </c>
      <c r="V59" s="4" t="str">
        <f t="shared" si="9"/>
        <v/>
      </c>
      <c r="W59" s="4" t="e">
        <v>#N/A</v>
      </c>
      <c r="X59" s="4" t="str">
        <f>IFERROR(_xll.qlRateHelperQuoteName(W59,Trigger),"")</f>
        <v/>
      </c>
      <c r="Y59" s="70" t="str">
        <f>IFERROR(_xll.qlRateHelperRate(W59,Trigger),"")</f>
        <v/>
      </c>
      <c r="Z59" s="104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0" t="e">
        <v>#N/A</v>
      </c>
      <c r="AD59" s="46" t="e">
        <v>#N/A</v>
      </c>
      <c r="AE59" s="46" t="e">
        <v>#N/A</v>
      </c>
      <c r="AF59" s="172" t="e">
        <f>_xll.qlYieldTSZeroRate(yieldcurve1_STD,$AD59,"ACTUAL/365 (FIXED)",,,TRUE,Trigger)-AE59</f>
        <v>#NUM!</v>
      </c>
    </row>
    <row r="60" spans="1:32" ht="11.25" customHeight="1" x14ac:dyDescent="0.2">
      <c r="A60" s="59" t="s">
        <v>25</v>
      </c>
      <c r="B60" s="60" t="s">
        <v>103</v>
      </c>
      <c r="C60" s="61" t="s">
        <v>6</v>
      </c>
      <c r="D60" s="61" t="s">
        <v>8</v>
      </c>
      <c r="E60" s="61" t="s">
        <v>7</v>
      </c>
      <c r="F60" s="61" t="s">
        <v>125</v>
      </c>
      <c r="G60" s="61" t="str">
        <f t="shared" si="13"/>
        <v>Euribor6M</v>
      </c>
      <c r="H60" s="59" t="str">
        <f t="shared" si="14"/>
        <v>EURAB6E18Y_LCHQuote</v>
      </c>
      <c r="I60" s="127">
        <v>0</v>
      </c>
      <c r="J60" s="64" t="str">
        <f>_xll.qlSwapRateHelper2(,$H60,,$B60,Calendar,$D60,$E60,$F60,$G60,$I60,$C60,,PillarDate,,Permanent,Trigger,ObjectOverwrite)</f>
        <v>obj_0061c#0001</v>
      </c>
      <c r="L60" s="10" t="str">
        <f t="shared" si="10"/>
        <v>Sw</v>
      </c>
      <c r="M60" s="94" t="str">
        <f t="shared" si="12"/>
        <v>obj_00621#0001</v>
      </c>
      <c r="N60" s="146" t="str">
        <f>IFERROR(_xll.qlRateHelperQuoteName(M60,Trigger),"--")</f>
        <v>EURAB6E22Y_LCHQuote</v>
      </c>
      <c r="O60" s="98" t="str">
        <f>IFERROR(_xll.qlRateHelperQuoteValue($M60,Trigger),"--")</f>
        <v>--</v>
      </c>
      <c r="P60" s="97" t="b">
        <v>0</v>
      </c>
      <c r="Q60" s="94">
        <v>10</v>
      </c>
      <c r="R60" s="94">
        <v>1</v>
      </c>
      <c r="S60" s="99">
        <f>IFERROR(_xll.qlRateHelperEarliestDate(M60,Trigger),"--")</f>
        <v>42256</v>
      </c>
      <c r="T60" s="99">
        <f>IFERROR(_xll.qlRateHelperPillarDate(M60,Trigger),"--")</f>
        <v>50292</v>
      </c>
      <c r="V60" s="4" t="str">
        <f t="shared" si="9"/>
        <v/>
      </c>
      <c r="W60" s="4" t="e">
        <v>#N/A</v>
      </c>
      <c r="X60" s="4" t="str">
        <f>IFERROR(_xll.qlRateHelperQuoteName(W60,Trigger),"")</f>
        <v/>
      </c>
      <c r="Y60" s="70" t="str">
        <f>IFERROR(_xll.qlRateHelperRate(W60,Trigger),"")</f>
        <v/>
      </c>
      <c r="Z60" s="104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0" t="e">
        <v>#N/A</v>
      </c>
      <c r="AD60" s="46" t="e">
        <v>#N/A</v>
      </c>
      <c r="AE60" s="46" t="e">
        <v>#N/A</v>
      </c>
      <c r="AF60" s="172" t="e">
        <f>_xll.qlYieldTSZeroRate(yieldcurve1_STD,$AD60,"ACTUAL/365 (FIXED)",,,TRUE,Trigger)-AE60</f>
        <v>#NUM!</v>
      </c>
    </row>
    <row r="61" spans="1:32" ht="11.25" customHeight="1" x14ac:dyDescent="0.2">
      <c r="A61" s="59" t="s">
        <v>25</v>
      </c>
      <c r="B61" s="60" t="s">
        <v>104</v>
      </c>
      <c r="C61" s="61" t="s">
        <v>6</v>
      </c>
      <c r="D61" s="61" t="s">
        <v>8</v>
      </c>
      <c r="E61" s="61" t="s">
        <v>7</v>
      </c>
      <c r="F61" s="61" t="s">
        <v>125</v>
      </c>
      <c r="G61" s="61" t="str">
        <f t="shared" si="13"/>
        <v>Euribor6M</v>
      </c>
      <c r="H61" s="59" t="str">
        <f t="shared" si="14"/>
        <v>EURAB6E19Y_LCHQuote</v>
      </c>
      <c r="I61" s="127">
        <v>0</v>
      </c>
      <c r="J61" s="64" t="str">
        <f>_xll.qlSwapRateHelper2(,$H61,,$B61,Calendar,$D61,$E61,$F61,$G61,$I61,$C61,,PillarDate,,Permanent,Trigger,ObjectOverwrite)</f>
        <v>obj_00611#0001</v>
      </c>
      <c r="L61" s="10" t="str">
        <f t="shared" si="10"/>
        <v>Sw</v>
      </c>
      <c r="M61" s="94" t="str">
        <f t="shared" si="12"/>
        <v>obj_0062a#0001</v>
      </c>
      <c r="N61" s="146" t="str">
        <f>IFERROR(_xll.qlRateHelperQuoteName(M61,Trigger),"--")</f>
        <v>EURAB6E23Y_LCHQuote</v>
      </c>
      <c r="O61" s="98" t="str">
        <f>IFERROR(_xll.qlRateHelperQuoteValue($M61,Trigger),"--")</f>
        <v>--</v>
      </c>
      <c r="P61" s="97" t="b">
        <v>0</v>
      </c>
      <c r="Q61" s="94">
        <v>10</v>
      </c>
      <c r="R61" s="94">
        <v>1</v>
      </c>
      <c r="S61" s="99">
        <f>IFERROR(_xll.qlRateHelperEarliestDate(M61,Trigger),"--")</f>
        <v>42256</v>
      </c>
      <c r="T61" s="99">
        <f>IFERROR(_xll.qlRateHelperPillarDate(M61,Trigger),"--")</f>
        <v>50657</v>
      </c>
      <c r="V61" s="4" t="str">
        <f t="shared" si="9"/>
        <v/>
      </c>
      <c r="W61" s="4" t="e">
        <v>#N/A</v>
      </c>
      <c r="X61" s="4" t="str">
        <f>IFERROR(_xll.qlRateHelperQuoteName(W61,Trigger),"")</f>
        <v/>
      </c>
      <c r="Y61" s="70" t="str">
        <f>IFERROR(_xll.qlRateHelperRate(W61,Trigger),"")</f>
        <v/>
      </c>
      <c r="Z61" s="104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0" t="e">
        <v>#N/A</v>
      </c>
      <c r="AD61" s="46" t="e">
        <v>#N/A</v>
      </c>
      <c r="AE61" s="46" t="e">
        <v>#N/A</v>
      </c>
      <c r="AF61" s="172" t="e">
        <f>_xll.qlYieldTSZeroRate(yieldcurve1_STD,$AD61,"ACTUAL/365 (FIXED)",,,TRUE,Trigger)-AE61</f>
        <v>#NUM!</v>
      </c>
    </row>
    <row r="62" spans="1:32" ht="11.25" customHeight="1" x14ac:dyDescent="0.2">
      <c r="A62" s="59" t="s">
        <v>25</v>
      </c>
      <c r="B62" s="60" t="s">
        <v>63</v>
      </c>
      <c r="C62" s="61" t="s">
        <v>6</v>
      </c>
      <c r="D62" s="61" t="s">
        <v>8</v>
      </c>
      <c r="E62" s="61" t="s">
        <v>7</v>
      </c>
      <c r="F62" s="61" t="s">
        <v>125</v>
      </c>
      <c r="G62" s="61" t="str">
        <f t="shared" si="13"/>
        <v>Euribor6M</v>
      </c>
      <c r="H62" s="59" t="str">
        <f t="shared" si="14"/>
        <v>EURAB6E20Y_LCHQuote</v>
      </c>
      <c r="I62" s="127">
        <v>0</v>
      </c>
      <c r="J62" s="64" t="str">
        <f>_xll.qlSwapRateHelper2(,$H62,,$B62,Calendar,$D62,$E62,$F62,$G62,$I62,$C62,,PillarDate,,Permanent,Trigger,ObjectOverwrite)</f>
        <v>obj_00637#0001</v>
      </c>
      <c r="L62" s="10" t="str">
        <f t="shared" si="10"/>
        <v>Sw</v>
      </c>
      <c r="M62" s="94" t="str">
        <f t="shared" si="12"/>
        <v>obj_00614#0001</v>
      </c>
      <c r="N62" s="146" t="str">
        <f>IFERROR(_xll.qlRateHelperQuoteName(M62,Trigger),"--")</f>
        <v>EURAB6E24Y_LCHQuote</v>
      </c>
      <c r="O62" s="98" t="str">
        <f>IFERROR(_xll.qlRateHelperQuoteValue($M62,Trigger),"--")</f>
        <v>--</v>
      </c>
      <c r="P62" s="97" t="b">
        <v>0</v>
      </c>
      <c r="Q62" s="94">
        <v>10</v>
      </c>
      <c r="R62" s="94">
        <v>1</v>
      </c>
      <c r="S62" s="99">
        <f>IFERROR(_xll.qlRateHelperEarliestDate(M62,Trigger),"--")</f>
        <v>42256</v>
      </c>
      <c r="T62" s="99">
        <f>IFERROR(_xll.qlRateHelperPillarDate(M62,Trigger),"--")</f>
        <v>51022</v>
      </c>
      <c r="V62" s="4" t="str">
        <f t="shared" si="9"/>
        <v/>
      </c>
      <c r="W62" s="4" t="e">
        <v>#N/A</v>
      </c>
      <c r="X62" s="4" t="str">
        <f>IFERROR(_xll.qlRateHelperQuoteName(W62,Trigger),"")</f>
        <v/>
      </c>
      <c r="Y62" s="70" t="str">
        <f>IFERROR(_xll.qlRateHelperRate(W62,Trigger),"")</f>
        <v/>
      </c>
      <c r="Z62" s="104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0" t="e">
        <v>#N/A</v>
      </c>
      <c r="AD62" s="46" t="e">
        <v>#N/A</v>
      </c>
      <c r="AE62" s="46" t="e">
        <v>#N/A</v>
      </c>
      <c r="AF62" s="172" t="e">
        <f>_xll.qlYieldTSZeroRate(yieldcurve1_STD,$AD62,"ACTUAL/365 (FIXED)",,,TRUE,Trigger)-AE62</f>
        <v>#NUM!</v>
      </c>
    </row>
    <row r="63" spans="1:32" ht="11.25" customHeight="1" x14ac:dyDescent="0.2">
      <c r="A63" s="59" t="s">
        <v>25</v>
      </c>
      <c r="B63" s="60" t="s">
        <v>105</v>
      </c>
      <c r="C63" s="61" t="s">
        <v>6</v>
      </c>
      <c r="D63" s="61" t="s">
        <v>8</v>
      </c>
      <c r="E63" s="61" t="s">
        <v>7</v>
      </c>
      <c r="F63" s="61" t="s">
        <v>125</v>
      </c>
      <c r="G63" s="61" t="str">
        <f t="shared" si="13"/>
        <v>Euribor6M</v>
      </c>
      <c r="H63" s="59" t="str">
        <f t="shared" si="14"/>
        <v>EURAB6E21Y_LCHQuote</v>
      </c>
      <c r="I63" s="127">
        <v>0</v>
      </c>
      <c r="J63" s="64" t="str">
        <f>_xll.qlSwapRateHelper2(,$H63,,$B63,Calendar,$D63,$E63,$F63,$G63,$I63,$C63,,PillarDate,,Permanent,Trigger,ObjectOverwrite)</f>
        <v>obj_0062b#0001</v>
      </c>
      <c r="L63" s="10" t="str">
        <f t="shared" si="10"/>
        <v>Sw</v>
      </c>
      <c r="M63" s="94" t="str">
        <f t="shared" si="12"/>
        <v>obj_00618#0001</v>
      </c>
      <c r="N63" s="146" t="str">
        <f>IFERROR(_xll.qlRateHelperQuoteName(M63,Trigger),"--")</f>
        <v>EURAB6E25Y_LCHQuote</v>
      </c>
      <c r="O63" s="98">
        <f>IFERROR(_xll.qlRateHelperQuoteValue($M63,Trigger),"--")</f>
        <v>1.5389999999999999E-2</v>
      </c>
      <c r="P63" s="97" t="b">
        <v>1</v>
      </c>
      <c r="Q63" s="94">
        <v>10</v>
      </c>
      <c r="R63" s="94">
        <v>1</v>
      </c>
      <c r="S63" s="99">
        <f>IFERROR(_xll.qlRateHelperEarliestDate(M63,Trigger),"--")</f>
        <v>42256</v>
      </c>
      <c r="T63" s="99">
        <f>IFERROR(_xll.qlRateHelperPillarDate(M63,Trigger),"--")</f>
        <v>51389</v>
      </c>
      <c r="V63" s="4" t="str">
        <f t="shared" si="9"/>
        <v/>
      </c>
      <c r="W63" s="4" t="e">
        <v>#N/A</v>
      </c>
      <c r="X63" s="4" t="str">
        <f>IFERROR(_xll.qlRateHelperQuoteName(W63,Trigger),"")</f>
        <v/>
      </c>
      <c r="Y63" s="70" t="str">
        <f>IFERROR(_xll.qlRateHelperRate(W63,Trigger),"")</f>
        <v/>
      </c>
      <c r="Z63" s="104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0" t="e">
        <v>#N/A</v>
      </c>
      <c r="AD63" s="46" t="e">
        <v>#N/A</v>
      </c>
      <c r="AE63" s="46" t="e">
        <v>#N/A</v>
      </c>
      <c r="AF63" s="172" t="e">
        <f>_xll.qlYieldTSZeroRate(yieldcurve1_STD,$AD63,"ACTUAL/365 (FIXED)",,,TRUE,Trigger)-AE63</f>
        <v>#NUM!</v>
      </c>
    </row>
    <row r="64" spans="1:32" ht="11.25" customHeight="1" x14ac:dyDescent="0.2">
      <c r="A64" s="59" t="s">
        <v>25</v>
      </c>
      <c r="B64" s="60" t="s">
        <v>106</v>
      </c>
      <c r="C64" s="61" t="s">
        <v>6</v>
      </c>
      <c r="D64" s="61" t="s">
        <v>8</v>
      </c>
      <c r="E64" s="61" t="s">
        <v>7</v>
      </c>
      <c r="F64" s="61" t="s">
        <v>125</v>
      </c>
      <c r="G64" s="61" t="str">
        <f t="shared" si="13"/>
        <v>Euribor6M</v>
      </c>
      <c r="H64" s="59" t="str">
        <f t="shared" si="14"/>
        <v>EURAB6E22Y_LCHQuote</v>
      </c>
      <c r="I64" s="127">
        <v>0</v>
      </c>
      <c r="J64" s="64" t="str">
        <f>_xll.qlSwapRateHelper2(,$H64,,$B64,Calendar,$D64,$E64,$F64,$G64,$I64,$C64,,PillarDate,,Permanent,Trigger,ObjectOverwrite)</f>
        <v>obj_00621#0001</v>
      </c>
      <c r="L64" s="10" t="str">
        <f t="shared" si="10"/>
        <v>Sw</v>
      </c>
      <c r="M64" s="94" t="str">
        <f t="shared" si="12"/>
        <v>obj_00625#0001</v>
      </c>
      <c r="N64" s="146" t="str">
        <f>IFERROR(_xll.qlRateHelperQuoteName(M64,Trigger),"--")</f>
        <v>EURAB6E26Y_LCHQuote</v>
      </c>
      <c r="O64" s="98" t="str">
        <f>IFERROR(_xll.qlRateHelperQuoteValue($M64,Trigger),"--")</f>
        <v>--</v>
      </c>
      <c r="P64" s="97" t="b">
        <v>0</v>
      </c>
      <c r="Q64" s="94">
        <v>10</v>
      </c>
      <c r="R64" s="94">
        <v>1</v>
      </c>
      <c r="S64" s="99">
        <f>IFERROR(_xll.qlRateHelperEarliestDate(M64,Trigger),"--")</f>
        <v>42256</v>
      </c>
      <c r="T64" s="99">
        <f>IFERROR(_xll.qlRateHelperPillarDate(M64,Trigger),"--")</f>
        <v>51753</v>
      </c>
      <c r="V64" s="4" t="str">
        <f t="shared" si="9"/>
        <v/>
      </c>
      <c r="W64" s="4" t="e">
        <v>#N/A</v>
      </c>
      <c r="X64" s="4" t="str">
        <f>IFERROR(_xll.qlRateHelperQuoteName(W64,Trigger),"")</f>
        <v/>
      </c>
      <c r="Y64" s="70" t="str">
        <f>IFERROR(_xll.qlRateHelperRate(W64,Trigger),"")</f>
        <v/>
      </c>
      <c r="Z64" s="104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0" t="e">
        <v>#N/A</v>
      </c>
      <c r="AD64" s="46" t="e">
        <v>#N/A</v>
      </c>
      <c r="AE64" s="46" t="e">
        <v>#N/A</v>
      </c>
      <c r="AF64" s="172" t="e">
        <f>_xll.qlYieldTSZeroRate(yieldcurve1_STD,$AD64,"ACTUAL/365 (FIXED)",,,TRUE,Trigger)-AE64</f>
        <v>#NUM!</v>
      </c>
    </row>
    <row r="65" spans="1:32" ht="11.25" customHeight="1" x14ac:dyDescent="0.2">
      <c r="A65" s="59" t="s">
        <v>25</v>
      </c>
      <c r="B65" s="60" t="s">
        <v>107</v>
      </c>
      <c r="C65" s="61" t="s">
        <v>6</v>
      </c>
      <c r="D65" s="61" t="s">
        <v>8</v>
      </c>
      <c r="E65" s="61" t="s">
        <v>7</v>
      </c>
      <c r="F65" s="61" t="s">
        <v>125</v>
      </c>
      <c r="G65" s="61" t="str">
        <f t="shared" si="13"/>
        <v>Euribor6M</v>
      </c>
      <c r="H65" s="59" t="str">
        <f t="shared" si="14"/>
        <v>EURAB6E23Y_LCHQuote</v>
      </c>
      <c r="I65" s="127">
        <v>0</v>
      </c>
      <c r="J65" s="64" t="str">
        <f>_xll.qlSwapRateHelper2(,$H65,,$B65,Calendar,$D65,$E65,$F65,$G65,$I65,$C65,,PillarDate,,Permanent,Trigger,ObjectOverwrite)</f>
        <v>obj_0062a#0001</v>
      </c>
      <c r="L65" s="10" t="str">
        <f t="shared" si="10"/>
        <v>Sw</v>
      </c>
      <c r="M65" s="94" t="str">
        <f t="shared" si="12"/>
        <v>obj_0062e#0001</v>
      </c>
      <c r="N65" s="146" t="str">
        <f>IFERROR(_xll.qlRateHelperQuoteName(M65,Trigger),"--")</f>
        <v>EURAB6E27Y_LCHQuote</v>
      </c>
      <c r="O65" s="98" t="str">
        <f>IFERROR(_xll.qlRateHelperQuoteValue($M65,Trigger),"--")</f>
        <v>--</v>
      </c>
      <c r="P65" s="97" t="b">
        <v>0</v>
      </c>
      <c r="Q65" s="94">
        <v>10</v>
      </c>
      <c r="R65" s="94">
        <v>1</v>
      </c>
      <c r="S65" s="99">
        <f>IFERROR(_xll.qlRateHelperEarliestDate(M65,Trigger),"--")</f>
        <v>42256</v>
      </c>
      <c r="T65" s="99">
        <f>IFERROR(_xll.qlRateHelperPillarDate(M65,Trigger),"--")</f>
        <v>52118</v>
      </c>
      <c r="V65" s="4" t="str">
        <f t="shared" si="9"/>
        <v/>
      </c>
      <c r="W65" s="4" t="e">
        <v>#N/A</v>
      </c>
      <c r="X65" s="4" t="str">
        <f>IFERROR(_xll.qlRateHelperQuoteName(W65,Trigger),"")</f>
        <v/>
      </c>
      <c r="Y65" s="70" t="str">
        <f>IFERROR(_xll.qlRateHelperRate(W65,Trigger),"")</f>
        <v/>
      </c>
      <c r="Z65" s="104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0" t="e">
        <v>#N/A</v>
      </c>
      <c r="AD65" s="46" t="e">
        <v>#N/A</v>
      </c>
      <c r="AE65" s="46" t="e">
        <v>#N/A</v>
      </c>
      <c r="AF65" s="172" t="e">
        <f>_xll.qlYieldTSZeroRate(yieldcurve1_STD,$AD65,"ACTUAL/365 (FIXED)",,,TRUE,Trigger)-AE65</f>
        <v>#NUM!</v>
      </c>
    </row>
    <row r="66" spans="1:32" ht="11.25" customHeight="1" x14ac:dyDescent="0.2">
      <c r="A66" s="59" t="s">
        <v>25</v>
      </c>
      <c r="B66" s="60" t="s">
        <v>108</v>
      </c>
      <c r="C66" s="61" t="s">
        <v>6</v>
      </c>
      <c r="D66" s="61" t="s">
        <v>8</v>
      </c>
      <c r="E66" s="61" t="s">
        <v>7</v>
      </c>
      <c r="F66" s="61" t="s">
        <v>125</v>
      </c>
      <c r="G66" s="61" t="str">
        <f t="shared" si="13"/>
        <v>Euribor6M</v>
      </c>
      <c r="H66" s="59" t="str">
        <f t="shared" si="14"/>
        <v>EURAB6E24Y_LCHQuote</v>
      </c>
      <c r="I66" s="127">
        <v>0</v>
      </c>
      <c r="J66" s="64" t="str">
        <f>_xll.qlSwapRateHelper2(,$H66,,$B66,Calendar,$D66,$E66,$F66,$G66,$I66,$C66,,PillarDate,,Permanent,Trigger,ObjectOverwrite)</f>
        <v>obj_00614#0001</v>
      </c>
      <c r="L66" s="10" t="str">
        <f t="shared" si="10"/>
        <v>Sw</v>
      </c>
      <c r="M66" s="94" t="str">
        <f t="shared" si="12"/>
        <v>obj_0061b#0001</v>
      </c>
      <c r="N66" s="146" t="str">
        <f>IFERROR(_xll.qlRateHelperQuoteName(M66,Trigger),"--")</f>
        <v>EURAB6E28Y_LCHQuote</v>
      </c>
      <c r="O66" s="98" t="str">
        <f>IFERROR(_xll.qlRateHelperQuoteValue($M66,Trigger),"--")</f>
        <v>--</v>
      </c>
      <c r="P66" s="97" t="b">
        <v>0</v>
      </c>
      <c r="Q66" s="94">
        <v>10</v>
      </c>
      <c r="R66" s="94">
        <v>1</v>
      </c>
      <c r="S66" s="99">
        <f>IFERROR(_xll.qlRateHelperEarliestDate(M66,Trigger),"--")</f>
        <v>42256</v>
      </c>
      <c r="T66" s="99">
        <f>IFERROR(_xll.qlRateHelperPillarDate(M66,Trigger),"--")</f>
        <v>52483</v>
      </c>
      <c r="V66" s="4" t="str">
        <f t="shared" si="9"/>
        <v/>
      </c>
      <c r="W66" s="4" t="e">
        <v>#N/A</v>
      </c>
      <c r="X66" s="4" t="str">
        <f>IFERROR(_xll.qlRateHelperQuoteName(W66,Trigger),"")</f>
        <v/>
      </c>
      <c r="Y66" s="70" t="str">
        <f>IFERROR(_xll.qlRateHelperRate(W66,Trigger),"")</f>
        <v/>
      </c>
      <c r="Z66" s="104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0" t="e">
        <v>#N/A</v>
      </c>
      <c r="AD66" s="46" t="e">
        <v>#N/A</v>
      </c>
      <c r="AE66" s="46" t="e">
        <v>#N/A</v>
      </c>
      <c r="AF66" s="172" t="e">
        <f>_xll.qlYieldTSZeroRate(yieldcurve1_STD,$AD66,"ACTUAL/365 (FIXED)",,,TRUE,Trigger)-AE66</f>
        <v>#NUM!</v>
      </c>
    </row>
    <row r="67" spans="1:32" ht="11.25" customHeight="1" x14ac:dyDescent="0.2">
      <c r="A67" s="59" t="s">
        <v>25</v>
      </c>
      <c r="B67" s="60" t="s">
        <v>64</v>
      </c>
      <c r="C67" s="61" t="s">
        <v>6</v>
      </c>
      <c r="D67" s="61" t="s">
        <v>8</v>
      </c>
      <c r="E67" s="61" t="s">
        <v>7</v>
      </c>
      <c r="F67" s="61" t="s">
        <v>125</v>
      </c>
      <c r="G67" s="61" t="str">
        <f t="shared" si="13"/>
        <v>Euribor6M</v>
      </c>
      <c r="H67" s="59" t="str">
        <f t="shared" si="14"/>
        <v>EURAB6E25Y_LCHQuote</v>
      </c>
      <c r="I67" s="127">
        <v>0</v>
      </c>
      <c r="J67" s="64" t="str">
        <f>_xll.qlSwapRateHelper2(,$H67,,$B67,Calendar,$D67,$E67,$F67,$G67,$I67,$C67,,PillarDate,,Permanent,Trigger,ObjectOverwrite)</f>
        <v>obj_00618#0001</v>
      </c>
      <c r="L67" s="10" t="str">
        <f t="shared" si="10"/>
        <v>Sw</v>
      </c>
      <c r="M67" s="94" t="str">
        <f t="shared" si="12"/>
        <v>obj_0062f#0001</v>
      </c>
      <c r="N67" s="146" t="str">
        <f>IFERROR(_xll.qlRateHelperQuoteName(M67,Trigger),"--")</f>
        <v>EURAB6E29Y_LCHQuote</v>
      </c>
      <c r="O67" s="98" t="str">
        <f>IFERROR(_xll.qlRateHelperQuoteValue($M67,Trigger),"--")</f>
        <v>--</v>
      </c>
      <c r="P67" s="97" t="b">
        <v>0</v>
      </c>
      <c r="Q67" s="94">
        <v>10</v>
      </c>
      <c r="R67" s="94">
        <v>1</v>
      </c>
      <c r="S67" s="99">
        <f>IFERROR(_xll.qlRateHelperEarliestDate(M67,Trigger),"--")</f>
        <v>42256</v>
      </c>
      <c r="T67" s="99">
        <f>IFERROR(_xll.qlRateHelperPillarDate(M67,Trigger),"--")</f>
        <v>52849</v>
      </c>
      <c r="V67" s="4" t="str">
        <f t="shared" ref="V67:V72" si="15">IFERROR(INDEX($L$3:$L$72,MATCH(X67,$N$3:$N$72,0),1),"")</f>
        <v/>
      </c>
      <c r="W67" s="4" t="e">
        <v>#N/A</v>
      </c>
      <c r="X67" s="4" t="str">
        <f>IFERROR(_xll.qlRateHelperQuoteName(W67,Trigger),"")</f>
        <v/>
      </c>
      <c r="Y67" s="70" t="str">
        <f>IFERROR(_xll.qlRateHelperRate(W67,Trigger),"")</f>
        <v/>
      </c>
      <c r="Z67" s="104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0" t="e">
        <v>#N/A</v>
      </c>
      <c r="AD67" s="46" t="e">
        <v>#N/A</v>
      </c>
      <c r="AE67" s="46" t="e">
        <v>#N/A</v>
      </c>
      <c r="AF67" s="172" t="e">
        <f>_xll.qlYieldTSZeroRate(yieldcurve1_STD,$AD67,"ACTUAL/365 (FIXED)",,,TRUE,Trigger)-AE67</f>
        <v>#NUM!</v>
      </c>
    </row>
    <row r="68" spans="1:32" ht="11.25" customHeight="1" x14ac:dyDescent="0.2">
      <c r="A68" s="59" t="s">
        <v>25</v>
      </c>
      <c r="B68" s="60" t="s">
        <v>109</v>
      </c>
      <c r="C68" s="61" t="s">
        <v>6</v>
      </c>
      <c r="D68" s="61" t="s">
        <v>8</v>
      </c>
      <c r="E68" s="61" t="s">
        <v>7</v>
      </c>
      <c r="F68" s="61" t="s">
        <v>125</v>
      </c>
      <c r="G68" s="61" t="str">
        <f t="shared" si="13"/>
        <v>Euribor6M</v>
      </c>
      <c r="H68" s="59" t="str">
        <f t="shared" si="14"/>
        <v>EURAB6E26Y_LCHQuote</v>
      </c>
      <c r="I68" s="127">
        <v>0</v>
      </c>
      <c r="J68" s="64" t="str">
        <f>_xll.qlSwapRateHelper2(,$H68,,$B68,Calendar,$D68,$E68,$F68,$G68,$I68,$C68,,PillarDate,,Permanent,Trigger,ObjectOverwrite)</f>
        <v>obj_00625#0001</v>
      </c>
      <c r="L68" s="10" t="str">
        <f t="shared" si="10"/>
        <v>Sw</v>
      </c>
      <c r="M68" s="94" t="str">
        <f t="shared" si="12"/>
        <v>obj_00631#0001</v>
      </c>
      <c r="N68" s="146" t="str">
        <f>IFERROR(_xll.qlRateHelperQuoteName(M68,Trigger),"--")</f>
        <v>EURAB6E30Y_LCHQuote</v>
      </c>
      <c r="O68" s="98">
        <f>IFERROR(_xll.qlRateHelperQuoteValue($M68,Trigger),"--")</f>
        <v>1.54875E-2</v>
      </c>
      <c r="P68" s="97" t="b">
        <v>1</v>
      </c>
      <c r="Q68" s="94">
        <v>10</v>
      </c>
      <c r="R68" s="94">
        <v>1</v>
      </c>
      <c r="S68" s="99">
        <f>IFERROR(_xll.qlRateHelperEarliestDate(M68,Trigger),"--")</f>
        <v>42256</v>
      </c>
      <c r="T68" s="99">
        <f>IFERROR(_xll.qlRateHelperPillarDate(M68,Trigger),"--")</f>
        <v>53216</v>
      </c>
      <c r="V68" s="4" t="str">
        <f t="shared" si="15"/>
        <v/>
      </c>
      <c r="W68" s="4" t="e">
        <v>#N/A</v>
      </c>
      <c r="X68" s="4" t="str">
        <f>IFERROR(_xll.qlRateHelperQuoteName(W68,Trigger),"")</f>
        <v/>
      </c>
      <c r="Y68" s="70" t="str">
        <f>IFERROR(_xll.qlRateHelperRate(W68,Trigger),"")</f>
        <v/>
      </c>
      <c r="Z68" s="104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0" t="e">
        <v>#N/A</v>
      </c>
      <c r="AD68" s="46" t="e">
        <v>#N/A</v>
      </c>
      <c r="AE68" s="46" t="e">
        <v>#N/A</v>
      </c>
      <c r="AF68" s="172" t="e">
        <f>_xll.qlYieldTSZeroRate(yieldcurve1_STD,$AD68,"ACTUAL/365 (FIXED)",,,TRUE,Trigger)-AE68</f>
        <v>#NUM!</v>
      </c>
    </row>
    <row r="69" spans="1:32" ht="11.25" customHeight="1" x14ac:dyDescent="0.2">
      <c r="A69" s="59" t="s">
        <v>25</v>
      </c>
      <c r="B69" s="60" t="s">
        <v>65</v>
      </c>
      <c r="C69" s="61" t="s">
        <v>6</v>
      </c>
      <c r="D69" s="61" t="s">
        <v>8</v>
      </c>
      <c r="E69" s="61" t="s">
        <v>7</v>
      </c>
      <c r="F69" s="61" t="s">
        <v>125</v>
      </c>
      <c r="G69" s="61" t="str">
        <f t="shared" si="13"/>
        <v>Euribor6M</v>
      </c>
      <c r="H69" s="59" t="str">
        <f t="shared" si="14"/>
        <v>EURAB6E27Y_LCHQuote</v>
      </c>
      <c r="I69" s="127">
        <v>0</v>
      </c>
      <c r="J69" s="64" t="str">
        <f>_xll.qlSwapRateHelper2(,$H69,,$B69,Calendar,$D69,$E69,$F69,$G69,$I69,$C69,,PillarDate,,Permanent,Trigger,ObjectOverwrite)</f>
        <v>obj_0062e#0001</v>
      </c>
      <c r="L69" s="10" t="str">
        <f t="shared" si="10"/>
        <v>Sw</v>
      </c>
      <c r="M69" s="94" t="str">
        <f t="shared" si="12"/>
        <v>obj_00615#0001</v>
      </c>
      <c r="N69" s="146" t="str">
        <f>IFERROR(_xll.qlRateHelperQuoteName(M69,Trigger),"--")</f>
        <v>EURAB6E35Y_LCHQuote</v>
      </c>
      <c r="O69" s="98" t="str">
        <f>IFERROR(_xll.qlRateHelperQuoteValue($M69,Trigger),"--")</f>
        <v>--</v>
      </c>
      <c r="P69" s="97" t="b">
        <v>0</v>
      </c>
      <c r="Q69" s="94">
        <v>10</v>
      </c>
      <c r="R69" s="94">
        <v>1</v>
      </c>
      <c r="S69" s="99">
        <f>IFERROR(_xll.qlRateHelperEarliestDate(M69,Trigger),"--")</f>
        <v>42256</v>
      </c>
      <c r="T69" s="99">
        <f>IFERROR(_xll.qlRateHelperPillarDate(M69,Trigger),"--")</f>
        <v>55040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0" t="str">
        <f>IFERROR(_xll.qlRateHelperRate(W69,Trigger),"")</f>
        <v/>
      </c>
      <c r="Z69" s="104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0" t="e">
        <v>#N/A</v>
      </c>
      <c r="AD69" s="46" t="e">
        <v>#N/A</v>
      </c>
      <c r="AE69" s="46" t="e">
        <v>#N/A</v>
      </c>
      <c r="AF69" s="172" t="e">
        <f>_xll.qlYieldTSZeroRate(yieldcurve1_STD,$AD69,"ACTUAL/365 (FIXED)",,,TRUE,Trigger)-AE69</f>
        <v>#NUM!</v>
      </c>
    </row>
    <row r="70" spans="1:32" ht="11.25" customHeight="1" x14ac:dyDescent="0.2">
      <c r="A70" s="59" t="s">
        <v>25</v>
      </c>
      <c r="B70" s="60" t="s">
        <v>110</v>
      </c>
      <c r="C70" s="61" t="s">
        <v>6</v>
      </c>
      <c r="D70" s="61" t="s">
        <v>8</v>
      </c>
      <c r="E70" s="61" t="s">
        <v>7</v>
      </c>
      <c r="F70" s="61" t="s">
        <v>125</v>
      </c>
      <c r="G70" s="61" t="str">
        <f t="shared" si="13"/>
        <v>Euribor6M</v>
      </c>
      <c r="H70" s="59" t="str">
        <f t="shared" si="14"/>
        <v>EURAB6E28Y_LCHQuote</v>
      </c>
      <c r="I70" s="127">
        <v>0</v>
      </c>
      <c r="J70" s="64" t="str">
        <f>_xll.qlSwapRateHelper2(,$H70,,$B70,Calendar,$D70,$E70,$F70,$G70,$I70,$C70,,PillarDate,,Permanent,Trigger,ObjectOverwrite)</f>
        <v>obj_0061b#0001</v>
      </c>
      <c r="L70" s="10" t="str">
        <f t="shared" si="10"/>
        <v>Sw</v>
      </c>
      <c r="M70" s="94" t="str">
        <f t="shared" si="12"/>
        <v>obj_0061f#0001</v>
      </c>
      <c r="N70" s="146" t="str">
        <f>IFERROR(_xll.qlRateHelperQuoteName(M70,Trigger),"--")</f>
        <v>EURAB6E40Y_LCHQuote</v>
      </c>
      <c r="O70" s="98">
        <f>IFERROR(_xll.qlRateHelperQuoteValue($M70,Trigger),"--")</f>
        <v>1.5667500000000001E-2</v>
      </c>
      <c r="P70" s="97" t="b">
        <v>1</v>
      </c>
      <c r="Q70" s="94">
        <v>10</v>
      </c>
      <c r="R70" s="94">
        <v>1</v>
      </c>
      <c r="S70" s="99">
        <f>IFERROR(_xll.qlRateHelperEarliestDate(M70,Trigger),"--")</f>
        <v>42256</v>
      </c>
      <c r="T70" s="99">
        <f>IFERROR(_xll.qlRateHelperPillarDate(M70,Trigger),"--")</f>
        <v>56866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0" t="str">
        <f>IFERROR(_xll.qlRateHelperRate(W70,Trigger),"")</f>
        <v/>
      </c>
      <c r="Z70" s="104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0" t="e">
        <v>#N/A</v>
      </c>
      <c r="AD70" s="46" t="e">
        <v>#N/A</v>
      </c>
      <c r="AE70" s="46" t="e">
        <v>#N/A</v>
      </c>
      <c r="AF70" s="172" t="e">
        <f>_xll.qlYieldTSZeroRate(yieldcurve1_STD,$AD70,"ACTUAL/365 (FIXED)",,,TRUE,Trigger)-AE70</f>
        <v>#NUM!</v>
      </c>
    </row>
    <row r="71" spans="1:32" ht="11.25" customHeight="1" x14ac:dyDescent="0.2">
      <c r="A71" s="59" t="s">
        <v>25</v>
      </c>
      <c r="B71" s="60" t="s">
        <v>111</v>
      </c>
      <c r="C71" s="61" t="s">
        <v>6</v>
      </c>
      <c r="D71" s="61" t="s">
        <v>8</v>
      </c>
      <c r="E71" s="61" t="s">
        <v>7</v>
      </c>
      <c r="F71" s="61" t="s">
        <v>125</v>
      </c>
      <c r="G71" s="61" t="str">
        <f t="shared" si="13"/>
        <v>Euribor6M</v>
      </c>
      <c r="H71" s="59" t="str">
        <f t="shared" si="14"/>
        <v>EURAB6E29Y_LCHQuote</v>
      </c>
      <c r="I71" s="127">
        <v>0</v>
      </c>
      <c r="J71" s="64" t="str">
        <f>_xll.qlSwapRateHelper2(,$H71,,$B71,Calendar,$D71,$E71,$F71,$G71,$I71,$C71,,PillarDate,,Permanent,Trigger,ObjectOverwrite)</f>
        <v>obj_0062f#0001</v>
      </c>
      <c r="L71" s="10" t="str">
        <f t="shared" si="10"/>
        <v>Sw</v>
      </c>
      <c r="M71" s="94" t="str">
        <f t="shared" si="12"/>
        <v>obj_00626#0001</v>
      </c>
      <c r="N71" s="146" t="str">
        <f>IFERROR(_xll.qlRateHelperQuoteName(M71,Trigger),"--")</f>
        <v>EURAB6E50Y_LCHQuote</v>
      </c>
      <c r="O71" s="98">
        <f>IFERROR(_xll.qlRateHelperQuoteValue($M71,Trigger),"--")</f>
        <v>1.53075E-2</v>
      </c>
      <c r="P71" s="97" t="b">
        <v>1</v>
      </c>
      <c r="Q71" s="94">
        <v>10</v>
      </c>
      <c r="R71" s="94">
        <v>1</v>
      </c>
      <c r="S71" s="99">
        <f>IFERROR(_xll.qlRateHelperEarliestDate(M71,Trigger),"--")</f>
        <v>42256</v>
      </c>
      <c r="T71" s="99">
        <f>IFERROR(_xll.qlRateHelperPillarDate(M71,Trigger),"--")</f>
        <v>60519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0" t="str">
        <f>IFERROR(_xll.qlRateHelperRate(W71,Trigger),"")</f>
        <v/>
      </c>
      <c r="Z71" s="104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0" t="e">
        <v>#N/A</v>
      </c>
      <c r="AD71" s="46" t="e">
        <v>#N/A</v>
      </c>
      <c r="AE71" s="46" t="e">
        <v>#N/A</v>
      </c>
      <c r="AF71" s="172" t="e">
        <f>_xll.qlYieldTSZeroRate(yieldcurve1_STD,$AD71,"ACTUAL/365 (FIXED)",,,TRUE,Trigger)-AE71</f>
        <v>#NUM!</v>
      </c>
    </row>
    <row r="72" spans="1:32" ht="11.25" customHeight="1" x14ac:dyDescent="0.2">
      <c r="A72" s="59" t="s">
        <v>25</v>
      </c>
      <c r="B72" s="60" t="s">
        <v>66</v>
      </c>
      <c r="C72" s="61" t="s">
        <v>6</v>
      </c>
      <c r="D72" s="61" t="s">
        <v>8</v>
      </c>
      <c r="E72" s="61" t="s">
        <v>7</v>
      </c>
      <c r="F72" s="61" t="s">
        <v>125</v>
      </c>
      <c r="G72" s="61" t="str">
        <f t="shared" si="13"/>
        <v>Euribor6M</v>
      </c>
      <c r="H72" s="59" t="str">
        <f t="shared" si="14"/>
        <v>EURAB6E30Y_LCHQuote</v>
      </c>
      <c r="I72" s="127">
        <v>0</v>
      </c>
      <c r="J72" s="64" t="str">
        <f>_xll.qlSwapRateHelper2(,$H72,,$B72,Calendar,$D72,$E72,$F72,$G72,$I72,$C72,,PillarDate,,Permanent,Trigger,ObjectOverwrite)</f>
        <v>obj_00631#0001</v>
      </c>
      <c r="L72" s="11" t="str">
        <f t="shared" si="10"/>
        <v>Sw</v>
      </c>
      <c r="M72" s="95" t="str">
        <f t="shared" si="12"/>
        <v>obj_0062d#0001</v>
      </c>
      <c r="N72" s="147" t="str">
        <f>IFERROR(_xll.qlRateHelperQuoteName(M72,Trigger),"--")</f>
        <v>EURAB6E60Y_LCHQuote</v>
      </c>
      <c r="O72" s="101">
        <f>IFERROR(_xll.qlRateHelperQuoteValue($M72,Trigger),"--")</f>
        <v>1.5025E-2</v>
      </c>
      <c r="P72" s="100" t="b">
        <v>1</v>
      </c>
      <c r="Q72" s="95">
        <v>10</v>
      </c>
      <c r="R72" s="95">
        <v>1</v>
      </c>
      <c r="S72" s="102">
        <f>IFERROR(_xll.qlRateHelperEarliestDate(M72,Trigger),"--")</f>
        <v>42256</v>
      </c>
      <c r="T72" s="102">
        <f>IFERROR(_xll.qlRateHelperPillarDate(M72,Trigger),"--")</f>
        <v>64171</v>
      </c>
      <c r="V72" s="6" t="str">
        <f t="shared" si="15"/>
        <v/>
      </c>
      <c r="W72" s="6" t="e">
        <v>#N/A</v>
      </c>
      <c r="X72" s="6" t="str">
        <f>IFERROR(_xll.qlRateHelperQuoteName(W72,Trigger),"")</f>
        <v/>
      </c>
      <c r="Y72" s="79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12" t="str">
        <f>IFERROR(_xll.qlRateHelperEarliestDate(W72,Trigger),"")</f>
        <v/>
      </c>
      <c r="AB72" s="12" t="str">
        <f>IFERROR(_xll.qlRateHelperPillarDate(W72,Trigger),"")</f>
        <v/>
      </c>
      <c r="AC72" s="79" t="e">
        <v>#N/A</v>
      </c>
      <c r="AD72" s="46" t="e">
        <v>#N/A</v>
      </c>
      <c r="AE72" s="46" t="e">
        <v>#N/A</v>
      </c>
      <c r="AF72" s="172" t="e">
        <f>_xll.qlYieldTSZeroRate(yieldcurve1_STD,$AD72,"ACTUAL/365 (FIXED)",,,TRUE,Trigger)-AE72</f>
        <v>#NUM!</v>
      </c>
    </row>
    <row r="73" spans="1:32" ht="11.25" customHeight="1" x14ac:dyDescent="0.2">
      <c r="A73" s="59" t="s">
        <v>25</v>
      </c>
      <c r="B73" s="60" t="s">
        <v>67</v>
      </c>
      <c r="C73" s="61" t="s">
        <v>6</v>
      </c>
      <c r="D73" s="61" t="s">
        <v>8</v>
      </c>
      <c r="E73" s="61" t="s">
        <v>7</v>
      </c>
      <c r="F73" s="61" t="s">
        <v>125</v>
      </c>
      <c r="G73" s="61" t="str">
        <f t="shared" si="13"/>
        <v>Euribor6M</v>
      </c>
      <c r="H73" s="59" t="str">
        <f t="shared" si="14"/>
        <v>EURAB6E35Y_LCHQuote</v>
      </c>
      <c r="I73" s="127">
        <v>0</v>
      </c>
      <c r="J73" s="64" t="str">
        <f>_xll.qlSwapRateHelper2(,$H73,,$B73,Calendar,$D73,$E73,$F73,$G73,$I73,$C73,,PillarDate,,Permanent,Trigger,ObjectOverwrite)</f>
        <v>obj_00615#0001</v>
      </c>
    </row>
    <row r="74" spans="1:32" ht="11.25" customHeight="1" x14ac:dyDescent="0.2">
      <c r="A74" s="59" t="s">
        <v>25</v>
      </c>
      <c r="B74" s="60" t="s">
        <v>68</v>
      </c>
      <c r="C74" s="61" t="s">
        <v>6</v>
      </c>
      <c r="D74" s="61" t="s">
        <v>8</v>
      </c>
      <c r="E74" s="61" t="s">
        <v>7</v>
      </c>
      <c r="F74" s="61" t="s">
        <v>125</v>
      </c>
      <c r="G74" s="61" t="str">
        <f t="shared" si="13"/>
        <v>Euribor6M</v>
      </c>
      <c r="H74" s="59" t="str">
        <f t="shared" si="14"/>
        <v>EURAB6E40Y_LCHQuote</v>
      </c>
      <c r="I74" s="125">
        <v>0</v>
      </c>
      <c r="J74" s="64" t="str">
        <f>_xll.qlSwapRateHelper2(,$H74,,$B74,Calendar,$D74,$E74,$F74,$G74,$I74,$C74,,PillarDate,,Permanent,Trigger,ObjectOverwrite)</f>
        <v>obj_0061f#0001</v>
      </c>
    </row>
    <row r="75" spans="1:32" ht="11.25" customHeight="1" x14ac:dyDescent="0.2">
      <c r="A75" s="59" t="s">
        <v>25</v>
      </c>
      <c r="B75" s="60" t="s">
        <v>69</v>
      </c>
      <c r="C75" s="61" t="s">
        <v>6</v>
      </c>
      <c r="D75" s="61" t="s">
        <v>8</v>
      </c>
      <c r="E75" s="61" t="s">
        <v>7</v>
      </c>
      <c r="F75" s="61" t="s">
        <v>125</v>
      </c>
      <c r="G75" s="61" t="str">
        <f t="shared" si="13"/>
        <v>Euribor6M</v>
      </c>
      <c r="H75" s="59" t="str">
        <f t="shared" si="14"/>
        <v>EURAB6E50Y_LCHQuote</v>
      </c>
      <c r="I75" s="125">
        <v>0</v>
      </c>
      <c r="J75" s="64" t="str">
        <f>_xll.qlSwapRateHelper2(,$H75,,$B75,Calendar,$D75,$E75,$F75,$G75,$I75,$C75,,PillarDate,,Permanent,Trigger,ObjectOverwrite)</f>
        <v>obj_00626#0001</v>
      </c>
    </row>
    <row r="76" spans="1:32" ht="11.25" customHeight="1" x14ac:dyDescent="0.2">
      <c r="A76" s="1" t="s">
        <v>25</v>
      </c>
      <c r="B76" s="8" t="s">
        <v>112</v>
      </c>
      <c r="C76" s="7" t="s">
        <v>6</v>
      </c>
      <c r="D76" s="7" t="s">
        <v>8</v>
      </c>
      <c r="E76" s="7" t="s">
        <v>7</v>
      </c>
      <c r="F76" s="7" t="s">
        <v>125</v>
      </c>
      <c r="G76" s="7" t="str">
        <f t="shared" si="13"/>
        <v>Euribor6M</v>
      </c>
      <c r="H76" s="1" t="str">
        <f t="shared" si="14"/>
        <v>EURAB6E60Y_LCHQuote</v>
      </c>
      <c r="I76" s="128">
        <v>0</v>
      </c>
      <c r="J76" s="3" t="str">
        <f>_xll.qlSwapRateHelper2(,$H76,,$B76,Calendar,$D76,$E76,$F76,$G76,$I76,$C76,,PillarDate,,Permanent,Trigger,ObjectOverwrite)</f>
        <v>obj_0062d#0001</v>
      </c>
    </row>
    <row r="77" spans="1:32" ht="11.25" customHeight="1" x14ac:dyDescent="0.2"/>
    <row r="78" spans="1:32" ht="11.25" customHeight="1" x14ac:dyDescent="0.2"/>
    <row r="79" spans="1:32" ht="11.25" customHeight="1" x14ac:dyDescent="0.2"/>
    <row r="80" spans="1:32" ht="11.25" customHeight="1" x14ac:dyDescent="0.2"/>
    <row r="81" spans="2:21" ht="11.25" customHeight="1" x14ac:dyDescent="0.2"/>
    <row r="82" spans="2:21" ht="11.25" customHeight="1" x14ac:dyDescent="0.2"/>
    <row r="83" spans="2:21" ht="11.25" customHeight="1" x14ac:dyDescent="0.2"/>
    <row r="84" spans="2:21" ht="11.25" customHeight="1" x14ac:dyDescent="0.2"/>
    <row r="85" spans="2:21" ht="11.25" customHeight="1" x14ac:dyDescent="0.2"/>
    <row r="86" spans="2:21" x14ac:dyDescent="0.2">
      <c r="B86" s="46"/>
      <c r="C86" s="46"/>
      <c r="D86" s="46"/>
      <c r="E86" s="46"/>
      <c r="F86" s="46"/>
      <c r="G86" s="46"/>
      <c r="H86" s="46"/>
    </row>
    <row r="87" spans="2:21" x14ac:dyDescent="0.2">
      <c r="B87" s="46"/>
      <c r="C87" s="46"/>
      <c r="D87" s="46"/>
      <c r="E87" s="46"/>
      <c r="F87" s="46"/>
      <c r="G87" s="46"/>
      <c r="H87" s="46"/>
    </row>
    <row r="88" spans="2:21" x14ac:dyDescent="0.2">
      <c r="B88" s="46"/>
      <c r="C88" s="46"/>
      <c r="D88" s="46"/>
      <c r="E88" s="46"/>
      <c r="F88" s="46"/>
      <c r="G88" s="46"/>
      <c r="H88" s="46"/>
    </row>
    <row r="89" spans="2:21" x14ac:dyDescent="0.2">
      <c r="B89" s="46"/>
      <c r="C89" s="46"/>
      <c r="D89" s="46"/>
      <c r="E89" s="46"/>
      <c r="F89" s="46"/>
      <c r="G89" s="46"/>
      <c r="H89" s="46"/>
    </row>
    <row r="90" spans="2:21" x14ac:dyDescent="0.2">
      <c r="B90" s="46"/>
      <c r="C90" s="46"/>
      <c r="D90" s="46"/>
      <c r="E90" s="46"/>
      <c r="F90" s="46"/>
      <c r="G90" s="46"/>
      <c r="H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2:21" x14ac:dyDescent="0.2">
      <c r="B91" s="46"/>
      <c r="C91" s="46"/>
      <c r="D91" s="46"/>
      <c r="E91" s="46"/>
      <c r="F91" s="46"/>
      <c r="G91" s="46"/>
      <c r="H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2:21" x14ac:dyDescent="0.2">
      <c r="B92" s="46"/>
      <c r="C92" s="46"/>
      <c r="D92" s="46"/>
      <c r="E92" s="46"/>
      <c r="F92" s="46"/>
      <c r="G92" s="46"/>
      <c r="H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2:21" x14ac:dyDescent="0.2">
      <c r="B93" s="46"/>
      <c r="C93" s="46"/>
      <c r="D93" s="46"/>
      <c r="E93" s="46"/>
      <c r="F93" s="46"/>
      <c r="G93" s="46"/>
      <c r="H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2:21" x14ac:dyDescent="0.2">
      <c r="B94" s="46"/>
      <c r="C94" s="46"/>
      <c r="D94" s="46"/>
      <c r="E94" s="46"/>
      <c r="F94" s="46"/>
      <c r="G94" s="46"/>
      <c r="H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2:21" x14ac:dyDescent="0.2">
      <c r="B95" s="46"/>
      <c r="C95" s="46"/>
      <c r="D95" s="46"/>
      <c r="E95" s="46"/>
      <c r="F95" s="46"/>
      <c r="G95" s="46"/>
      <c r="H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2:21" x14ac:dyDescent="0.2">
      <c r="B96" s="46"/>
      <c r="C96" s="46"/>
      <c r="D96" s="46"/>
      <c r="E96" s="46"/>
      <c r="F96" s="46"/>
      <c r="G96" s="46"/>
      <c r="H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2:21" x14ac:dyDescent="0.2">
      <c r="B97" s="46"/>
      <c r="C97" s="46"/>
      <c r="D97" s="46"/>
      <c r="E97" s="46"/>
      <c r="F97" s="46"/>
      <c r="G97" s="46"/>
      <c r="H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2:21" x14ac:dyDescent="0.2">
      <c r="B98" s="46"/>
      <c r="C98" s="46"/>
      <c r="D98" s="46"/>
      <c r="E98" s="46"/>
      <c r="F98" s="46"/>
      <c r="G98" s="46"/>
      <c r="H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2:21" x14ac:dyDescent="0.2">
      <c r="B99" s="46"/>
      <c r="C99" s="46"/>
      <c r="D99" s="46"/>
      <c r="E99" s="46"/>
      <c r="F99" s="46"/>
      <c r="G99" s="46"/>
      <c r="H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2:21" x14ac:dyDescent="0.2">
      <c r="B100" s="46"/>
      <c r="C100" s="46"/>
      <c r="D100" s="46"/>
      <c r="E100" s="46"/>
      <c r="F100" s="46"/>
      <c r="G100" s="46"/>
      <c r="H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2:21" x14ac:dyDescent="0.2">
      <c r="B101" s="46"/>
      <c r="C101" s="46"/>
      <c r="D101" s="46"/>
      <c r="E101" s="46"/>
      <c r="F101" s="46"/>
      <c r="G101" s="46"/>
      <c r="H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2:21" x14ac:dyDescent="0.2"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2:21" x14ac:dyDescent="0.2"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2:21" x14ac:dyDescent="0.2"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2:21" x14ac:dyDescent="0.2">
      <c r="M105" s="46"/>
      <c r="N105" s="46"/>
      <c r="O105" s="46"/>
      <c r="P105" s="46"/>
      <c r="Q105" s="46"/>
      <c r="R105" s="46"/>
      <c r="S105" s="46"/>
      <c r="T105" s="46"/>
      <c r="U105" s="46"/>
    </row>
    <row r="111" spans="2:21" x14ac:dyDescent="0.2">
      <c r="B111" s="46"/>
      <c r="C111" s="46"/>
      <c r="D111" s="46"/>
      <c r="E111" s="46"/>
      <c r="F111" s="46"/>
      <c r="G111" s="46"/>
      <c r="H111" s="46"/>
    </row>
    <row r="115" spans="13:21" x14ac:dyDescent="0.2">
      <c r="M115" s="46"/>
      <c r="N115" s="46"/>
      <c r="O115" s="46"/>
      <c r="P115" s="46"/>
      <c r="Q115" s="46"/>
      <c r="R115" s="46"/>
      <c r="S115" s="46"/>
      <c r="T115" s="46"/>
      <c r="U115" s="46"/>
    </row>
  </sheetData>
  <mergeCells count="1">
    <mergeCell ref="AH2:AI2"/>
  </mergeCells>
  <dataValidations count="4">
    <dataValidation type="list" allowBlank="1" showInputMessage="1" showErrorMessage="1" sqref="E3:E4 E40:E76">
      <formula1>"Following,Modified Following,Preceding,Modified Preceding,Unadjusted,Half-Month Modified Following"</formula1>
    </dataValidation>
    <dataValidation type="list" allowBlank="1" showInputMessage="1" showErrorMessage="1" sqref="F3:F4 F40:F7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0:D76">
      <formula1>"Annual,Semiannual,EveryFourthMonth,Quarterly,Bimonthly,Monthly,Biweekly,Weekly,Daily,Once,NoFrequency"</formula1>
    </dataValidation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62</vt:i4>
      </vt:variant>
    </vt:vector>
  </HeadingPairs>
  <TitlesOfParts>
    <vt:vector size="69" baseType="lpstr">
      <vt:lpstr>GeneralSettings</vt:lpstr>
      <vt:lpstr>EURON</vt:lpstr>
      <vt:lpstr>EUR3M</vt:lpstr>
      <vt:lpstr>EUR6M</vt:lpstr>
      <vt:lpstr>EUR1M</vt:lpstr>
      <vt:lpstr>EUR1Y</vt:lpstr>
      <vt:lpstr>EURSTD</vt:lpstr>
      <vt:lpstr>Calendar</vt:lpstr>
      <vt:lpstr>Currency</vt:lpstr>
      <vt:lpstr>Discounting1</vt:lpstr>
      <vt:lpstr>Discounting2</vt:lpstr>
      <vt:lpstr>DiscountingSTD</vt:lpstr>
      <vt:lpstr>EvaluationDate</vt:lpstr>
      <vt:lpstr>EvalutionDate</vt:lpstr>
      <vt:lpstr>FamilyName</vt:lpstr>
      <vt:lpstr>EUR1M!IncludeFlag</vt:lpstr>
      <vt:lpstr>EUR1Y!IncludeFlag</vt:lpstr>
      <vt:lpstr>EUR3M!IncludeFlag</vt:lpstr>
      <vt:lpstr>EUR6M!IncludeFlag</vt:lpstr>
      <vt:lpstr>EURON!IncludeFlag</vt:lpstr>
      <vt:lpstr>EURSTD!IncludeFlag</vt:lpstr>
      <vt:lpstr>LCHcubic</vt:lpstr>
      <vt:lpstr>LCHlinear</vt:lpstr>
      <vt:lpstr>LCHQuoteOverwrite</vt:lpstr>
      <vt:lpstr>LCHQuoteSuffix</vt:lpstr>
      <vt:lpstr>EUR1M!MinDistance</vt:lpstr>
      <vt:lpstr>EUR1Y!MinDistance</vt:lpstr>
      <vt:lpstr>EUR3M!MinDistance</vt:lpstr>
      <vt:lpstr>EUR6M!MinDistance</vt:lpstr>
      <vt:lpstr>EURON!MinDistance</vt:lpstr>
      <vt:lpstr>EURSTD!MinDistance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EURSTD!Priority</vt:lpstr>
      <vt:lpstr>QuoteSuffix</vt:lpstr>
      <vt:lpstr>EURON!RateHelpers</vt:lpstr>
      <vt:lpstr>RateHelpers</vt:lpstr>
      <vt:lpstr>EUR1M!RateHelpers1</vt:lpstr>
      <vt:lpstr>EUR1Y!RateHelpers1</vt:lpstr>
      <vt:lpstr>EUR3M!RateHelpers1</vt:lpstr>
      <vt:lpstr>EUR6M!RateHelpers1</vt:lpstr>
      <vt:lpstr>EURSTD!RateHelpers1</vt:lpstr>
      <vt:lpstr>EUR1M!RateHelpers2</vt:lpstr>
      <vt:lpstr>EUR1Y!RateHelpers2</vt:lpstr>
      <vt:lpstr>EUR3M!RateHelpers2</vt:lpstr>
      <vt:lpstr>EUR6M!RateHelpers2</vt:lpstr>
      <vt:lpstr>SettlementDate</vt:lpstr>
      <vt:lpstr>EUR1M!Tenor</vt:lpstr>
      <vt:lpstr>EUR1Y!Tenor</vt:lpstr>
      <vt:lpstr>EUR3M!Tenor</vt:lpstr>
      <vt:lpstr>EUR6M!Tenor</vt:lpstr>
      <vt:lpstr>Trigger</vt:lpstr>
      <vt:lpstr>yieldcurve1_1M</vt:lpstr>
      <vt:lpstr>yieldcurve1_1Y</vt:lpstr>
      <vt:lpstr>YieldCurve1_3M</vt:lpstr>
      <vt:lpstr>YieldCurve1_6M</vt:lpstr>
      <vt:lpstr>YieldCurve1_ON</vt:lpstr>
      <vt:lpstr>yieldcurve1_STD</vt:lpstr>
      <vt:lpstr>yieldcurve2_1M</vt:lpstr>
      <vt:lpstr>yieldcurve2_1Y</vt:lpstr>
      <vt:lpstr>yieldcurve2_3M</vt:lpstr>
      <vt:lpstr>YieldCurve2_6M</vt:lpstr>
      <vt:lpstr>yieldcurve2_ON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2015-09-16T14:38:49Z</dcterms:modified>
</cp:coreProperties>
</file>