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795"/>
  </bookViews>
  <sheets>
    <sheet name="GeneralSettings" sheetId="1" r:id="rId1"/>
    <sheet name="GBPON" sheetId="14" r:id="rId2"/>
    <sheet name="GBP3M" sheetId="15" r:id="rId3"/>
    <sheet name="GBP6M" sheetId="16" r:id="rId4"/>
    <sheet name="GBP1M" sheetId="17" r:id="rId5"/>
    <sheet name="GBP1Y" sheetId="18" r:id="rId6"/>
    <sheet name="GBPSTD" sheetId="19" r:id="rId7"/>
  </sheets>
  <externalReferences>
    <externalReference r:id="rId8"/>
  </externalReferences>
  <definedNames>
    <definedName name="Calendar">GeneralSettings!$D$11</definedName>
    <definedName name="Currency">GeneralSettings!$D$3</definedName>
    <definedName name="Discounting1">GeneralSettings!$I$8</definedName>
    <definedName name="Discounting2">GeneralSettings!$I$9</definedName>
    <definedName name="DiscountingSTD">GeneralSettings!$I$10</definedName>
    <definedName name="EvaluationDate">GeneralSettings!$D$9</definedName>
    <definedName name="EvalutionDate">GeneralSettings!$D$9</definedName>
    <definedName name="FamilyName">GeneralSettings!$I$3</definedName>
    <definedName name="IncludeFlag" localSheetId="4">GBP1M!$R$3:$R$52</definedName>
    <definedName name="IncludeFlag" localSheetId="5">GBP1Y!$R$3:$R$53</definedName>
    <definedName name="IncludeFlag" localSheetId="2">GBP3M!$R$3:$R$65</definedName>
    <definedName name="IncludeFlag" localSheetId="3">GBP6M!$R$3:$R$59</definedName>
    <definedName name="IncludeFlag" localSheetId="1">GBPON!$M$3:$M$77</definedName>
    <definedName name="IncludeFlag" localSheetId="6">GBPSTD!$P$3:$P$72</definedName>
    <definedName name="LCHcubic">GeneralSettings!$I$7</definedName>
    <definedName name="LCHlinear">GeneralSettings!$I$6</definedName>
    <definedName name="LCHQuoteOverwrite">GeneralSettings!$I$11</definedName>
    <definedName name="LCHQuoteSuffix">GeneralSettings!$I$5</definedName>
    <definedName name="MinDistance" localSheetId="4">GBP1M!$T$3:$T$52</definedName>
    <definedName name="MinDistance" localSheetId="5">GBP1Y!$T$3:$T$53</definedName>
    <definedName name="MinDistance" localSheetId="2">GBP3M!$T$3:$T$65</definedName>
    <definedName name="MinDistance" localSheetId="3">GBP6M!$T$3:$T$59</definedName>
    <definedName name="MinDistance" localSheetId="1">GBPON!$O$3:$O$77</definedName>
    <definedName name="MinDistance" localSheetId="6">GBPSTD!$R$3:$R$72</definedName>
    <definedName name="ObjectOverwrite">GeneralSettings!$D$6</definedName>
    <definedName name="Permanent">GeneralSettings!$D$4</definedName>
    <definedName name="PillarDate">GeneralSettings!$D$7</definedName>
    <definedName name="Priority" localSheetId="4">GBP1M!$S$3:$S$52</definedName>
    <definedName name="Priority" localSheetId="5">GBP1Y!$S$3:$S$53</definedName>
    <definedName name="Priority" localSheetId="2">GBP3M!$S$3:$S$65</definedName>
    <definedName name="Priority" localSheetId="3">GBP6M!$S$3:$S$59</definedName>
    <definedName name="Priority" localSheetId="1">GBPON!$N$3:$N$77</definedName>
    <definedName name="Priority" localSheetId="6">GBPSTD!$Q$3:$Q$72</definedName>
    <definedName name="QuoteSuffix">GeneralSettings!$I$4</definedName>
    <definedName name="RateHelpers" localSheetId="1">GBPON!$J$3:$J$77</definedName>
    <definedName name="RateHelpers">GBPSTD!$M$3:$M$72</definedName>
    <definedName name="RateHelpers1" localSheetId="4">GBP1M!$N$3:$N$52</definedName>
    <definedName name="RateHelpers1" localSheetId="5">GBP1Y!$N$3:$N$53</definedName>
    <definedName name="RateHelpers1" localSheetId="2">GBP3M!$N$3:$N$65</definedName>
    <definedName name="RateHelpers1" localSheetId="3">GBP6M!$N$3:$N$59</definedName>
    <definedName name="RateHelpers1" localSheetId="6">GBPSTD!$M$3:$M$72</definedName>
    <definedName name="RateHelpers2" localSheetId="4">GBP1M!$O$3:$O$52</definedName>
    <definedName name="RateHelpers2" localSheetId="5">GBP1Y!$O$3:$O$53</definedName>
    <definedName name="RateHelpers2" localSheetId="2">GBP3M!$O$3:$O$65</definedName>
    <definedName name="RateHelpers2" localSheetId="3">GBP6M!$O$3:$O$59</definedName>
    <definedName name="RateHelpers2" localSheetId="6">GBPSTD!#REF!</definedName>
    <definedName name="SettlementDate">GeneralSettings!$D$10</definedName>
    <definedName name="Tenor" localSheetId="4">GBP1M!$G$1</definedName>
    <definedName name="Tenor" localSheetId="5">GBP1Y!$G$1</definedName>
    <definedName name="Tenor" localSheetId="2">GBP3M!$G$1</definedName>
    <definedName name="Tenor" localSheetId="3">GBP6M!$G$1</definedName>
    <definedName name="Trigger">GeneralSettings!$D$5</definedName>
    <definedName name="yieldcurve1_1M">GeneralSettings!$D$60</definedName>
    <definedName name="yieldcurve1_1Y">GeneralSettings!$D$75</definedName>
    <definedName name="YieldCurve1_3M">GeneralSettings!$D$30</definedName>
    <definedName name="YieldCurve1_6M">GeneralSettings!$D$45</definedName>
    <definedName name="YieldCurve1_ON">GeneralSettings!$D$15</definedName>
    <definedName name="yieldcurve1_STD">GeneralSettings!$D$90</definedName>
    <definedName name="yieldcurve2_1M">GeneralSettings!$I$60</definedName>
    <definedName name="yieldcurve2_1Y">GeneralSettings!$I$75</definedName>
    <definedName name="yieldcurve2_3M">GeneralSettings!$I$30</definedName>
    <definedName name="YieldCurve2_6M">GeneralSettings!$I$45</definedName>
    <definedName name="yieldcurve2_ON">GeneralSettings!$I$15</definedName>
  </definedNames>
  <calcPr calcId="145621"/>
</workbook>
</file>

<file path=xl/calcChain.xml><?xml version="1.0" encoding="utf-8"?>
<calcChain xmlns="http://schemas.openxmlformats.org/spreadsheetml/2006/main">
  <c r="H57" i="18" l="1"/>
  <c r="H56" i="18"/>
  <c r="H55" i="18"/>
  <c r="H54" i="18"/>
  <c r="H53" i="18"/>
  <c r="H52" i="18"/>
  <c r="H51" i="18"/>
  <c r="H50" i="18"/>
  <c r="H49" i="18"/>
  <c r="H48" i="18"/>
  <c r="H47" i="18"/>
  <c r="H46" i="18"/>
  <c r="H45" i="18"/>
  <c r="H44" i="18"/>
  <c r="H43" i="18"/>
  <c r="H42" i="18"/>
  <c r="H41" i="18"/>
  <c r="H40" i="18"/>
  <c r="H39" i="18"/>
  <c r="H38" i="18"/>
  <c r="H37" i="18"/>
  <c r="H36" i="18"/>
  <c r="H35" i="18"/>
  <c r="H34" i="18"/>
  <c r="H33" i="18"/>
  <c r="H32" i="18"/>
  <c r="H31" i="18"/>
  <c r="H30" i="18"/>
  <c r="H29" i="18"/>
  <c r="H28" i="18"/>
  <c r="H27" i="18"/>
  <c r="H26" i="18"/>
  <c r="H25" i="18"/>
  <c r="H24" i="18"/>
  <c r="H23" i="18"/>
  <c r="H22" i="18"/>
  <c r="H21" i="18"/>
  <c r="H20" i="18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81" i="14"/>
  <c r="E80" i="14"/>
  <c r="E79" i="14"/>
  <c r="E78" i="14"/>
  <c r="E77" i="14"/>
  <c r="E76" i="14"/>
  <c r="E75" i="14"/>
  <c r="E74" i="14"/>
  <c r="E73" i="14"/>
  <c r="E72" i="14"/>
  <c r="E71" i="14"/>
  <c r="E70" i="14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G57" i="14"/>
  <c r="G53" i="14"/>
  <c r="G72" i="14"/>
  <c r="G54" i="14"/>
  <c r="G58" i="14"/>
  <c r="G16" i="14"/>
  <c r="G12" i="14"/>
  <c r="G40" i="14"/>
  <c r="G13" i="14"/>
  <c r="K55" i="15"/>
  <c r="K46" i="15"/>
  <c r="J60" i="15"/>
  <c r="J33" i="15"/>
  <c r="K45" i="15"/>
  <c r="K41" i="15"/>
  <c r="J63" i="15"/>
  <c r="K57" i="15"/>
  <c r="J58" i="15"/>
  <c r="K67" i="15"/>
  <c r="G68" i="14"/>
  <c r="G64" i="14"/>
  <c r="G77" i="14"/>
  <c r="G45" i="14"/>
  <c r="G39" i="14"/>
  <c r="G24" i="14"/>
  <c r="G36" i="14"/>
  <c r="K66" i="15"/>
  <c r="J64" i="15"/>
  <c r="J53" i="15"/>
  <c r="J37" i="15"/>
  <c r="K34" i="15"/>
  <c r="G71" i="14"/>
  <c r="G56" i="14"/>
  <c r="G42" i="14"/>
  <c r="G11" i="14"/>
  <c r="G20" i="14"/>
  <c r="K52" i="15"/>
  <c r="J61" i="15"/>
  <c r="J68" i="15"/>
  <c r="J59" i="15"/>
  <c r="G55" i="14"/>
  <c r="G48" i="14"/>
  <c r="G34" i="14"/>
  <c r="G41" i="14"/>
  <c r="G35" i="14"/>
  <c r="J32" i="15"/>
  <c r="K35" i="15"/>
  <c r="K51" i="15"/>
  <c r="J35" i="15"/>
  <c r="G51" i="14"/>
  <c r="G60" i="14"/>
  <c r="G33" i="14"/>
  <c r="G19" i="14"/>
  <c r="J69" i="15"/>
  <c r="J65" i="15"/>
  <c r="K54" i="15"/>
  <c r="G62" i="14"/>
  <c r="G63" i="14"/>
  <c r="G37" i="14"/>
  <c r="G7" i="14"/>
  <c r="J62" i="15"/>
  <c r="J47" i="15"/>
  <c r="K36" i="15"/>
  <c r="G50" i="14"/>
  <c r="G47" i="14"/>
  <c r="G14" i="14"/>
  <c r="K56" i="15"/>
  <c r="K62" i="15"/>
  <c r="J46" i="15"/>
  <c r="G80" i="14"/>
  <c r="G74" i="14"/>
  <c r="G9" i="14"/>
  <c r="J39" i="15"/>
  <c r="K38" i="15"/>
  <c r="K50" i="15"/>
  <c r="G49" i="14"/>
  <c r="G27" i="14"/>
  <c r="J50" i="15"/>
  <c r="J40" i="15"/>
  <c r="K43" i="15"/>
  <c r="K33" i="15"/>
  <c r="K42" i="15"/>
  <c r="G52" i="14"/>
  <c r="G61" i="14"/>
  <c r="G23" i="14"/>
  <c r="G8" i="14"/>
  <c r="J49" i="15"/>
  <c r="K47" i="15"/>
  <c r="K49" i="15"/>
  <c r="K60" i="15"/>
  <c r="K39" i="15"/>
  <c r="G67" i="14"/>
  <c r="G76" i="14"/>
  <c r="G38" i="14"/>
  <c r="G31" i="14"/>
  <c r="J48" i="15"/>
  <c r="J66" i="15"/>
  <c r="K63" i="15"/>
  <c r="J67" i="15"/>
  <c r="G78" i="14"/>
  <c r="G79" i="14"/>
  <c r="G26" i="14"/>
  <c r="G15" i="14"/>
  <c r="K58" i="15"/>
  <c r="K65" i="15"/>
  <c r="J51" i="15"/>
  <c r="G66" i="14"/>
  <c r="G75" i="14"/>
  <c r="G25" i="14"/>
  <c r="K44" i="15"/>
  <c r="J34" i="15"/>
  <c r="K68" i="15"/>
  <c r="G73" i="14"/>
  <c r="G59" i="14"/>
  <c r="G17" i="14"/>
  <c r="K32" i="15"/>
  <c r="J55" i="15"/>
  <c r="J41" i="15"/>
  <c r="G69" i="14"/>
  <c r="G32" i="14"/>
  <c r="G29" i="14"/>
  <c r="J44" i="15"/>
  <c r="K53" i="15"/>
  <c r="J52" i="15"/>
  <c r="K61" i="15"/>
  <c r="G22" i="14"/>
  <c r="K69" i="15"/>
  <c r="J56" i="15"/>
  <c r="K59" i="15"/>
  <c r="G81" i="14"/>
  <c r="G18" i="14"/>
  <c r="G30" i="14"/>
  <c r="J57" i="15"/>
  <c r="J36" i="15"/>
  <c r="J45" i="15"/>
  <c r="G46" i="14"/>
  <c r="G10" i="14"/>
  <c r="G21" i="14"/>
  <c r="K64" i="15"/>
  <c r="K37" i="15"/>
  <c r="J54" i="15"/>
  <c r="K40" i="15"/>
  <c r="G65" i="14"/>
  <c r="G70" i="14"/>
  <c r="G28" i="14"/>
  <c r="K48" i="15"/>
  <c r="J43" i="15"/>
  <c r="J38" i="15"/>
  <c r="J42" i="15"/>
  <c r="AH3" i="17" a="1"/>
  <c r="AH3" i="15" a="1"/>
  <c r="AI3" i="18" a="1"/>
  <c r="AE3" i="19" a="1"/>
  <c r="AI3" i="16" a="1"/>
  <c r="AH3" i="16" a="1"/>
  <c r="AK3" i="18" a="1"/>
  <c r="AH3" i="18" a="1"/>
  <c r="AK3" i="15" a="1"/>
  <c r="AI3" i="15" a="1"/>
  <c r="AI3" i="17" a="1"/>
  <c r="AK3" i="17" a="1"/>
  <c r="AK3" i="16" a="1"/>
  <c r="AD3" i="19" a="1"/>
  <c r="AE3" i="19" l="1"/>
  <c r="AE11" i="19"/>
  <c r="AE19" i="19"/>
  <c r="AE27" i="19"/>
  <c r="AE35" i="19"/>
  <c r="AE43" i="19"/>
  <c r="AE51" i="19"/>
  <c r="AE59" i="19"/>
  <c r="AE67" i="19"/>
  <c r="AE4" i="19"/>
  <c r="AE12" i="19"/>
  <c r="AE20" i="19"/>
  <c r="AE28" i="19"/>
  <c r="AE36" i="19"/>
  <c r="AE44" i="19"/>
  <c r="AE52" i="19"/>
  <c r="AE60" i="19"/>
  <c r="AE68" i="19"/>
  <c r="AE5" i="19"/>
  <c r="AE13" i="19"/>
  <c r="AE21" i="19"/>
  <c r="AE29" i="19"/>
  <c r="AE37" i="19"/>
  <c r="AE45" i="19"/>
  <c r="AE53" i="19"/>
  <c r="AE61" i="19"/>
  <c r="AE69" i="19"/>
  <c r="AE6" i="19"/>
  <c r="AE14" i="19"/>
  <c r="AE22" i="19"/>
  <c r="AE30" i="19"/>
  <c r="AE38" i="19"/>
  <c r="AE46" i="19"/>
  <c r="AE54" i="19"/>
  <c r="AE62" i="19"/>
  <c r="AE70" i="19"/>
  <c r="AE7" i="19"/>
  <c r="AE15" i="19"/>
  <c r="AE23" i="19"/>
  <c r="AE31" i="19"/>
  <c r="AE39" i="19"/>
  <c r="AE47" i="19"/>
  <c r="AE55" i="19"/>
  <c r="AE63" i="19"/>
  <c r="AE71" i="19"/>
  <c r="AE8" i="19"/>
  <c r="AE16" i="19"/>
  <c r="AE24" i="19"/>
  <c r="AE32" i="19"/>
  <c r="AE40" i="19"/>
  <c r="AE48" i="19"/>
  <c r="AE56" i="19"/>
  <c r="AE64" i="19"/>
  <c r="AE72" i="19"/>
  <c r="AE9" i="19"/>
  <c r="AE17" i="19"/>
  <c r="AE25" i="19"/>
  <c r="AE33" i="19"/>
  <c r="AE41" i="19"/>
  <c r="AE49" i="19"/>
  <c r="AE57" i="19"/>
  <c r="AE65" i="19"/>
  <c r="AE10" i="19"/>
  <c r="AE18" i="19"/>
  <c r="AE26" i="19"/>
  <c r="AE34" i="19"/>
  <c r="AE42" i="19"/>
  <c r="AE50" i="19"/>
  <c r="AE58" i="19"/>
  <c r="AE66" i="19"/>
  <c r="AD3" i="19"/>
  <c r="AD11" i="19"/>
  <c r="AD19" i="19"/>
  <c r="AD27" i="19"/>
  <c r="AD35" i="19"/>
  <c r="AD43" i="19"/>
  <c r="AD51" i="19"/>
  <c r="AD59" i="19"/>
  <c r="AD67" i="19"/>
  <c r="AD4" i="19"/>
  <c r="AD12" i="19"/>
  <c r="AD20" i="19"/>
  <c r="AD28" i="19"/>
  <c r="AD36" i="19"/>
  <c r="AD44" i="19"/>
  <c r="AD52" i="19"/>
  <c r="AD60" i="19"/>
  <c r="AD68" i="19"/>
  <c r="AD5" i="19"/>
  <c r="AD13" i="19"/>
  <c r="AD21" i="19"/>
  <c r="AD29" i="19"/>
  <c r="AD37" i="19"/>
  <c r="AD45" i="19"/>
  <c r="AD53" i="19"/>
  <c r="AD61" i="19"/>
  <c r="AD69" i="19"/>
  <c r="AD6" i="19"/>
  <c r="AD14" i="19"/>
  <c r="AD22" i="19"/>
  <c r="AD30" i="19"/>
  <c r="AD38" i="19"/>
  <c r="AD46" i="19"/>
  <c r="AD54" i="19"/>
  <c r="AD62" i="19"/>
  <c r="AD70" i="19"/>
  <c r="AD7" i="19"/>
  <c r="AD15" i="19"/>
  <c r="AD23" i="19"/>
  <c r="AD31" i="19"/>
  <c r="AD39" i="19"/>
  <c r="AD47" i="19"/>
  <c r="AD55" i="19"/>
  <c r="AD63" i="19"/>
  <c r="AD71" i="19"/>
  <c r="AD8" i="19"/>
  <c r="AD16" i="19"/>
  <c r="AD24" i="19"/>
  <c r="AD32" i="19"/>
  <c r="AD40" i="19"/>
  <c r="AD48" i="19"/>
  <c r="AD56" i="19"/>
  <c r="AD64" i="19"/>
  <c r="AD72" i="19"/>
  <c r="AD9" i="19"/>
  <c r="AD17" i="19"/>
  <c r="AD25" i="19"/>
  <c r="AD33" i="19"/>
  <c r="AD41" i="19"/>
  <c r="AD49" i="19"/>
  <c r="AD57" i="19"/>
  <c r="AD65" i="19"/>
  <c r="AD10" i="19"/>
  <c r="AD18" i="19"/>
  <c r="AD26" i="19"/>
  <c r="AD34" i="19"/>
  <c r="AD42" i="19"/>
  <c r="AD50" i="19"/>
  <c r="AD58" i="19"/>
  <c r="AD66" i="19"/>
  <c r="AK3" i="18"/>
  <c r="AK11" i="18"/>
  <c r="AK19" i="18"/>
  <c r="AK27" i="18"/>
  <c r="AK35" i="18"/>
  <c r="AK43" i="18"/>
  <c r="AK51" i="18"/>
  <c r="AK4" i="18"/>
  <c r="AK12" i="18"/>
  <c r="AK20" i="18"/>
  <c r="AK28" i="18"/>
  <c r="AK36" i="18"/>
  <c r="AK44" i="18"/>
  <c r="AK52" i="18"/>
  <c r="AK5" i="18"/>
  <c r="AK13" i="18"/>
  <c r="AK21" i="18"/>
  <c r="AK29" i="18"/>
  <c r="AK37" i="18"/>
  <c r="AK45" i="18"/>
  <c r="AK53" i="18"/>
  <c r="AK6" i="18"/>
  <c r="AK14" i="18"/>
  <c r="AK22" i="18"/>
  <c r="AK30" i="18"/>
  <c r="AK38" i="18"/>
  <c r="AK46" i="18"/>
  <c r="AK7" i="18"/>
  <c r="AK15" i="18"/>
  <c r="AK23" i="18"/>
  <c r="AK31" i="18"/>
  <c r="AK39" i="18"/>
  <c r="AK47" i="18"/>
  <c r="AK8" i="18"/>
  <c r="AK16" i="18"/>
  <c r="AK24" i="18"/>
  <c r="AK32" i="18"/>
  <c r="AK40" i="18"/>
  <c r="AK48" i="18"/>
  <c r="AK9" i="18"/>
  <c r="AK17" i="18"/>
  <c r="AK25" i="18"/>
  <c r="AK33" i="18"/>
  <c r="AK41" i="18"/>
  <c r="AK49" i="18"/>
  <c r="AK10" i="18"/>
  <c r="AK18" i="18"/>
  <c r="AK26" i="18"/>
  <c r="AK34" i="18"/>
  <c r="AK42" i="18"/>
  <c r="AK50" i="18"/>
  <c r="AI3" i="18"/>
  <c r="AI11" i="18"/>
  <c r="AI19" i="18"/>
  <c r="AI27" i="18"/>
  <c r="AI35" i="18"/>
  <c r="AI43" i="18"/>
  <c r="AI51" i="18"/>
  <c r="AI4" i="18"/>
  <c r="AI12" i="18"/>
  <c r="AI20" i="18"/>
  <c r="AI28" i="18"/>
  <c r="AI36" i="18"/>
  <c r="AI44" i="18"/>
  <c r="AI52" i="18"/>
  <c r="AI5" i="18"/>
  <c r="AI13" i="18"/>
  <c r="AI21" i="18"/>
  <c r="AI29" i="18"/>
  <c r="AI37" i="18"/>
  <c r="AI45" i="18"/>
  <c r="AI53" i="18"/>
  <c r="AI6" i="18"/>
  <c r="AI14" i="18"/>
  <c r="AI22" i="18"/>
  <c r="AI30" i="18"/>
  <c r="AI38" i="18"/>
  <c r="AI46" i="18"/>
  <c r="AI7" i="18"/>
  <c r="AI15" i="18"/>
  <c r="AI23" i="18"/>
  <c r="AI31" i="18"/>
  <c r="AI39" i="18"/>
  <c r="AI47" i="18"/>
  <c r="AI8" i="18"/>
  <c r="AI16" i="18"/>
  <c r="AI24" i="18"/>
  <c r="AI32" i="18"/>
  <c r="AI40" i="18"/>
  <c r="AI48" i="18"/>
  <c r="AI9" i="18"/>
  <c r="AI17" i="18"/>
  <c r="AI25" i="18"/>
  <c r="AI33" i="18"/>
  <c r="AI41" i="18"/>
  <c r="AI49" i="18"/>
  <c r="AI10" i="18"/>
  <c r="AI18" i="18"/>
  <c r="AI26" i="18"/>
  <c r="AI34" i="18"/>
  <c r="AI42" i="18"/>
  <c r="AI50" i="18"/>
  <c r="AH3" i="18"/>
  <c r="AH11" i="18"/>
  <c r="AH19" i="18"/>
  <c r="AH27" i="18"/>
  <c r="AH35" i="18"/>
  <c r="AH43" i="18"/>
  <c r="AH51" i="18"/>
  <c r="AH4" i="18"/>
  <c r="AH12" i="18"/>
  <c r="AH20" i="18"/>
  <c r="AH28" i="18"/>
  <c r="AH36" i="18"/>
  <c r="AH44" i="18"/>
  <c r="AH52" i="18"/>
  <c r="AH5" i="18"/>
  <c r="AH13" i="18"/>
  <c r="AH21" i="18"/>
  <c r="AH29" i="18"/>
  <c r="AH37" i="18"/>
  <c r="AH45" i="18"/>
  <c r="AH53" i="18"/>
  <c r="AH6" i="18"/>
  <c r="AH14" i="18"/>
  <c r="AH22" i="18"/>
  <c r="AH30" i="18"/>
  <c r="AH38" i="18"/>
  <c r="AH46" i="18"/>
  <c r="AH7" i="18"/>
  <c r="AH15" i="18"/>
  <c r="AH23" i="18"/>
  <c r="AH31" i="18"/>
  <c r="AH39" i="18"/>
  <c r="AH47" i="18"/>
  <c r="AH8" i="18"/>
  <c r="AH16" i="18"/>
  <c r="AH24" i="18"/>
  <c r="AH32" i="18"/>
  <c r="AH40" i="18"/>
  <c r="AH48" i="18"/>
  <c r="AH9" i="18"/>
  <c r="AH17" i="18"/>
  <c r="AH25" i="18"/>
  <c r="AH33" i="18"/>
  <c r="AH41" i="18"/>
  <c r="AH49" i="18"/>
  <c r="AH10" i="18"/>
  <c r="AH18" i="18"/>
  <c r="AH26" i="18"/>
  <c r="AH34" i="18"/>
  <c r="AH42" i="18"/>
  <c r="AH50" i="18"/>
  <c r="AK3" i="17"/>
  <c r="AK11" i="17"/>
  <c r="AK19" i="17"/>
  <c r="AK27" i="17"/>
  <c r="AK35" i="17"/>
  <c r="AK43" i="17"/>
  <c r="AK51" i="17"/>
  <c r="AK4" i="17"/>
  <c r="AK12" i="17"/>
  <c r="AK20" i="17"/>
  <c r="AK28" i="17"/>
  <c r="AK36" i="17"/>
  <c r="AK44" i="17"/>
  <c r="AK52" i="17"/>
  <c r="AK5" i="17"/>
  <c r="AK13" i="17"/>
  <c r="AK21" i="17"/>
  <c r="AK29" i="17"/>
  <c r="AK37" i="17"/>
  <c r="AK45" i="17"/>
  <c r="AK6" i="17"/>
  <c r="AK14" i="17"/>
  <c r="AK22" i="17"/>
  <c r="AK30" i="17"/>
  <c r="AK38" i="17"/>
  <c r="AK46" i="17"/>
  <c r="AK7" i="17"/>
  <c r="AK15" i="17"/>
  <c r="AK23" i="17"/>
  <c r="AK31" i="17"/>
  <c r="AK39" i="17"/>
  <c r="AK47" i="17"/>
  <c r="AK8" i="17"/>
  <c r="AK16" i="17"/>
  <c r="AK24" i="17"/>
  <c r="AK32" i="17"/>
  <c r="AK40" i="17"/>
  <c r="AK48" i="17"/>
  <c r="AK9" i="17"/>
  <c r="AK17" i="17"/>
  <c r="AK25" i="17"/>
  <c r="AK33" i="17"/>
  <c r="AK41" i="17"/>
  <c r="AK49" i="17"/>
  <c r="AK10" i="17"/>
  <c r="AK18" i="17"/>
  <c r="AK26" i="17"/>
  <c r="AK34" i="17"/>
  <c r="AK42" i="17"/>
  <c r="AK50" i="17"/>
  <c r="AI3" i="17"/>
  <c r="AI11" i="17"/>
  <c r="AI19" i="17"/>
  <c r="AI27" i="17"/>
  <c r="AI35" i="17"/>
  <c r="AI43" i="17"/>
  <c r="AI51" i="17"/>
  <c r="AI4" i="17"/>
  <c r="AI12" i="17"/>
  <c r="AI20" i="17"/>
  <c r="AI28" i="17"/>
  <c r="AI36" i="17"/>
  <c r="AI44" i="17"/>
  <c r="AI52" i="17"/>
  <c r="AI5" i="17"/>
  <c r="AI13" i="17"/>
  <c r="AI21" i="17"/>
  <c r="AI29" i="17"/>
  <c r="AI37" i="17"/>
  <c r="AI45" i="17"/>
  <c r="AI6" i="17"/>
  <c r="AI14" i="17"/>
  <c r="AI22" i="17"/>
  <c r="AI30" i="17"/>
  <c r="AI38" i="17"/>
  <c r="AI46" i="17"/>
  <c r="AI7" i="17"/>
  <c r="AI15" i="17"/>
  <c r="AI23" i="17"/>
  <c r="AI31" i="17"/>
  <c r="AI39" i="17"/>
  <c r="AI47" i="17"/>
  <c r="AI8" i="17"/>
  <c r="AI16" i="17"/>
  <c r="AI24" i="17"/>
  <c r="AI32" i="17"/>
  <c r="AI40" i="17"/>
  <c r="AI48" i="17"/>
  <c r="AI9" i="17"/>
  <c r="AI17" i="17"/>
  <c r="AI25" i="17"/>
  <c r="AI33" i="17"/>
  <c r="AI41" i="17"/>
  <c r="AI49" i="17"/>
  <c r="AI10" i="17"/>
  <c r="AI18" i="17"/>
  <c r="AI26" i="17"/>
  <c r="AI34" i="17"/>
  <c r="AI42" i="17"/>
  <c r="AI50" i="17"/>
  <c r="AH3" i="17"/>
  <c r="AH11" i="17"/>
  <c r="AH19" i="17"/>
  <c r="AH27" i="17"/>
  <c r="AH35" i="17"/>
  <c r="AH43" i="17"/>
  <c r="AH51" i="17"/>
  <c r="AH4" i="17"/>
  <c r="AH12" i="17"/>
  <c r="AH20" i="17"/>
  <c r="AH28" i="17"/>
  <c r="AH36" i="17"/>
  <c r="AH44" i="17"/>
  <c r="AH52" i="17"/>
  <c r="AH5" i="17"/>
  <c r="AH13" i="17"/>
  <c r="AH21" i="17"/>
  <c r="AH29" i="17"/>
  <c r="AH37" i="17"/>
  <c r="AH45" i="17"/>
  <c r="AH6" i="17"/>
  <c r="AH14" i="17"/>
  <c r="AH22" i="17"/>
  <c r="AH30" i="17"/>
  <c r="AH38" i="17"/>
  <c r="AH46" i="17"/>
  <c r="AH7" i="17"/>
  <c r="AH15" i="17"/>
  <c r="AH23" i="17"/>
  <c r="AH31" i="17"/>
  <c r="AH39" i="17"/>
  <c r="AH47" i="17"/>
  <c r="AH8" i="17"/>
  <c r="AH16" i="17"/>
  <c r="AH24" i="17"/>
  <c r="AH32" i="17"/>
  <c r="AH40" i="17"/>
  <c r="AH48" i="17"/>
  <c r="AH9" i="17"/>
  <c r="AH17" i="17"/>
  <c r="AH25" i="17"/>
  <c r="AH33" i="17"/>
  <c r="AH41" i="17"/>
  <c r="AH49" i="17"/>
  <c r="AH10" i="17"/>
  <c r="AH18" i="17"/>
  <c r="AH26" i="17"/>
  <c r="AH34" i="17"/>
  <c r="AH42" i="17"/>
  <c r="AH50" i="17"/>
  <c r="AK3" i="16"/>
  <c r="AK11" i="16"/>
  <c r="AK19" i="16"/>
  <c r="AK27" i="16"/>
  <c r="AK35" i="16"/>
  <c r="AK43" i="16"/>
  <c r="AK51" i="16"/>
  <c r="AK59" i="16"/>
  <c r="AK4" i="16"/>
  <c r="AK12" i="16"/>
  <c r="AK20" i="16"/>
  <c r="AK28" i="16"/>
  <c r="AK36" i="16"/>
  <c r="AK44" i="16"/>
  <c r="AK52" i="16"/>
  <c r="AK5" i="16"/>
  <c r="AK13" i="16"/>
  <c r="AK21" i="16"/>
  <c r="AK29" i="16"/>
  <c r="AK37" i="16"/>
  <c r="AK45" i="16"/>
  <c r="AK53" i="16"/>
  <c r="AK6" i="16"/>
  <c r="AK14" i="16"/>
  <c r="AK22" i="16"/>
  <c r="AK30" i="16"/>
  <c r="AK38" i="16"/>
  <c r="AK46" i="16"/>
  <c r="AK54" i="16"/>
  <c r="AK7" i="16"/>
  <c r="AK15" i="16"/>
  <c r="AK23" i="16"/>
  <c r="AK31" i="16"/>
  <c r="AK39" i="16"/>
  <c r="AK47" i="16"/>
  <c r="AK55" i="16"/>
  <c r="AK8" i="16"/>
  <c r="AK16" i="16"/>
  <c r="AK24" i="16"/>
  <c r="AK32" i="16"/>
  <c r="AK40" i="16"/>
  <c r="AK48" i="16"/>
  <c r="AK56" i="16"/>
  <c r="AK9" i="16"/>
  <c r="AK17" i="16"/>
  <c r="AK25" i="16"/>
  <c r="AK33" i="16"/>
  <c r="AK41" i="16"/>
  <c r="AK49" i="16"/>
  <c r="AK57" i="16"/>
  <c r="AK10" i="16"/>
  <c r="AK18" i="16"/>
  <c r="AK26" i="16"/>
  <c r="AK34" i="16"/>
  <c r="AK42" i="16"/>
  <c r="AK50" i="16"/>
  <c r="AK58" i="16"/>
  <c r="AI3" i="16"/>
  <c r="AI11" i="16"/>
  <c r="AI19" i="16"/>
  <c r="AI27" i="16"/>
  <c r="AI35" i="16"/>
  <c r="AI43" i="16"/>
  <c r="AI51" i="16"/>
  <c r="AI59" i="16"/>
  <c r="AI4" i="16"/>
  <c r="AI12" i="16"/>
  <c r="AI20" i="16"/>
  <c r="AI28" i="16"/>
  <c r="AI36" i="16"/>
  <c r="AI44" i="16"/>
  <c r="AI52" i="16"/>
  <c r="AI5" i="16"/>
  <c r="AI13" i="16"/>
  <c r="AI21" i="16"/>
  <c r="AI29" i="16"/>
  <c r="AI37" i="16"/>
  <c r="AI45" i="16"/>
  <c r="AI53" i="16"/>
  <c r="AI6" i="16"/>
  <c r="AI14" i="16"/>
  <c r="AI22" i="16"/>
  <c r="AI30" i="16"/>
  <c r="AI38" i="16"/>
  <c r="AI46" i="16"/>
  <c r="AI54" i="16"/>
  <c r="AI7" i="16"/>
  <c r="AI15" i="16"/>
  <c r="AI23" i="16"/>
  <c r="AI31" i="16"/>
  <c r="AI39" i="16"/>
  <c r="AI47" i="16"/>
  <c r="AI55" i="16"/>
  <c r="AI8" i="16"/>
  <c r="AI16" i="16"/>
  <c r="AI24" i="16"/>
  <c r="AI32" i="16"/>
  <c r="AI40" i="16"/>
  <c r="AI48" i="16"/>
  <c r="AI56" i="16"/>
  <c r="AI9" i="16"/>
  <c r="AI17" i="16"/>
  <c r="AI25" i="16"/>
  <c r="AI33" i="16"/>
  <c r="AI41" i="16"/>
  <c r="AI49" i="16"/>
  <c r="AI57" i="16"/>
  <c r="AI10" i="16"/>
  <c r="AI18" i="16"/>
  <c r="AI26" i="16"/>
  <c r="AI34" i="16"/>
  <c r="AI42" i="16"/>
  <c r="AI50" i="16"/>
  <c r="AI58" i="16"/>
  <c r="AH3" i="16"/>
  <c r="AH11" i="16"/>
  <c r="AH19" i="16"/>
  <c r="AH27" i="16"/>
  <c r="AH35" i="16"/>
  <c r="AH43" i="16"/>
  <c r="AH51" i="16"/>
  <c r="AH59" i="16"/>
  <c r="AH4" i="16"/>
  <c r="AH12" i="16"/>
  <c r="AH20" i="16"/>
  <c r="AH28" i="16"/>
  <c r="AH36" i="16"/>
  <c r="AH44" i="16"/>
  <c r="AH52" i="16"/>
  <c r="AH5" i="16"/>
  <c r="AH13" i="16"/>
  <c r="AH21" i="16"/>
  <c r="AH29" i="16"/>
  <c r="AH37" i="16"/>
  <c r="AH45" i="16"/>
  <c r="AH53" i="16"/>
  <c r="AH6" i="16"/>
  <c r="AH14" i="16"/>
  <c r="AH22" i="16"/>
  <c r="AH30" i="16"/>
  <c r="AH38" i="16"/>
  <c r="AH46" i="16"/>
  <c r="AH54" i="16"/>
  <c r="AH7" i="16"/>
  <c r="AH15" i="16"/>
  <c r="AH23" i="16"/>
  <c r="AH31" i="16"/>
  <c r="AH39" i="16"/>
  <c r="AH47" i="16"/>
  <c r="AH55" i="16"/>
  <c r="AH8" i="16"/>
  <c r="AH16" i="16"/>
  <c r="AH24" i="16"/>
  <c r="AH32" i="16"/>
  <c r="AH40" i="16"/>
  <c r="AH48" i="16"/>
  <c r="AH56" i="16"/>
  <c r="AH9" i="16"/>
  <c r="AH17" i="16"/>
  <c r="AH25" i="16"/>
  <c r="AH33" i="16"/>
  <c r="AH41" i="16"/>
  <c r="AH49" i="16"/>
  <c r="AH57" i="16"/>
  <c r="AH10" i="16"/>
  <c r="AH18" i="16"/>
  <c r="AH26" i="16"/>
  <c r="AH34" i="16"/>
  <c r="AH42" i="16"/>
  <c r="AH50" i="16"/>
  <c r="AH58" i="16"/>
  <c r="AK3" i="15"/>
  <c r="AK11" i="15"/>
  <c r="AK19" i="15"/>
  <c r="AK27" i="15"/>
  <c r="AK35" i="15"/>
  <c r="AK43" i="15"/>
  <c r="AK51" i="15"/>
  <c r="AK59" i="15"/>
  <c r="AK67" i="15"/>
  <c r="AK75" i="15"/>
  <c r="AK83" i="15"/>
  <c r="AK91" i="15"/>
  <c r="AK99" i="15"/>
  <c r="AK4" i="15"/>
  <c r="AK12" i="15"/>
  <c r="AK20" i="15"/>
  <c r="AK28" i="15"/>
  <c r="AK36" i="15"/>
  <c r="AK44" i="15"/>
  <c r="AK52" i="15"/>
  <c r="AK60" i="15"/>
  <c r="AK68" i="15"/>
  <c r="AK76" i="15"/>
  <c r="AK84" i="15"/>
  <c r="AK92" i="15"/>
  <c r="AK100" i="15"/>
  <c r="AK5" i="15"/>
  <c r="AK13" i="15"/>
  <c r="AK21" i="15"/>
  <c r="AK29" i="15"/>
  <c r="AK37" i="15"/>
  <c r="AK45" i="15"/>
  <c r="AK53" i="15"/>
  <c r="AK61" i="15"/>
  <c r="AK69" i="15"/>
  <c r="AK77" i="15"/>
  <c r="AK85" i="15"/>
  <c r="AK93" i="15"/>
  <c r="AK101" i="15"/>
  <c r="AK6" i="15"/>
  <c r="AK14" i="15"/>
  <c r="AK22" i="15"/>
  <c r="AK30" i="15"/>
  <c r="AK38" i="15"/>
  <c r="AK46" i="15"/>
  <c r="AK54" i="15"/>
  <c r="AK62" i="15"/>
  <c r="AK70" i="15"/>
  <c r="AK78" i="15"/>
  <c r="AK86" i="15"/>
  <c r="AK94" i="15"/>
  <c r="AK102" i="15"/>
  <c r="AK7" i="15"/>
  <c r="AK15" i="15"/>
  <c r="AK23" i="15"/>
  <c r="AK31" i="15"/>
  <c r="AK39" i="15"/>
  <c r="AK47" i="15"/>
  <c r="AK55" i="15"/>
  <c r="AK63" i="15"/>
  <c r="AK71" i="15"/>
  <c r="AK79" i="15"/>
  <c r="AK87" i="15"/>
  <c r="AK95" i="15"/>
  <c r="AK103" i="15"/>
  <c r="AK8" i="15"/>
  <c r="AK16" i="15"/>
  <c r="AK24" i="15"/>
  <c r="AK32" i="15"/>
  <c r="AK40" i="15"/>
  <c r="AK48" i="15"/>
  <c r="AK56" i="15"/>
  <c r="AK64" i="15"/>
  <c r="AK72" i="15"/>
  <c r="AK80" i="15"/>
  <c r="AK88" i="15"/>
  <c r="AK96" i="15"/>
  <c r="AK9" i="15"/>
  <c r="AK17" i="15"/>
  <c r="AK25" i="15"/>
  <c r="AK33" i="15"/>
  <c r="AK41" i="15"/>
  <c r="AK49" i="15"/>
  <c r="AK57" i="15"/>
  <c r="AK65" i="15"/>
  <c r="AK10" i="15"/>
  <c r="AK73" i="15"/>
  <c r="AK74" i="15"/>
  <c r="AK26" i="15"/>
  <c r="AK81" i="15"/>
  <c r="AK34" i="15"/>
  <c r="AK82" i="15"/>
  <c r="AK42" i="15"/>
  <c r="AK90" i="15"/>
  <c r="AK97" i="15"/>
  <c r="AK66" i="15"/>
  <c r="AK18" i="15"/>
  <c r="AK89" i="15"/>
  <c r="AK50" i="15"/>
  <c r="AK58" i="15"/>
  <c r="AK98" i="15"/>
  <c r="AI3" i="15"/>
  <c r="AI11" i="15"/>
  <c r="AI19" i="15"/>
  <c r="AI27" i="15"/>
  <c r="AI35" i="15"/>
  <c r="AI43" i="15"/>
  <c r="AI51" i="15"/>
  <c r="AI59" i="15"/>
  <c r="AI67" i="15"/>
  <c r="AI75" i="15"/>
  <c r="AI83" i="15"/>
  <c r="AI91" i="15"/>
  <c r="AI99" i="15"/>
  <c r="AI4" i="15"/>
  <c r="AI12" i="15"/>
  <c r="AI20" i="15"/>
  <c r="AI28" i="15"/>
  <c r="AI36" i="15"/>
  <c r="AI44" i="15"/>
  <c r="AI52" i="15"/>
  <c r="AI60" i="15"/>
  <c r="AI68" i="15"/>
  <c r="AI76" i="15"/>
  <c r="AI84" i="15"/>
  <c r="AI92" i="15"/>
  <c r="AI100" i="15"/>
  <c r="AI5" i="15"/>
  <c r="AI13" i="15"/>
  <c r="AI21" i="15"/>
  <c r="AI29" i="15"/>
  <c r="AI37" i="15"/>
  <c r="AI45" i="15"/>
  <c r="AI53" i="15"/>
  <c r="AI61" i="15"/>
  <c r="AI69" i="15"/>
  <c r="AI77" i="15"/>
  <c r="AI85" i="15"/>
  <c r="AI93" i="15"/>
  <c r="AI101" i="15"/>
  <c r="AI6" i="15"/>
  <c r="AI14" i="15"/>
  <c r="AI22" i="15"/>
  <c r="AI30" i="15"/>
  <c r="AI38" i="15"/>
  <c r="AI46" i="15"/>
  <c r="AI54" i="15"/>
  <c r="AI62" i="15"/>
  <c r="AI70" i="15"/>
  <c r="AI78" i="15"/>
  <c r="AI86" i="15"/>
  <c r="AI94" i="15"/>
  <c r="AI102" i="15"/>
  <c r="AI7" i="15"/>
  <c r="AI15" i="15"/>
  <c r="AI23" i="15"/>
  <c r="AI31" i="15"/>
  <c r="AI39" i="15"/>
  <c r="AI47" i="15"/>
  <c r="AI55" i="15"/>
  <c r="AI63" i="15"/>
  <c r="AI71" i="15"/>
  <c r="AI79" i="15"/>
  <c r="AI87" i="15"/>
  <c r="AI95" i="15"/>
  <c r="AI103" i="15"/>
  <c r="AI8" i="15"/>
  <c r="AI16" i="15"/>
  <c r="AI24" i="15"/>
  <c r="AI32" i="15"/>
  <c r="AI40" i="15"/>
  <c r="AI48" i="15"/>
  <c r="AI56" i="15"/>
  <c r="AI64" i="15"/>
  <c r="AI72" i="15"/>
  <c r="AI80" i="15"/>
  <c r="AI88" i="15"/>
  <c r="AI96" i="15"/>
  <c r="AI9" i="15"/>
  <c r="AI17" i="15"/>
  <c r="AI25" i="15"/>
  <c r="AI33" i="15"/>
  <c r="AI41" i="15"/>
  <c r="AI49" i="15"/>
  <c r="AI57" i="15"/>
  <c r="AI65" i="15"/>
  <c r="AI10" i="15"/>
  <c r="AI73" i="15"/>
  <c r="AI18" i="15"/>
  <c r="AI74" i="15"/>
  <c r="AI26" i="15"/>
  <c r="AI81" i="15"/>
  <c r="AI34" i="15"/>
  <c r="AI82" i="15"/>
  <c r="AI42" i="15"/>
  <c r="AI89" i="15"/>
  <c r="AI50" i="15"/>
  <c r="AI90" i="15"/>
  <c r="AI58" i="15"/>
  <c r="AI97" i="15"/>
  <c r="AI66" i="15"/>
  <c r="AI98" i="15"/>
  <c r="AH3" i="15"/>
  <c r="AH11" i="15"/>
  <c r="AH19" i="15"/>
  <c r="AH27" i="15"/>
  <c r="AH35" i="15"/>
  <c r="AH43" i="15"/>
  <c r="AH51" i="15"/>
  <c r="AH59" i="15"/>
  <c r="AH67" i="15"/>
  <c r="AH75" i="15"/>
  <c r="AH83" i="15"/>
  <c r="AH91" i="15"/>
  <c r="AH99" i="15"/>
  <c r="AH4" i="15"/>
  <c r="AH12" i="15"/>
  <c r="AH20" i="15"/>
  <c r="AH28" i="15"/>
  <c r="AH36" i="15"/>
  <c r="AH44" i="15"/>
  <c r="AH52" i="15"/>
  <c r="AH60" i="15"/>
  <c r="AH68" i="15"/>
  <c r="AH76" i="15"/>
  <c r="AH84" i="15"/>
  <c r="AH92" i="15"/>
  <c r="AH100" i="15"/>
  <c r="AH5" i="15"/>
  <c r="AH13" i="15"/>
  <c r="AH21" i="15"/>
  <c r="AH29" i="15"/>
  <c r="AH37" i="15"/>
  <c r="AH45" i="15"/>
  <c r="AH53" i="15"/>
  <c r="AH61" i="15"/>
  <c r="AH69" i="15"/>
  <c r="AH77" i="15"/>
  <c r="AH85" i="15"/>
  <c r="AH93" i="15"/>
  <c r="AH101" i="15"/>
  <c r="AH6" i="15"/>
  <c r="AH14" i="15"/>
  <c r="AH22" i="15"/>
  <c r="AH30" i="15"/>
  <c r="AH38" i="15"/>
  <c r="AH46" i="15"/>
  <c r="AH54" i="15"/>
  <c r="AH62" i="15"/>
  <c r="AH70" i="15"/>
  <c r="AH78" i="15"/>
  <c r="AH86" i="15"/>
  <c r="AH94" i="15"/>
  <c r="AH102" i="15"/>
  <c r="AH7" i="15"/>
  <c r="AH15" i="15"/>
  <c r="AH23" i="15"/>
  <c r="AH31" i="15"/>
  <c r="AH39" i="15"/>
  <c r="AH47" i="15"/>
  <c r="AH55" i="15"/>
  <c r="AH63" i="15"/>
  <c r="AH71" i="15"/>
  <c r="AH79" i="15"/>
  <c r="AH87" i="15"/>
  <c r="AH95" i="15"/>
  <c r="AH103" i="15"/>
  <c r="AH8" i="15"/>
  <c r="AH16" i="15"/>
  <c r="AH24" i="15"/>
  <c r="AH32" i="15"/>
  <c r="AH40" i="15"/>
  <c r="AH48" i="15"/>
  <c r="AH56" i="15"/>
  <c r="AH64" i="15"/>
  <c r="AH72" i="15"/>
  <c r="AH80" i="15"/>
  <c r="AH88" i="15"/>
  <c r="AH96" i="15"/>
  <c r="AH9" i="15"/>
  <c r="AH17" i="15"/>
  <c r="AH25" i="15"/>
  <c r="AH33" i="15"/>
  <c r="AH41" i="15"/>
  <c r="AH49" i="15"/>
  <c r="AH57" i="15"/>
  <c r="AH65" i="15"/>
  <c r="AH10" i="15"/>
  <c r="AH73" i="15"/>
  <c r="AH18" i="15"/>
  <c r="AH74" i="15"/>
  <c r="AH26" i="15"/>
  <c r="AH81" i="15"/>
  <c r="AH34" i="15"/>
  <c r="AH82" i="15"/>
  <c r="AH42" i="15"/>
  <c r="AH89" i="15"/>
  <c r="AH50" i="15"/>
  <c r="AH90" i="15"/>
  <c r="AH58" i="15"/>
  <c r="AH97" i="15"/>
  <c r="AH66" i="15"/>
  <c r="AH98" i="15"/>
  <c r="H1" i="15" l="1"/>
  <c r="G41" i="19" l="1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40" i="19"/>
  <c r="K35" i="18"/>
  <c r="J47" i="18"/>
  <c r="K23" i="18"/>
  <c r="K33" i="18"/>
  <c r="K34" i="18"/>
  <c r="K55" i="18"/>
  <c r="K48" i="18"/>
  <c r="J57" i="18"/>
  <c r="K38" i="18"/>
  <c r="J34" i="18"/>
  <c r="J24" i="18"/>
  <c r="K53" i="18"/>
  <c r="J41" i="18"/>
  <c r="J44" i="18"/>
  <c r="J29" i="18"/>
  <c r="K44" i="18"/>
  <c r="J20" i="18"/>
  <c r="J26" i="18"/>
  <c r="J43" i="18"/>
  <c r="J38" i="18"/>
  <c r="J28" i="18"/>
  <c r="J53" i="18"/>
  <c r="J27" i="18"/>
  <c r="K56" i="18"/>
  <c r="K20" i="18"/>
  <c r="K51" i="18"/>
  <c r="J40" i="18"/>
  <c r="J35" i="18"/>
  <c r="K47" i="18"/>
  <c r="K32" i="18"/>
  <c r="K22" i="18"/>
  <c r="K46" i="18"/>
  <c r="J39" i="18"/>
  <c r="J25" i="18"/>
  <c r="J33" i="18"/>
  <c r="J50" i="18"/>
  <c r="K52" i="18"/>
  <c r="K37" i="18"/>
  <c r="K57" i="18"/>
  <c r="K39" i="18"/>
  <c r="J51" i="18"/>
  <c r="K26" i="18"/>
  <c r="J49" i="18"/>
  <c r="K42" i="18"/>
  <c r="J55" i="18"/>
  <c r="J42" i="18"/>
  <c r="K40" i="18"/>
  <c r="K36" i="18"/>
  <c r="J46" i="18"/>
  <c r="K45" i="18"/>
  <c r="K28" i="18"/>
  <c r="J23" i="18"/>
  <c r="K29" i="18"/>
  <c r="J22" i="18"/>
  <c r="J52" i="18"/>
  <c r="K21" i="18"/>
  <c r="J45" i="18"/>
  <c r="K27" i="18"/>
  <c r="J32" i="18"/>
  <c r="K41" i="18"/>
  <c r="J48" i="18"/>
  <c r="K49" i="18"/>
  <c r="K50" i="18"/>
  <c r="J30" i="18"/>
  <c r="J21" i="18"/>
  <c r="J37" i="18"/>
  <c r="J31" i="18"/>
  <c r="J54" i="18"/>
  <c r="K25" i="18"/>
  <c r="K30" i="18"/>
  <c r="K43" i="18"/>
  <c r="J36" i="18"/>
  <c r="J56" i="18"/>
  <c r="K24" i="18"/>
  <c r="K54" i="18"/>
  <c r="K31" i="18"/>
  <c r="AB3" i="14" a="1"/>
  <c r="AE3" i="14" a="1"/>
  <c r="AC3" i="14" a="1"/>
  <c r="AE3" i="14" l="1"/>
  <c r="AE11" i="14"/>
  <c r="AE19" i="14"/>
  <c r="AE27" i="14"/>
  <c r="AE35" i="14"/>
  <c r="AE43" i="14"/>
  <c r="AE51" i="14"/>
  <c r="AE59" i="14"/>
  <c r="AE67" i="14"/>
  <c r="AE75" i="14"/>
  <c r="AE4" i="14"/>
  <c r="AE12" i="14"/>
  <c r="AE20" i="14"/>
  <c r="AE28" i="14"/>
  <c r="AE36" i="14"/>
  <c r="AE44" i="14"/>
  <c r="AE52" i="14"/>
  <c r="AE60" i="14"/>
  <c r="AE68" i="14"/>
  <c r="AE76" i="14"/>
  <c r="AE5" i="14"/>
  <c r="AE13" i="14"/>
  <c r="AE21" i="14"/>
  <c r="AE29" i="14"/>
  <c r="AE37" i="14"/>
  <c r="AE45" i="14"/>
  <c r="AE53" i="14"/>
  <c r="AE61" i="14"/>
  <c r="AE69" i="14"/>
  <c r="AE77" i="14"/>
  <c r="AE6" i="14"/>
  <c r="AE14" i="14"/>
  <c r="AE22" i="14"/>
  <c r="AE30" i="14"/>
  <c r="AE38" i="14"/>
  <c r="AE46" i="14"/>
  <c r="AE54" i="14"/>
  <c r="AE62" i="14"/>
  <c r="AE70" i="14"/>
  <c r="AE7" i="14"/>
  <c r="AE15" i="14"/>
  <c r="AE23" i="14"/>
  <c r="AE31" i="14"/>
  <c r="AE39" i="14"/>
  <c r="AE47" i="14"/>
  <c r="AE55" i="14"/>
  <c r="AE63" i="14"/>
  <c r="AE71" i="14"/>
  <c r="AE8" i="14"/>
  <c r="AE16" i="14"/>
  <c r="AE24" i="14"/>
  <c r="AE32" i="14"/>
  <c r="AE40" i="14"/>
  <c r="AE48" i="14"/>
  <c r="AE56" i="14"/>
  <c r="AE64" i="14"/>
  <c r="AE72" i="14"/>
  <c r="AE9" i="14"/>
  <c r="AE17" i="14"/>
  <c r="AE25" i="14"/>
  <c r="AE33" i="14"/>
  <c r="AE41" i="14"/>
  <c r="AE49" i="14"/>
  <c r="AE57" i="14"/>
  <c r="AE65" i="14"/>
  <c r="AE73" i="14"/>
  <c r="AE10" i="14"/>
  <c r="AE18" i="14"/>
  <c r="AE26" i="14"/>
  <c r="AE34" i="14"/>
  <c r="AE42" i="14"/>
  <c r="AE50" i="14"/>
  <c r="AE58" i="14"/>
  <c r="AE66" i="14"/>
  <c r="AE74" i="14"/>
  <c r="AC3" i="14"/>
  <c r="AC11" i="14"/>
  <c r="AC19" i="14"/>
  <c r="AC27" i="14"/>
  <c r="AC35" i="14"/>
  <c r="AC43" i="14"/>
  <c r="AC51" i="14"/>
  <c r="AC59" i="14"/>
  <c r="AC67" i="14"/>
  <c r="AC75" i="14"/>
  <c r="AC4" i="14"/>
  <c r="AC12" i="14"/>
  <c r="AC20" i="14"/>
  <c r="AC28" i="14"/>
  <c r="AC36" i="14"/>
  <c r="AC44" i="14"/>
  <c r="AC52" i="14"/>
  <c r="AC60" i="14"/>
  <c r="AC68" i="14"/>
  <c r="AC76" i="14"/>
  <c r="AC5" i="14"/>
  <c r="AC13" i="14"/>
  <c r="AC21" i="14"/>
  <c r="AC29" i="14"/>
  <c r="AC37" i="14"/>
  <c r="AC45" i="14"/>
  <c r="AC53" i="14"/>
  <c r="AC61" i="14"/>
  <c r="AC69" i="14"/>
  <c r="AC77" i="14"/>
  <c r="AC6" i="14"/>
  <c r="AC14" i="14"/>
  <c r="AC22" i="14"/>
  <c r="AC30" i="14"/>
  <c r="AC38" i="14"/>
  <c r="AC46" i="14"/>
  <c r="AC54" i="14"/>
  <c r="AC62" i="14"/>
  <c r="AC70" i="14"/>
  <c r="AC7" i="14"/>
  <c r="AC15" i="14"/>
  <c r="AC23" i="14"/>
  <c r="AC31" i="14"/>
  <c r="AC39" i="14"/>
  <c r="AC47" i="14"/>
  <c r="AC55" i="14"/>
  <c r="AC63" i="14"/>
  <c r="AC71" i="14"/>
  <c r="AC8" i="14"/>
  <c r="AC16" i="14"/>
  <c r="AC24" i="14"/>
  <c r="AC32" i="14"/>
  <c r="AC40" i="14"/>
  <c r="AC48" i="14"/>
  <c r="AC56" i="14"/>
  <c r="AC64" i="14"/>
  <c r="AC72" i="14"/>
  <c r="AC9" i="14"/>
  <c r="AC17" i="14"/>
  <c r="AC25" i="14"/>
  <c r="AC33" i="14"/>
  <c r="AC41" i="14"/>
  <c r="AC49" i="14"/>
  <c r="AC57" i="14"/>
  <c r="AC65" i="14"/>
  <c r="AC73" i="14"/>
  <c r="AC10" i="14"/>
  <c r="AC18" i="14"/>
  <c r="AC26" i="14"/>
  <c r="AC34" i="14"/>
  <c r="AC42" i="14"/>
  <c r="AC50" i="14"/>
  <c r="AC58" i="14"/>
  <c r="AC66" i="14"/>
  <c r="AC74" i="14"/>
  <c r="AB3" i="14"/>
  <c r="AB11" i="14"/>
  <c r="AB19" i="14"/>
  <c r="AB27" i="14"/>
  <c r="AB35" i="14"/>
  <c r="AB43" i="14"/>
  <c r="AB51" i="14"/>
  <c r="AB59" i="14"/>
  <c r="AB67" i="14"/>
  <c r="AB75" i="14"/>
  <c r="AB4" i="14"/>
  <c r="AB12" i="14"/>
  <c r="AB20" i="14"/>
  <c r="AB28" i="14"/>
  <c r="AB36" i="14"/>
  <c r="AB44" i="14"/>
  <c r="AB52" i="14"/>
  <c r="AB60" i="14"/>
  <c r="AB68" i="14"/>
  <c r="AB76" i="14"/>
  <c r="AB5" i="14"/>
  <c r="AB13" i="14"/>
  <c r="AB21" i="14"/>
  <c r="AB29" i="14"/>
  <c r="AB37" i="14"/>
  <c r="AB45" i="14"/>
  <c r="AB53" i="14"/>
  <c r="AB61" i="14"/>
  <c r="AB69" i="14"/>
  <c r="AB77" i="14"/>
  <c r="AB6" i="14"/>
  <c r="AB14" i="14"/>
  <c r="AB22" i="14"/>
  <c r="AB30" i="14"/>
  <c r="AB38" i="14"/>
  <c r="AB46" i="14"/>
  <c r="AB54" i="14"/>
  <c r="AB62" i="14"/>
  <c r="AB70" i="14"/>
  <c r="AB7" i="14"/>
  <c r="AB15" i="14"/>
  <c r="AB23" i="14"/>
  <c r="AB31" i="14"/>
  <c r="AB39" i="14"/>
  <c r="AB47" i="14"/>
  <c r="AB55" i="14"/>
  <c r="AB63" i="14"/>
  <c r="AB71" i="14"/>
  <c r="AB8" i="14"/>
  <c r="AB16" i="14"/>
  <c r="AB24" i="14"/>
  <c r="AB32" i="14"/>
  <c r="AB40" i="14"/>
  <c r="AB48" i="14"/>
  <c r="AB56" i="14"/>
  <c r="AB64" i="14"/>
  <c r="AB72" i="14"/>
  <c r="AB9" i="14"/>
  <c r="AB17" i="14"/>
  <c r="AB25" i="14"/>
  <c r="AB33" i="14"/>
  <c r="AB41" i="14"/>
  <c r="AB49" i="14"/>
  <c r="AB57" i="14"/>
  <c r="AB65" i="14"/>
  <c r="AB73" i="14"/>
  <c r="AB10" i="14"/>
  <c r="AB18" i="14"/>
  <c r="AB26" i="14"/>
  <c r="AB34" i="14"/>
  <c r="AB42" i="14"/>
  <c r="AB50" i="14"/>
  <c r="AB58" i="14"/>
  <c r="AB66" i="14"/>
  <c r="AB74" i="14"/>
  <c r="H16" i="17" l="1"/>
  <c r="H15" i="17"/>
  <c r="H14" i="17"/>
  <c r="H13" i="17"/>
  <c r="H12" i="17"/>
  <c r="H11" i="17"/>
  <c r="H10" i="17"/>
  <c r="H9" i="17"/>
  <c r="H8" i="17"/>
  <c r="H7" i="17"/>
  <c r="H6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19" i="17"/>
  <c r="J37" i="17"/>
  <c r="K21" i="17"/>
  <c r="J51" i="17"/>
  <c r="J36" i="17"/>
  <c r="K32" i="17"/>
  <c r="K49" i="17"/>
  <c r="J8" i="17"/>
  <c r="J41" i="17"/>
  <c r="K8" i="17"/>
  <c r="K23" i="17"/>
  <c r="K37" i="17"/>
  <c r="K22" i="17"/>
  <c r="K30" i="17"/>
  <c r="J11" i="17"/>
  <c r="J27" i="17"/>
  <c r="K31" i="17"/>
  <c r="J44" i="17"/>
  <c r="K54" i="17"/>
  <c r="K45" i="17"/>
  <c r="J39" i="17"/>
  <c r="K15" i="17"/>
  <c r="J21" i="17"/>
  <c r="J40" i="17"/>
  <c r="J52" i="17"/>
  <c r="K20" i="17"/>
  <c r="K38" i="17"/>
  <c r="K24" i="17"/>
  <c r="J49" i="17"/>
  <c r="J50" i="17"/>
  <c r="J28" i="17"/>
  <c r="J45" i="17"/>
  <c r="K9" i="17"/>
  <c r="J6" i="17"/>
  <c r="J12" i="17"/>
  <c r="J26" i="17"/>
  <c r="K44" i="17"/>
  <c r="J30" i="17"/>
  <c r="K56" i="17"/>
  <c r="J53" i="17"/>
  <c r="K42" i="17"/>
  <c r="J9" i="17"/>
  <c r="J43" i="17"/>
  <c r="K29" i="17"/>
  <c r="J15" i="17"/>
  <c r="J35" i="17"/>
  <c r="K16" i="17"/>
  <c r="J46" i="17"/>
  <c r="K7" i="17"/>
  <c r="J24" i="17"/>
  <c r="K52" i="17"/>
  <c r="J47" i="17"/>
  <c r="J48" i="17"/>
  <c r="J16" i="17"/>
  <c r="K13" i="17"/>
  <c r="J55" i="17"/>
  <c r="K40" i="17"/>
  <c r="J29" i="17"/>
  <c r="J25" i="17"/>
  <c r="J14" i="17"/>
  <c r="K14" i="17"/>
  <c r="K35" i="17"/>
  <c r="J7" i="17"/>
  <c r="K19" i="17"/>
  <c r="K55" i="17"/>
  <c r="K6" i="17"/>
  <c r="K36" i="17"/>
  <c r="J38" i="17"/>
  <c r="K46" i="17"/>
  <c r="J31" i="17"/>
  <c r="J20" i="17"/>
  <c r="J42" i="17"/>
  <c r="J34" i="17"/>
  <c r="J33" i="17"/>
  <c r="K51" i="17"/>
  <c r="K41" i="17"/>
  <c r="K28" i="17"/>
  <c r="K10" i="17"/>
  <c r="K34" i="17"/>
  <c r="K11" i="17"/>
  <c r="J10" i="17"/>
  <c r="K43" i="17"/>
  <c r="K27" i="17"/>
  <c r="J22" i="17"/>
  <c r="K50" i="17"/>
  <c r="K26" i="17"/>
  <c r="J23" i="17"/>
  <c r="J54" i="17"/>
  <c r="K39" i="17"/>
  <c r="K33" i="17"/>
  <c r="K12" i="17"/>
  <c r="J19" i="17"/>
  <c r="J32" i="17"/>
  <c r="J13" i="17"/>
  <c r="K53" i="17"/>
  <c r="K47" i="17"/>
  <c r="K25" i="17"/>
  <c r="K48" i="17"/>
  <c r="J56" i="17"/>
  <c r="AI5" i="19" l="1"/>
  <c r="AO5" i="15"/>
  <c r="L37" i="19" l="1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M48" i="18"/>
  <c r="M49" i="18"/>
  <c r="M50" i="18"/>
  <c r="M51" i="18"/>
  <c r="M52" i="18"/>
  <c r="M53" i="18"/>
  <c r="M5" i="18"/>
  <c r="M6" i="18"/>
  <c r="M7" i="18"/>
  <c r="M8" i="18"/>
  <c r="M9" i="18"/>
  <c r="M10" i="18"/>
  <c r="M11" i="18"/>
  <c r="M12" i="18"/>
  <c r="M13" i="18"/>
  <c r="M14" i="18"/>
  <c r="M15" i="18"/>
  <c r="G21" i="18"/>
  <c r="C16" i="18"/>
  <c r="H16" i="18" s="1"/>
  <c r="G16" i="18"/>
  <c r="J16" i="18"/>
  <c r="N14" i="18" l="1"/>
  <c r="K16" i="18"/>
  <c r="O14" i="18" s="1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M49" i="17"/>
  <c r="M50" i="17"/>
  <c r="M51" i="17"/>
  <c r="M52" i="17"/>
  <c r="G20" i="17"/>
  <c r="Q14" i="18"/>
  <c r="U14" i="18"/>
  <c r="V14" i="18"/>
  <c r="P14" i="18"/>
  <c r="M23" i="16" l="1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G27" i="16" l="1"/>
  <c r="H27" i="16"/>
  <c r="C7" i="16"/>
  <c r="G7" i="16"/>
  <c r="H7" i="16"/>
  <c r="C8" i="16"/>
  <c r="G8" i="16"/>
  <c r="H8" i="16"/>
  <c r="C9" i="16"/>
  <c r="H9" i="16" s="1"/>
  <c r="G9" i="16"/>
  <c r="C10" i="16"/>
  <c r="H10" i="16" s="1"/>
  <c r="G10" i="16"/>
  <c r="C11" i="16"/>
  <c r="G11" i="16"/>
  <c r="H11" i="16"/>
  <c r="C12" i="16"/>
  <c r="H12" i="16" s="1"/>
  <c r="G12" i="16"/>
  <c r="C13" i="16"/>
  <c r="H13" i="16" s="1"/>
  <c r="G13" i="16"/>
  <c r="C14" i="16"/>
  <c r="G14" i="16"/>
  <c r="H14" i="16"/>
  <c r="C15" i="16"/>
  <c r="H15" i="16" s="1"/>
  <c r="G15" i="16"/>
  <c r="C16" i="16"/>
  <c r="G16" i="16"/>
  <c r="H16" i="16"/>
  <c r="C17" i="16"/>
  <c r="G17" i="16"/>
  <c r="H17" i="16"/>
  <c r="C18" i="16"/>
  <c r="H18" i="16" s="1"/>
  <c r="G18" i="16"/>
  <c r="C19" i="16"/>
  <c r="G19" i="16"/>
  <c r="H19" i="16"/>
  <c r="C20" i="16"/>
  <c r="G20" i="16"/>
  <c r="H20" i="16"/>
  <c r="C21" i="16"/>
  <c r="H21" i="16" s="1"/>
  <c r="G21" i="16"/>
  <c r="C22" i="16"/>
  <c r="G22" i="16"/>
  <c r="H22" i="16"/>
  <c r="C23" i="16"/>
  <c r="G23" i="16"/>
  <c r="H23" i="16"/>
  <c r="J18" i="16"/>
  <c r="K27" i="16"/>
  <c r="J7" i="16"/>
  <c r="J16" i="16"/>
  <c r="J13" i="16"/>
  <c r="J14" i="16"/>
  <c r="J11" i="16"/>
  <c r="J17" i="16"/>
  <c r="J12" i="16"/>
  <c r="J10" i="16"/>
  <c r="J21" i="16"/>
  <c r="J9" i="16"/>
  <c r="J8" i="16"/>
  <c r="J19" i="16"/>
  <c r="J27" i="16"/>
  <c r="J20" i="16"/>
  <c r="J15" i="16"/>
  <c r="J22" i="16"/>
  <c r="J23" i="16"/>
  <c r="N20" i="16" l="1"/>
  <c r="N17" i="16"/>
  <c r="N9" i="16"/>
  <c r="N15" i="16"/>
  <c r="N18" i="16"/>
  <c r="N21" i="16"/>
  <c r="N19" i="16"/>
  <c r="N11" i="16"/>
  <c r="N12" i="16"/>
  <c r="N7" i="16"/>
  <c r="N10" i="16"/>
  <c r="N13" i="16"/>
  <c r="N5" i="16"/>
  <c r="N16" i="16"/>
  <c r="N8" i="16"/>
  <c r="N14" i="16"/>
  <c r="N6" i="16"/>
  <c r="K22" i="16"/>
  <c r="O20" i="16" s="1"/>
  <c r="K19" i="16"/>
  <c r="O17" i="16" s="1"/>
  <c r="K11" i="16"/>
  <c r="O9" i="16" s="1"/>
  <c r="K17" i="16"/>
  <c r="O15" i="16" s="1"/>
  <c r="K20" i="16"/>
  <c r="O18" i="16" s="1"/>
  <c r="K23" i="16"/>
  <c r="O21" i="16" s="1"/>
  <c r="K21" i="16"/>
  <c r="O19" i="16" s="1"/>
  <c r="K13" i="16"/>
  <c r="O11" i="16" s="1"/>
  <c r="K14" i="16"/>
  <c r="O12" i="16" s="1"/>
  <c r="K9" i="16"/>
  <c r="O7" i="16" s="1"/>
  <c r="K12" i="16"/>
  <c r="O10" i="16" s="1"/>
  <c r="K15" i="16"/>
  <c r="O13" i="16" s="1"/>
  <c r="K7" i="16"/>
  <c r="O5" i="16" s="1"/>
  <c r="K18" i="16"/>
  <c r="O16" i="16" s="1"/>
  <c r="K10" i="16"/>
  <c r="O8" i="16" s="1"/>
  <c r="K16" i="16"/>
  <c r="O14" i="16" s="1"/>
  <c r="K8" i="16"/>
  <c r="O6" i="16" s="1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P10" i="16"/>
  <c r="P11" i="16"/>
  <c r="P20" i="16"/>
  <c r="U14" i="16"/>
  <c r="Q10" i="16"/>
  <c r="V20" i="16"/>
  <c r="Q21" i="16"/>
  <c r="U11" i="16"/>
  <c r="U12" i="16"/>
  <c r="V5" i="16"/>
  <c r="U17" i="16"/>
  <c r="U18" i="16"/>
  <c r="U21" i="16"/>
  <c r="V15" i="16"/>
  <c r="P6" i="16"/>
  <c r="P16" i="16"/>
  <c r="P18" i="16"/>
  <c r="U10" i="16"/>
  <c r="V21" i="16"/>
  <c r="P12" i="16"/>
  <c r="P21" i="16"/>
  <c r="P8" i="16"/>
  <c r="V16" i="16"/>
  <c r="Q16" i="16"/>
  <c r="V12" i="16"/>
  <c r="U6" i="16"/>
  <c r="Q20" i="16"/>
  <c r="Q5" i="16"/>
  <c r="V18" i="16"/>
  <c r="U20" i="16"/>
  <c r="Q6" i="16"/>
  <c r="V10" i="16"/>
  <c r="Q13" i="16"/>
  <c r="V14" i="16"/>
  <c r="U15" i="16"/>
  <c r="Q8" i="16"/>
  <c r="U7" i="16"/>
  <c r="P13" i="16"/>
  <c r="V17" i="16"/>
  <c r="P15" i="16"/>
  <c r="U13" i="16"/>
  <c r="U16" i="16"/>
  <c r="P14" i="16"/>
  <c r="P19" i="16"/>
  <c r="P17" i="16"/>
  <c r="Q12" i="16"/>
  <c r="U9" i="16"/>
  <c r="V13" i="16"/>
  <c r="Q7" i="16"/>
  <c r="V6" i="16"/>
  <c r="V19" i="16"/>
  <c r="Q18" i="16"/>
  <c r="Q14" i="16"/>
  <c r="V7" i="16"/>
  <c r="V11" i="16"/>
  <c r="U5" i="16"/>
  <c r="Q11" i="16"/>
  <c r="V9" i="16"/>
  <c r="P5" i="16"/>
  <c r="Q19" i="16"/>
  <c r="P9" i="16"/>
  <c r="Q15" i="16"/>
  <c r="U8" i="16"/>
  <c r="Q17" i="16"/>
  <c r="U19" i="16"/>
  <c r="Q9" i="16"/>
  <c r="V8" i="16"/>
  <c r="P7" i="16"/>
  <c r="J53" i="14" l="1"/>
  <c r="J54" i="14"/>
  <c r="J47" i="14"/>
  <c r="J56" i="14"/>
  <c r="J49" i="14"/>
  <c r="J58" i="14"/>
  <c r="J51" i="14"/>
  <c r="J59" i="14"/>
  <c r="J45" i="14"/>
  <c r="J46" i="14"/>
  <c r="J55" i="14"/>
  <c r="J48" i="14"/>
  <c r="J57" i="14"/>
  <c r="J50" i="14"/>
  <c r="J52" i="14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G33" i="19"/>
  <c r="G34" i="19"/>
  <c r="G35" i="19"/>
  <c r="G36" i="19"/>
  <c r="G37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P57" i="14"/>
  <c r="P47" i="14"/>
  <c r="K53" i="14"/>
  <c r="P49" i="14"/>
  <c r="Q59" i="14"/>
  <c r="K56" i="14"/>
  <c r="P54" i="14"/>
  <c r="P53" i="14"/>
  <c r="L55" i="14"/>
  <c r="Q51" i="14"/>
  <c r="P58" i="14"/>
  <c r="Q53" i="14"/>
  <c r="P45" i="14"/>
  <c r="L53" i="14"/>
  <c r="P46" i="14"/>
  <c r="P59" i="14"/>
  <c r="Q52" i="14"/>
  <c r="L58" i="14"/>
  <c r="L47" i="14"/>
  <c r="L51" i="14"/>
  <c r="K59" i="14"/>
  <c r="K54" i="14"/>
  <c r="L56" i="14"/>
  <c r="L50" i="14"/>
  <c r="K50" i="14"/>
  <c r="Q54" i="14"/>
  <c r="K57" i="14"/>
  <c r="L48" i="14"/>
  <c r="K48" i="14"/>
  <c r="L46" i="14"/>
  <c r="L52" i="14"/>
  <c r="L54" i="14"/>
  <c r="Q57" i="14"/>
  <c r="Q48" i="14"/>
  <c r="Q50" i="14"/>
  <c r="P48" i="14"/>
  <c r="Q49" i="14"/>
  <c r="K51" i="14"/>
  <c r="K52" i="14"/>
  <c r="Q45" i="14"/>
  <c r="P51" i="14"/>
  <c r="K46" i="14"/>
  <c r="P55" i="14"/>
  <c r="K49" i="14"/>
  <c r="L45" i="14"/>
  <c r="K45" i="14"/>
  <c r="K58" i="14"/>
  <c r="L57" i="14"/>
  <c r="Q56" i="14"/>
  <c r="L59" i="14"/>
  <c r="L49" i="14"/>
  <c r="Q58" i="14"/>
  <c r="K55" i="14"/>
  <c r="Q46" i="14"/>
  <c r="Q55" i="14"/>
  <c r="P50" i="14"/>
  <c r="P56" i="14"/>
  <c r="P52" i="14"/>
  <c r="K47" i="14"/>
  <c r="Q47" i="14"/>
  <c r="M17" i="15" l="1"/>
  <c r="M18" i="15"/>
  <c r="M19" i="15"/>
  <c r="M20" i="15"/>
  <c r="M21" i="15"/>
  <c r="M22" i="15"/>
  <c r="M23" i="15"/>
  <c r="M24" i="15"/>
  <c r="M25" i="15"/>
  <c r="M26" i="15"/>
  <c r="M27" i="15"/>
  <c r="M15" i="15"/>
  <c r="M16" i="15"/>
  <c r="G26" i="15"/>
  <c r="G27" i="15"/>
  <c r="G28" i="15"/>
  <c r="G29" i="15"/>
  <c r="G17" i="15"/>
  <c r="G18" i="15"/>
  <c r="G19" i="15"/>
  <c r="G20" i="15"/>
  <c r="G21" i="15"/>
  <c r="G22" i="15"/>
  <c r="G23" i="15"/>
  <c r="G24" i="15"/>
  <c r="G25" i="15"/>
  <c r="D92" i="1" l="1"/>
  <c r="C100" i="1"/>
  <c r="L36" i="19" l="1"/>
  <c r="L12" i="19"/>
  <c r="L4" i="19"/>
  <c r="L5" i="19"/>
  <c r="L6" i="19"/>
  <c r="L7" i="19"/>
  <c r="L8" i="19"/>
  <c r="L9" i="19"/>
  <c r="L10" i="19"/>
  <c r="L11" i="19"/>
  <c r="L3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40" i="19"/>
  <c r="G15" i="19"/>
  <c r="G14" i="19"/>
  <c r="H5" i="19"/>
  <c r="H4" i="19"/>
  <c r="H6" i="19"/>
  <c r="H7" i="19"/>
  <c r="H8" i="19"/>
  <c r="H9" i="19"/>
  <c r="H10" i="19"/>
  <c r="H11" i="19"/>
  <c r="H3" i="19"/>
  <c r="G5" i="19"/>
  <c r="G6" i="19"/>
  <c r="G7" i="19"/>
  <c r="G8" i="19"/>
  <c r="G11" i="19"/>
  <c r="V1" i="19"/>
  <c r="J69" i="19"/>
  <c r="J63" i="19"/>
  <c r="J59" i="19"/>
  <c r="J40" i="19"/>
  <c r="J67" i="19"/>
  <c r="G10" i="19"/>
  <c r="J76" i="19"/>
  <c r="J56" i="19"/>
  <c r="J60" i="19"/>
  <c r="J51" i="19"/>
  <c r="J64" i="19"/>
  <c r="G4" i="19"/>
  <c r="J6" i="19"/>
  <c r="J49" i="19"/>
  <c r="J66" i="19"/>
  <c r="J45" i="19"/>
  <c r="J57" i="19"/>
  <c r="J43" i="19"/>
  <c r="J47" i="19"/>
  <c r="J50" i="19"/>
  <c r="J52" i="19"/>
  <c r="J11" i="19"/>
  <c r="J73" i="19"/>
  <c r="J75" i="19"/>
  <c r="J74" i="19"/>
  <c r="J5" i="19"/>
  <c r="J53" i="19"/>
  <c r="J54" i="19"/>
  <c r="J71" i="19"/>
  <c r="J61" i="19"/>
  <c r="J8" i="19"/>
  <c r="J72" i="19"/>
  <c r="J70" i="19"/>
  <c r="J41" i="19"/>
  <c r="J48" i="19"/>
  <c r="J58" i="19"/>
  <c r="G9" i="19"/>
  <c r="J65" i="19"/>
  <c r="J42" i="19"/>
  <c r="J68" i="19"/>
  <c r="J7" i="19"/>
  <c r="J46" i="19"/>
  <c r="G3" i="19"/>
  <c r="J44" i="19"/>
  <c r="J62" i="19"/>
  <c r="J55" i="19"/>
  <c r="M42" i="19" l="1"/>
  <c r="M63" i="19"/>
  <c r="M39" i="19"/>
  <c r="M62" i="19"/>
  <c r="M38" i="19"/>
  <c r="M53" i="19"/>
  <c r="M60" i="19"/>
  <c r="M55" i="19"/>
  <c r="M70" i="19"/>
  <c r="M46" i="19"/>
  <c r="M69" i="19"/>
  <c r="M45" i="19"/>
  <c r="M68" i="19"/>
  <c r="M44" i="19"/>
  <c r="M59" i="19"/>
  <c r="M43" i="19"/>
  <c r="M66" i="19"/>
  <c r="M50" i="19"/>
  <c r="M49" i="19"/>
  <c r="M71" i="19"/>
  <c r="M47" i="19"/>
  <c r="M54" i="19"/>
  <c r="M61" i="19"/>
  <c r="M37" i="19"/>
  <c r="M52" i="19"/>
  <c r="M67" i="19"/>
  <c r="M51" i="19"/>
  <c r="M58" i="19"/>
  <c r="M65" i="19"/>
  <c r="M57" i="19"/>
  <c r="M41" i="19"/>
  <c r="M72" i="19"/>
  <c r="M64" i="19"/>
  <c r="M56" i="19"/>
  <c r="M48" i="19"/>
  <c r="M40" i="19"/>
  <c r="M8" i="19"/>
  <c r="M7" i="19"/>
  <c r="M36" i="19"/>
  <c r="M6" i="19"/>
  <c r="M11" i="19"/>
  <c r="M5" i="19"/>
  <c r="H55" i="1"/>
  <c r="H25" i="1"/>
  <c r="J10" i="19"/>
  <c r="J9" i="19"/>
  <c r="M9" i="19" l="1"/>
  <c r="M10" i="19"/>
  <c r="H85" i="1"/>
  <c r="I77" i="1"/>
  <c r="C85" i="1"/>
  <c r="D77" i="1"/>
  <c r="M16" i="18"/>
  <c r="H3" i="18" l="1"/>
  <c r="I62" i="1" l="1"/>
  <c r="H70" i="1"/>
  <c r="C70" i="1"/>
  <c r="D62" i="1"/>
  <c r="S42" i="19"/>
  <c r="N49" i="19"/>
  <c r="O69" i="19"/>
  <c r="N45" i="19"/>
  <c r="S67" i="19"/>
  <c r="N48" i="19"/>
  <c r="N64" i="19"/>
  <c r="T47" i="19"/>
  <c r="O70" i="19"/>
  <c r="S58" i="19"/>
  <c r="O11" i="19"/>
  <c r="S36" i="19"/>
  <c r="S61" i="19"/>
  <c r="T60" i="19"/>
  <c r="T56" i="19"/>
  <c r="T50" i="19"/>
  <c r="T55" i="19"/>
  <c r="T46" i="19"/>
  <c r="O63" i="19"/>
  <c r="N38" i="19"/>
  <c r="T41" i="19"/>
  <c r="N65" i="19"/>
  <c r="S55" i="19"/>
  <c r="O40" i="19"/>
  <c r="O38" i="19"/>
  <c r="N62" i="19"/>
  <c r="S52" i="19"/>
  <c r="N61" i="19"/>
  <c r="O52" i="19"/>
  <c r="O62" i="19"/>
  <c r="T37" i="19"/>
  <c r="S46" i="19"/>
  <c r="O66" i="19"/>
  <c r="S66" i="19"/>
  <c r="O10" i="19"/>
  <c r="N72" i="19"/>
  <c r="S53" i="19"/>
  <c r="N41" i="19"/>
  <c r="N5" i="19"/>
  <c r="S63" i="19"/>
  <c r="S43" i="19"/>
  <c r="N51" i="19"/>
  <c r="S62" i="19"/>
  <c r="O46" i="19"/>
  <c r="N43" i="19"/>
  <c r="S45" i="19"/>
  <c r="N67" i="19"/>
  <c r="O57" i="19"/>
  <c r="S5" i="19"/>
  <c r="N47" i="19"/>
  <c r="T10" i="19"/>
  <c r="T70" i="19"/>
  <c r="O48" i="19"/>
  <c r="O41" i="19"/>
  <c r="T53" i="19"/>
  <c r="S49" i="19"/>
  <c r="O58" i="19"/>
  <c r="T58" i="19"/>
  <c r="N52" i="19"/>
  <c r="S41" i="19"/>
  <c r="T63" i="19"/>
  <c r="T62" i="19"/>
  <c r="O49" i="19"/>
  <c r="N50" i="19"/>
  <c r="S39" i="19"/>
  <c r="S56" i="19"/>
  <c r="S11" i="19"/>
  <c r="O51" i="19"/>
  <c r="N46" i="19"/>
  <c r="S59" i="19"/>
  <c r="N68" i="19"/>
  <c r="S57" i="19"/>
  <c r="N70" i="19"/>
  <c r="N7" i="19"/>
  <c r="N8" i="19"/>
  <c r="T68" i="19"/>
  <c r="O43" i="19"/>
  <c r="N44" i="19"/>
  <c r="N6" i="19"/>
  <c r="O45" i="19"/>
  <c r="O53" i="19"/>
  <c r="T5" i="19"/>
  <c r="O44" i="19"/>
  <c r="T38" i="19"/>
  <c r="O67" i="19"/>
  <c r="N53" i="19"/>
  <c r="S44" i="19"/>
  <c r="S65" i="19"/>
  <c r="N56" i="19"/>
  <c r="T49" i="19"/>
  <c r="T67" i="19"/>
  <c r="O6" i="19"/>
  <c r="S6" i="19"/>
  <c r="T65" i="19"/>
  <c r="N42" i="19"/>
  <c r="N9" i="19"/>
  <c r="S7" i="19"/>
  <c r="O71" i="19"/>
  <c r="S60" i="19"/>
  <c r="S69" i="19"/>
  <c r="T54" i="19"/>
  <c r="N60" i="19"/>
  <c r="O64" i="19"/>
  <c r="T61" i="19"/>
  <c r="T8" i="19"/>
  <c r="O54" i="19"/>
  <c r="T52" i="19"/>
  <c r="O56" i="19"/>
  <c r="O42" i="19"/>
  <c r="N11" i="19"/>
  <c r="O59" i="19"/>
  <c r="S51" i="19"/>
  <c r="S70" i="19"/>
  <c r="T42" i="19"/>
  <c r="T48" i="19"/>
  <c r="T39" i="19"/>
  <c r="O8" i="19"/>
  <c r="J4" i="19"/>
  <c r="S72" i="19"/>
  <c r="N71" i="19"/>
  <c r="S8" i="19"/>
  <c r="S48" i="19"/>
  <c r="N55" i="19"/>
  <c r="O36" i="19"/>
  <c r="S54" i="19"/>
  <c r="S10" i="19"/>
  <c r="T66" i="19"/>
  <c r="N10" i="19"/>
  <c r="T51" i="19"/>
  <c r="O55" i="19"/>
  <c r="T57" i="19"/>
  <c r="T36" i="19"/>
  <c r="J3" i="19"/>
  <c r="T59" i="19"/>
  <c r="T43" i="19"/>
  <c r="T6" i="19"/>
  <c r="T45" i="19"/>
  <c r="O68" i="19"/>
  <c r="T40" i="19"/>
  <c r="T44" i="19"/>
  <c r="S9" i="19"/>
  <c r="N57" i="19"/>
  <c r="S50" i="19"/>
  <c r="N40" i="19"/>
  <c r="O72" i="19"/>
  <c r="N36" i="19"/>
  <c r="T7" i="19"/>
  <c r="S37" i="19"/>
  <c r="S64" i="19"/>
  <c r="S68" i="19"/>
  <c r="O65" i="19"/>
  <c r="S40" i="19"/>
  <c r="N69" i="19"/>
  <c r="T9" i="19"/>
  <c r="N66" i="19"/>
  <c r="O7" i="19"/>
  <c r="N39" i="19"/>
  <c r="T64" i="19"/>
  <c r="T69" i="19"/>
  <c r="S47" i="19"/>
  <c r="S71" i="19"/>
  <c r="S38" i="19"/>
  <c r="T72" i="19"/>
  <c r="O5" i="19"/>
  <c r="O37" i="19"/>
  <c r="N58" i="19"/>
  <c r="O9" i="19"/>
  <c r="T71" i="19"/>
  <c r="N63" i="19"/>
  <c r="O39" i="19"/>
  <c r="N54" i="19"/>
  <c r="N37" i="19"/>
  <c r="O47" i="19"/>
  <c r="O60" i="19"/>
  <c r="T11" i="19"/>
  <c r="N59" i="19"/>
  <c r="O61" i="19"/>
  <c r="O50" i="19"/>
  <c r="M3" i="19" l="1"/>
  <c r="M4" i="19"/>
  <c r="H3" i="17"/>
  <c r="I47" i="1"/>
  <c r="C55" i="1"/>
  <c r="N3" i="19"/>
  <c r="S4" i="19"/>
  <c r="O4" i="19"/>
  <c r="N4" i="19"/>
  <c r="T4" i="19"/>
  <c r="T3" i="19"/>
  <c r="S3" i="19"/>
  <c r="O3" i="19"/>
  <c r="H63" i="16" l="1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6" i="16"/>
  <c r="H3" i="16"/>
  <c r="D47" i="1"/>
  <c r="I32" i="1"/>
  <c r="D32" i="1"/>
  <c r="H40" i="1"/>
  <c r="C40" i="1"/>
  <c r="H3" i="15"/>
  <c r="K26" i="16"/>
  <c r="K30" i="16"/>
  <c r="K63" i="16"/>
  <c r="K60" i="16"/>
  <c r="J49" i="16"/>
  <c r="K45" i="16"/>
  <c r="J29" i="16"/>
  <c r="J54" i="16"/>
  <c r="J43" i="16"/>
  <c r="J46" i="16"/>
  <c r="J30" i="16"/>
  <c r="K61" i="16"/>
  <c r="K35" i="16"/>
  <c r="K44" i="16"/>
  <c r="K58" i="16"/>
  <c r="J39" i="16"/>
  <c r="K57" i="16"/>
  <c r="K39" i="16"/>
  <c r="J51" i="16"/>
  <c r="J61" i="16"/>
  <c r="K62" i="16"/>
  <c r="K43" i="16"/>
  <c r="J42" i="16"/>
  <c r="K56" i="16"/>
  <c r="J50" i="16"/>
  <c r="K32" i="16"/>
  <c r="K34" i="16"/>
  <c r="J35" i="16"/>
  <c r="K40" i="16"/>
  <c r="K51" i="16"/>
  <c r="K55" i="16"/>
  <c r="K28" i="16"/>
  <c r="K41" i="16"/>
  <c r="J53" i="16"/>
  <c r="J57" i="16"/>
  <c r="K47" i="16"/>
  <c r="J31" i="16"/>
  <c r="J56" i="16"/>
  <c r="K48" i="16"/>
  <c r="J33" i="16"/>
  <c r="J55" i="16"/>
  <c r="J45" i="16"/>
  <c r="J63" i="16"/>
  <c r="J44" i="16"/>
  <c r="J28" i="16"/>
  <c r="K33" i="16"/>
  <c r="K59" i="16"/>
  <c r="K38" i="16"/>
  <c r="K49" i="16"/>
  <c r="K50" i="16"/>
  <c r="K54" i="16"/>
  <c r="J40" i="16"/>
  <c r="K46" i="16"/>
  <c r="J34" i="16"/>
  <c r="J58" i="16"/>
  <c r="J52" i="16"/>
  <c r="J48" i="16"/>
  <c r="J38" i="16"/>
  <c r="J32" i="16"/>
  <c r="K36" i="16"/>
  <c r="K31" i="16"/>
  <c r="K42" i="16"/>
  <c r="J62" i="16"/>
  <c r="J37" i="16"/>
  <c r="K52" i="16"/>
  <c r="J59" i="16"/>
  <c r="J41" i="16"/>
  <c r="J60" i="16"/>
  <c r="J36" i="16"/>
  <c r="K29" i="16"/>
  <c r="K37" i="16"/>
  <c r="C6" i="15"/>
  <c r="K53" i="16"/>
  <c r="J47" i="16"/>
  <c r="J26" i="16"/>
  <c r="H6" i="15" l="1"/>
  <c r="I6" i="15"/>
  <c r="E4" i="14"/>
  <c r="E3" i="14"/>
  <c r="I41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D45" i="14"/>
  <c r="D46" i="14"/>
  <c r="D47" i="14"/>
  <c r="D48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I17" i="1"/>
  <c r="E6" i="15"/>
  <c r="J42" i="14" l="1"/>
  <c r="J41" i="14"/>
  <c r="J61" i="14"/>
  <c r="J60" i="14"/>
  <c r="J44" i="14"/>
  <c r="J43" i="14"/>
  <c r="J70" i="14"/>
  <c r="J66" i="14"/>
  <c r="J63" i="14"/>
  <c r="J68" i="14"/>
  <c r="J72" i="14"/>
  <c r="J67" i="14"/>
  <c r="J65" i="14"/>
  <c r="J76" i="14"/>
  <c r="J69" i="14"/>
  <c r="J74" i="14"/>
  <c r="J77" i="14"/>
  <c r="J62" i="14"/>
  <c r="J75" i="14"/>
  <c r="J73" i="14"/>
  <c r="J64" i="14"/>
  <c r="J71" i="14"/>
  <c r="C25" i="1"/>
  <c r="D17" i="1"/>
  <c r="I10" i="1"/>
  <c r="I9" i="1"/>
  <c r="I8" i="1"/>
  <c r="P60" i="14"/>
  <c r="P74" i="14"/>
  <c r="Q72" i="14"/>
  <c r="P68" i="14"/>
  <c r="Q42" i="14"/>
  <c r="P64" i="14"/>
  <c r="P71" i="14"/>
  <c r="L66" i="14"/>
  <c r="Q75" i="14"/>
  <c r="K73" i="14"/>
  <c r="Q66" i="14"/>
  <c r="K41" i="14"/>
  <c r="L76" i="14"/>
  <c r="Q68" i="14"/>
  <c r="P65" i="14"/>
  <c r="K68" i="14"/>
  <c r="Q61" i="14"/>
  <c r="K67" i="14"/>
  <c r="Q64" i="14"/>
  <c r="P41" i="14"/>
  <c r="P76" i="14"/>
  <c r="L74" i="14"/>
  <c r="Q76" i="14"/>
  <c r="P42" i="14"/>
  <c r="P70" i="14"/>
  <c r="L64" i="14"/>
  <c r="K61" i="14"/>
  <c r="K74" i="14"/>
  <c r="L62" i="14"/>
  <c r="L44" i="14"/>
  <c r="P63" i="14"/>
  <c r="Q77" i="14"/>
  <c r="P62" i="14"/>
  <c r="Q74" i="14"/>
  <c r="Q67" i="14"/>
  <c r="Q41" i="14"/>
  <c r="P67" i="14"/>
  <c r="L75" i="14"/>
  <c r="K62" i="14"/>
  <c r="K69" i="14"/>
  <c r="L77" i="14"/>
  <c r="P43" i="14"/>
  <c r="Q71" i="14"/>
  <c r="Q44" i="14"/>
  <c r="L65" i="14"/>
  <c r="K77" i="14"/>
  <c r="L69" i="14"/>
  <c r="L61" i="14"/>
  <c r="K72" i="14"/>
  <c r="P77" i="14"/>
  <c r="Q43" i="14"/>
  <c r="Q73" i="14"/>
  <c r="Q70" i="14"/>
  <c r="L41" i="14"/>
  <c r="Q69" i="14"/>
  <c r="K65" i="14"/>
  <c r="K75" i="14"/>
  <c r="L70" i="14"/>
  <c r="K64" i="14"/>
  <c r="Q60" i="14"/>
  <c r="L68" i="14"/>
  <c r="P61" i="14"/>
  <c r="Q63" i="14"/>
  <c r="K70" i="14"/>
  <c r="L43" i="14"/>
  <c r="L73" i="14"/>
  <c r="K43" i="14"/>
  <c r="K71" i="14"/>
  <c r="L60" i="14"/>
  <c r="P66" i="14"/>
  <c r="K42" i="14"/>
  <c r="K76" i="14"/>
  <c r="K66" i="14"/>
  <c r="L71" i="14"/>
  <c r="Q65" i="14"/>
  <c r="P44" i="14"/>
  <c r="K44" i="14"/>
  <c r="K63" i="14"/>
  <c r="L72" i="14"/>
  <c r="P73" i="14"/>
  <c r="F6" i="15"/>
  <c r="P69" i="14"/>
  <c r="L63" i="14"/>
  <c r="K60" i="14"/>
  <c r="L42" i="14"/>
  <c r="P72" i="14"/>
  <c r="L67" i="14"/>
  <c r="P75" i="14"/>
  <c r="Q62" i="14"/>
  <c r="N16" i="17" l="1"/>
  <c r="N23" i="16"/>
  <c r="O16" i="17"/>
  <c r="O23" i="16"/>
  <c r="N17" i="18"/>
  <c r="O17" i="18"/>
  <c r="G56" i="18"/>
  <c r="G57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0" i="18"/>
  <c r="G17" i="18"/>
  <c r="G15" i="18"/>
  <c r="G14" i="18"/>
  <c r="G13" i="18"/>
  <c r="G12" i="18"/>
  <c r="G11" i="18"/>
  <c r="G10" i="18"/>
  <c r="G9" i="18"/>
  <c r="G8" i="18"/>
  <c r="G7" i="18"/>
  <c r="G6" i="18"/>
  <c r="G3" i="18"/>
  <c r="M15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19" i="17"/>
  <c r="G16" i="17"/>
  <c r="G15" i="17"/>
  <c r="G14" i="17"/>
  <c r="G13" i="17"/>
  <c r="G12" i="17"/>
  <c r="G11" i="17"/>
  <c r="G10" i="17"/>
  <c r="G9" i="17"/>
  <c r="G8" i="17"/>
  <c r="G7" i="17"/>
  <c r="G6" i="17"/>
  <c r="G3" i="17"/>
  <c r="G28" i="16"/>
  <c r="G3" i="16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16" i="15"/>
  <c r="G15" i="15"/>
  <c r="G14" i="15"/>
  <c r="G13" i="15"/>
  <c r="G12" i="15"/>
  <c r="G11" i="15"/>
  <c r="G10" i="15"/>
  <c r="G9" i="15"/>
  <c r="G8" i="15"/>
  <c r="G7" i="15"/>
  <c r="G6" i="15"/>
  <c r="V16" i="17"/>
  <c r="U16" i="17"/>
  <c r="U23" i="16"/>
  <c r="U17" i="18"/>
  <c r="V17" i="18"/>
  <c r="P23" i="16"/>
  <c r="Q16" i="17"/>
  <c r="P17" i="18"/>
  <c r="Q23" i="16"/>
  <c r="P16" i="17"/>
  <c r="Q17" i="18"/>
  <c r="J6" i="15"/>
  <c r="V23" i="16"/>
  <c r="O24" i="16" l="1"/>
  <c r="N24" i="16"/>
  <c r="O46" i="17"/>
  <c r="N46" i="17"/>
  <c r="O19" i="17"/>
  <c r="N19" i="17"/>
  <c r="O47" i="17"/>
  <c r="N47" i="17"/>
  <c r="O44" i="17"/>
  <c r="N44" i="17"/>
  <c r="O45" i="17"/>
  <c r="N45" i="17"/>
  <c r="O32" i="17"/>
  <c r="N32" i="17"/>
  <c r="O40" i="17"/>
  <c r="N40" i="17"/>
  <c r="O35" i="17"/>
  <c r="N35" i="17"/>
  <c r="O29" i="17"/>
  <c r="N29" i="17"/>
  <c r="N31" i="17"/>
  <c r="O31" i="17"/>
  <c r="O15" i="17"/>
  <c r="N15" i="17"/>
  <c r="O17" i="17"/>
  <c r="N17" i="17"/>
  <c r="O41" i="17"/>
  <c r="N41" i="17"/>
  <c r="O49" i="17"/>
  <c r="N49" i="17"/>
  <c r="O36" i="17"/>
  <c r="N36" i="17"/>
  <c r="O37" i="17"/>
  <c r="N37" i="17"/>
  <c r="O39" i="17"/>
  <c r="N39" i="17"/>
  <c r="O18" i="17"/>
  <c r="N18" i="17"/>
  <c r="O34" i="17"/>
  <c r="N34" i="17"/>
  <c r="O42" i="17"/>
  <c r="N42" i="17"/>
  <c r="O33" i="15"/>
  <c r="O41" i="15"/>
  <c r="O49" i="15"/>
  <c r="O57" i="15"/>
  <c r="O65" i="15"/>
  <c r="O34" i="15"/>
  <c r="O42" i="15"/>
  <c r="O50" i="15"/>
  <c r="O58" i="15"/>
  <c r="O51" i="15"/>
  <c r="O59" i="15"/>
  <c r="O44" i="15"/>
  <c r="O52" i="15"/>
  <c r="O60" i="15"/>
  <c r="O37" i="15"/>
  <c r="O61" i="15"/>
  <c r="O35" i="15"/>
  <c r="O38" i="15"/>
  <c r="O46" i="15"/>
  <c r="O54" i="15"/>
  <c r="O62" i="15"/>
  <c r="O28" i="15"/>
  <c r="O45" i="15"/>
  <c r="O30" i="15"/>
  <c r="O31" i="15"/>
  <c r="O39" i="15"/>
  <c r="O47" i="15"/>
  <c r="O55" i="15"/>
  <c r="O63" i="15"/>
  <c r="O43" i="15"/>
  <c r="O36" i="15"/>
  <c r="O29" i="15"/>
  <c r="O53" i="15"/>
  <c r="O32" i="15"/>
  <c r="O40" i="15"/>
  <c r="O48" i="15"/>
  <c r="O56" i="15"/>
  <c r="O64" i="15"/>
  <c r="O21" i="18"/>
  <c r="N21" i="18"/>
  <c r="N32" i="18"/>
  <c r="O32" i="18"/>
  <c r="N33" i="18"/>
  <c r="O33" i="18"/>
  <c r="N34" i="18"/>
  <c r="O34" i="18"/>
  <c r="N35" i="18"/>
  <c r="O35" i="18"/>
  <c r="N36" i="18"/>
  <c r="O36" i="18"/>
  <c r="N29" i="18"/>
  <c r="O29" i="18"/>
  <c r="N37" i="18"/>
  <c r="O37" i="18"/>
  <c r="N45" i="18"/>
  <c r="O45" i="18"/>
  <c r="N52" i="18"/>
  <c r="O52" i="18"/>
  <c r="N24" i="18"/>
  <c r="O24" i="18"/>
  <c r="N48" i="18"/>
  <c r="O48" i="18"/>
  <c r="N25" i="18"/>
  <c r="O25" i="18"/>
  <c r="N49" i="18"/>
  <c r="O49" i="18"/>
  <c r="N26" i="18"/>
  <c r="O26" i="18"/>
  <c r="N50" i="18"/>
  <c r="O50" i="18"/>
  <c r="N27" i="18"/>
  <c r="O27" i="18"/>
  <c r="N43" i="18"/>
  <c r="O43" i="18"/>
  <c r="N20" i="18"/>
  <c r="O20" i="18"/>
  <c r="N53" i="18"/>
  <c r="O53" i="18"/>
  <c r="N22" i="18"/>
  <c r="O22" i="18"/>
  <c r="N30" i="18"/>
  <c r="O30" i="18"/>
  <c r="N38" i="18"/>
  <c r="O38" i="18"/>
  <c r="N46" i="18"/>
  <c r="O46" i="18"/>
  <c r="N40" i="18"/>
  <c r="O40" i="18"/>
  <c r="N41" i="18"/>
  <c r="O41" i="18"/>
  <c r="N18" i="18"/>
  <c r="O18" i="18"/>
  <c r="N42" i="18"/>
  <c r="O42" i="18"/>
  <c r="N19" i="18"/>
  <c r="O19" i="18"/>
  <c r="N51" i="18"/>
  <c r="O51" i="18"/>
  <c r="N28" i="18"/>
  <c r="O28" i="18"/>
  <c r="N44" i="18"/>
  <c r="O44" i="18"/>
  <c r="N23" i="18"/>
  <c r="O23" i="18"/>
  <c r="N31" i="18"/>
  <c r="O31" i="18"/>
  <c r="N39" i="18"/>
  <c r="O39" i="18"/>
  <c r="N47" i="18"/>
  <c r="O47" i="18"/>
  <c r="N16" i="18"/>
  <c r="O16" i="18"/>
  <c r="O52" i="17"/>
  <c r="O30" i="17"/>
  <c r="O27" i="17"/>
  <c r="O51" i="17"/>
  <c r="O28" i="17"/>
  <c r="O21" i="17"/>
  <c r="O22" i="17"/>
  <c r="O23" i="17"/>
  <c r="O24" i="17"/>
  <c r="O48" i="17"/>
  <c r="O26" i="17"/>
  <c r="O50" i="17"/>
  <c r="O43" i="17"/>
  <c r="O20" i="17"/>
  <c r="O38" i="17"/>
  <c r="O25" i="17"/>
  <c r="O33" i="17"/>
  <c r="G3" i="15"/>
  <c r="P51" i="18"/>
  <c r="P22" i="18"/>
  <c r="V44" i="18"/>
  <c r="V28" i="18"/>
  <c r="V40" i="18"/>
  <c r="P21" i="18"/>
  <c r="U36" i="17"/>
  <c r="U34" i="17"/>
  <c r="P24" i="16"/>
  <c r="U39" i="17"/>
  <c r="P40" i="17"/>
  <c r="Q47" i="17"/>
  <c r="V17" i="17"/>
  <c r="P28" i="18"/>
  <c r="Q35" i="18"/>
  <c r="Q30" i="18"/>
  <c r="V45" i="18"/>
  <c r="Q21" i="18"/>
  <c r="V22" i="18"/>
  <c r="U41" i="17"/>
  <c r="V26" i="18"/>
  <c r="Q41" i="18"/>
  <c r="P27" i="18"/>
  <c r="P29" i="18"/>
  <c r="P34" i="17"/>
  <c r="P47" i="17"/>
  <c r="V27" i="18"/>
  <c r="P38" i="18"/>
  <c r="P32" i="18"/>
  <c r="U18" i="18"/>
  <c r="V36" i="17"/>
  <c r="Q52" i="18"/>
  <c r="P39" i="18"/>
  <c r="V39" i="17"/>
  <c r="P35" i="17"/>
  <c r="V42" i="17"/>
  <c r="V34" i="17"/>
  <c r="Q35" i="17"/>
  <c r="V53" i="18"/>
  <c r="P31" i="17"/>
  <c r="Q39" i="17"/>
  <c r="V42" i="18"/>
  <c r="Q34" i="18"/>
  <c r="Q53" i="18"/>
  <c r="V41" i="18"/>
  <c r="Q42" i="17"/>
  <c r="Q45" i="17"/>
  <c r="Q47" i="18"/>
  <c r="V31" i="17"/>
  <c r="U45" i="17"/>
  <c r="P29" i="17"/>
  <c r="P36" i="17"/>
  <c r="Q45" i="18"/>
  <c r="U51" i="18"/>
  <c r="V35" i="18"/>
  <c r="V30" i="18"/>
  <c r="Q37" i="17"/>
  <c r="P46" i="17"/>
  <c r="P36" i="18"/>
  <c r="V51" i="18"/>
  <c r="P41" i="18"/>
  <c r="Q38" i="18"/>
  <c r="P48" i="18"/>
  <c r="Q22" i="18"/>
  <c r="Q44" i="18"/>
  <c r="U38" i="18"/>
  <c r="V19" i="18"/>
  <c r="Q48" i="18"/>
  <c r="Q43" i="18"/>
  <c r="P19" i="18"/>
  <c r="U26" i="18"/>
  <c r="U32" i="18"/>
  <c r="Q32" i="18"/>
  <c r="U44" i="18"/>
  <c r="V49" i="18"/>
  <c r="P49" i="18"/>
  <c r="U49" i="18"/>
  <c r="P52" i="18"/>
  <c r="V50" i="18"/>
  <c r="P37" i="18"/>
  <c r="U46" i="18"/>
  <c r="P19" i="17"/>
  <c r="Q17" i="17"/>
  <c r="U25" i="18"/>
  <c r="V38" i="18"/>
  <c r="Q19" i="17"/>
  <c r="V18" i="17"/>
  <c r="V24" i="18"/>
  <c r="Q39" i="18"/>
  <c r="V21" i="18"/>
  <c r="U50" i="18"/>
  <c r="V33" i="18"/>
  <c r="Q49" i="18"/>
  <c r="U43" i="18"/>
  <c r="P45" i="17"/>
  <c r="Q24" i="18"/>
  <c r="U45" i="18"/>
  <c r="U33" i="18"/>
  <c r="V41" i="17"/>
  <c r="V47" i="18"/>
  <c r="U19" i="18"/>
  <c r="Q41" i="17"/>
  <c r="U37" i="18"/>
  <c r="U42" i="18"/>
  <c r="V39" i="18"/>
  <c r="U21" i="18"/>
  <c r="P32" i="17"/>
  <c r="Q18" i="18"/>
  <c r="P20" i="18"/>
  <c r="Q46" i="17"/>
  <c r="Q51" i="18"/>
  <c r="U18" i="17"/>
  <c r="Q16" i="18"/>
  <c r="U20" i="18"/>
  <c r="P45" i="18"/>
  <c r="P40" i="18"/>
  <c r="V44" i="17"/>
  <c r="U47" i="17"/>
  <c r="Q36" i="17"/>
  <c r="P47" i="18"/>
  <c r="U30" i="18"/>
  <c r="P42" i="18"/>
  <c r="Q37" i="18"/>
  <c r="V18" i="18"/>
  <c r="P37" i="17"/>
  <c r="Q20" i="18"/>
  <c r="Q24" i="16"/>
  <c r="Q40" i="17"/>
  <c r="P50" i="18"/>
  <c r="P18" i="17"/>
  <c r="U36" i="18"/>
  <c r="P34" i="18"/>
  <c r="V35" i="17"/>
  <c r="Q49" i="17"/>
  <c r="P30" i="18"/>
  <c r="V52" i="18"/>
  <c r="Q32" i="17"/>
  <c r="U31" i="18"/>
  <c r="U52" i="18"/>
  <c r="Q29" i="18"/>
  <c r="V36" i="18"/>
  <c r="V25" i="18"/>
  <c r="V49" i="17"/>
  <c r="P49" i="17"/>
  <c r="P41" i="17"/>
  <c r="V47" i="17"/>
  <c r="U46" i="17"/>
  <c r="U53" i="18"/>
  <c r="U34" i="18"/>
  <c r="P31" i="18"/>
  <c r="U48" i="18"/>
  <c r="Q40" i="18"/>
  <c r="P42" i="17"/>
  <c r="P26" i="18"/>
  <c r="U35" i="18"/>
  <c r="Q46" i="18"/>
  <c r="Q18" i="17"/>
  <c r="P35" i="18"/>
  <c r="V19" i="17"/>
  <c r="P23" i="18"/>
  <c r="U37" i="17"/>
  <c r="P33" i="18"/>
  <c r="P53" i="18"/>
  <c r="P25" i="18"/>
  <c r="P17" i="17"/>
  <c r="V48" i="18"/>
  <c r="U29" i="18"/>
  <c r="V23" i="18"/>
  <c r="U28" i="18"/>
  <c r="V29" i="17"/>
  <c r="V29" i="18"/>
  <c r="P44" i="18"/>
  <c r="U42" i="17"/>
  <c r="V40" i="17"/>
  <c r="V37" i="18"/>
  <c r="Q44" i="17"/>
  <c r="U47" i="18"/>
  <c r="V34" i="18"/>
  <c r="P18" i="18"/>
  <c r="Q25" i="18"/>
  <c r="U41" i="18"/>
  <c r="U24" i="16"/>
  <c r="Q23" i="18"/>
  <c r="Q27" i="18"/>
  <c r="U24" i="18"/>
  <c r="V20" i="18"/>
  <c r="P46" i="18"/>
  <c r="U49" i="17"/>
  <c r="V37" i="17"/>
  <c r="U39" i="18"/>
  <c r="P16" i="18"/>
  <c r="U29" i="17"/>
  <c r="Q31" i="18"/>
  <c r="U17" i="17"/>
  <c r="Q26" i="18"/>
  <c r="Q34" i="17"/>
  <c r="Q28" i="18"/>
  <c r="U19" i="17"/>
  <c r="U16" i="18"/>
  <c r="U44" i="17"/>
  <c r="P43" i="18"/>
  <c r="V43" i="18"/>
  <c r="U40" i="18"/>
  <c r="V32" i="18"/>
  <c r="Q36" i="18"/>
  <c r="V45" i="17"/>
  <c r="U23" i="18"/>
  <c r="P24" i="18"/>
  <c r="Q29" i="17"/>
  <c r="V16" i="18"/>
  <c r="U31" i="17"/>
  <c r="U40" i="17"/>
  <c r="Q19" i="18"/>
  <c r="V31" i="18"/>
  <c r="U27" i="18"/>
  <c r="V24" i="16"/>
  <c r="U32" i="17"/>
  <c r="P44" i="17"/>
  <c r="V32" i="17"/>
  <c r="Q42" i="18"/>
  <c r="Q31" i="17"/>
  <c r="V46" i="18"/>
  <c r="U35" i="17"/>
  <c r="V46" i="17"/>
  <c r="Q33" i="18"/>
  <c r="U22" i="18"/>
  <c r="P39" i="17"/>
  <c r="Q50" i="18"/>
  <c r="K6" i="15" l="1"/>
  <c r="O4" i="15" s="1"/>
  <c r="S1" i="14" l="1"/>
  <c r="I5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4" i="14"/>
  <c r="D3" i="14"/>
  <c r="V15" i="17"/>
  <c r="D9" i="1"/>
  <c r="G3" i="14"/>
  <c r="G4" i="14"/>
  <c r="P15" i="17"/>
  <c r="U15" i="17"/>
  <c r="Q15" i="17"/>
  <c r="J27" i="14" l="1"/>
  <c r="J35" i="14"/>
  <c r="J28" i="14"/>
  <c r="J36" i="14"/>
  <c r="J29" i="14"/>
  <c r="J37" i="14"/>
  <c r="J30" i="14"/>
  <c r="J38" i="14"/>
  <c r="J31" i="14"/>
  <c r="J39" i="14"/>
  <c r="J24" i="14"/>
  <c r="J32" i="14"/>
  <c r="J40" i="14"/>
  <c r="J25" i="14"/>
  <c r="J33" i="14"/>
  <c r="J26" i="14"/>
  <c r="J34" i="14"/>
  <c r="N30" i="17"/>
  <c r="N28" i="17"/>
  <c r="N20" i="17"/>
  <c r="N33" i="17"/>
  <c r="N26" i="17"/>
  <c r="N52" i="17"/>
  <c r="N38" i="17"/>
  <c r="N21" i="17"/>
  <c r="N22" i="17"/>
  <c r="N27" i="17"/>
  <c r="N43" i="17"/>
  <c r="N24" i="17"/>
  <c r="N25" i="17"/>
  <c r="N23" i="17"/>
  <c r="N48" i="17"/>
  <c r="N50" i="17"/>
  <c r="N51" i="17"/>
  <c r="O7" i="17"/>
  <c r="O13" i="17"/>
  <c r="O8" i="17"/>
  <c r="O14" i="17"/>
  <c r="O12" i="17"/>
  <c r="O6" i="17"/>
  <c r="O4" i="17"/>
  <c r="O5" i="17"/>
  <c r="O9" i="17"/>
  <c r="O11" i="17"/>
  <c r="O10" i="17"/>
  <c r="M4" i="18"/>
  <c r="C7" i="18"/>
  <c r="H7" i="18" s="1"/>
  <c r="C8" i="18"/>
  <c r="H8" i="18" s="1"/>
  <c r="C9" i="18"/>
  <c r="H9" i="18" s="1"/>
  <c r="C10" i="18"/>
  <c r="H10" i="18" s="1"/>
  <c r="C11" i="18"/>
  <c r="H11" i="18" s="1"/>
  <c r="C12" i="18"/>
  <c r="H12" i="18" s="1"/>
  <c r="C13" i="18"/>
  <c r="H13" i="18" s="1"/>
  <c r="C14" i="18"/>
  <c r="H14" i="18" s="1"/>
  <c r="C15" i="18"/>
  <c r="H15" i="18" s="1"/>
  <c r="C17" i="18"/>
  <c r="H17" i="18" s="1"/>
  <c r="C6" i="18"/>
  <c r="H6" i="18" s="1"/>
  <c r="M3" i="18"/>
  <c r="X1" i="18"/>
  <c r="M5" i="17"/>
  <c r="M6" i="17"/>
  <c r="M7" i="17"/>
  <c r="M8" i="17"/>
  <c r="M9" i="17"/>
  <c r="M10" i="17"/>
  <c r="M11" i="17"/>
  <c r="M12" i="17"/>
  <c r="M13" i="17"/>
  <c r="M14" i="17"/>
  <c r="M4" i="17"/>
  <c r="M3" i="17"/>
  <c r="X1" i="17"/>
  <c r="M22" i="16"/>
  <c r="M4" i="16"/>
  <c r="M3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6" i="16"/>
  <c r="G6" i="16"/>
  <c r="C6" i="16"/>
  <c r="H6" i="16" s="1"/>
  <c r="X1" i="16"/>
  <c r="K39" i="14"/>
  <c r="J14" i="18"/>
  <c r="V50" i="17"/>
  <c r="U52" i="17"/>
  <c r="K29" i="14"/>
  <c r="Q38" i="17"/>
  <c r="P33" i="17"/>
  <c r="P50" i="17"/>
  <c r="K36" i="14"/>
  <c r="V52" i="17"/>
  <c r="P29" i="14"/>
  <c r="P20" i="17"/>
  <c r="Q25" i="14"/>
  <c r="P30" i="17"/>
  <c r="K32" i="14"/>
  <c r="L40" i="14"/>
  <c r="K26" i="14"/>
  <c r="P43" i="17"/>
  <c r="P28" i="14"/>
  <c r="P24" i="14"/>
  <c r="Q33" i="17"/>
  <c r="L32" i="14"/>
  <c r="Q52" i="17"/>
  <c r="J9" i="18"/>
  <c r="Q26" i="14"/>
  <c r="L29" i="14"/>
  <c r="P35" i="14"/>
  <c r="Q23" i="17"/>
  <c r="L37" i="14"/>
  <c r="V21" i="17"/>
  <c r="L36" i="14"/>
  <c r="V20" i="17"/>
  <c r="P38" i="14"/>
  <c r="U30" i="17"/>
  <c r="U51" i="17"/>
  <c r="P25" i="14"/>
  <c r="L25" i="14"/>
  <c r="L34" i="14"/>
  <c r="L30" i="14"/>
  <c r="Q39" i="14"/>
  <c r="V27" i="17"/>
  <c r="Q50" i="17"/>
  <c r="P40" i="14"/>
  <c r="V38" i="17"/>
  <c r="P51" i="17"/>
  <c r="P26" i="14"/>
  <c r="Q21" i="17"/>
  <c r="U33" i="17"/>
  <c r="P34" i="14"/>
  <c r="V30" i="17"/>
  <c r="P52" i="17"/>
  <c r="P25" i="17"/>
  <c r="L35" i="14"/>
  <c r="P32" i="14"/>
  <c r="P26" i="17"/>
  <c r="Q31" i="14"/>
  <c r="V25" i="17"/>
  <c r="J11" i="18"/>
  <c r="U23" i="17"/>
  <c r="Q27" i="17"/>
  <c r="Q24" i="17"/>
  <c r="J17" i="18"/>
  <c r="J15" i="18"/>
  <c r="P27" i="14"/>
  <c r="P23" i="17"/>
  <c r="U43" i="17"/>
  <c r="P27" i="17"/>
  <c r="D10" i="1"/>
  <c r="U26" i="17"/>
  <c r="Q33" i="14"/>
  <c r="J7" i="18"/>
  <c r="P37" i="14"/>
  <c r="L24" i="14"/>
  <c r="K38" i="14"/>
  <c r="K34" i="14"/>
  <c r="J10" i="18"/>
  <c r="V33" i="17"/>
  <c r="Q34" i="14"/>
  <c r="U38" i="17"/>
  <c r="P21" i="17"/>
  <c r="Q48" i="17"/>
  <c r="V48" i="17"/>
  <c r="J8" i="18"/>
  <c r="Q36" i="14"/>
  <c r="J13" i="18"/>
  <c r="Q40" i="14"/>
  <c r="Q38" i="14"/>
  <c r="L27" i="14"/>
  <c r="K40" i="14"/>
  <c r="K33" i="14"/>
  <c r="Q30" i="17"/>
  <c r="U48" i="17"/>
  <c r="Q28" i="17"/>
  <c r="Q27" i="14"/>
  <c r="L26" i="14"/>
  <c r="V43" i="17"/>
  <c r="V26" i="17"/>
  <c r="P31" i="14"/>
  <c r="Q37" i="14"/>
  <c r="K37" i="14"/>
  <c r="K30" i="14"/>
  <c r="U21" i="17"/>
  <c r="K35" i="14"/>
  <c r="Q30" i="14"/>
  <c r="L31" i="14"/>
  <c r="Q43" i="17"/>
  <c r="V28" i="17"/>
  <c r="P28" i="17"/>
  <c r="J12" i="18"/>
  <c r="C14" i="19"/>
  <c r="K28" i="14"/>
  <c r="Q32" i="14"/>
  <c r="U28" i="17"/>
  <c r="Q20" i="17"/>
  <c r="V24" i="17"/>
  <c r="U24" i="17"/>
  <c r="U25" i="17"/>
  <c r="P36" i="14"/>
  <c r="K27" i="14"/>
  <c r="Q24" i="14"/>
  <c r="Q35" i="14"/>
  <c r="L33" i="14"/>
  <c r="P30" i="14"/>
  <c r="Q22" i="17"/>
  <c r="U27" i="17"/>
  <c r="U22" i="17"/>
  <c r="U20" i="17"/>
  <c r="V23" i="17"/>
  <c r="Q25" i="17"/>
  <c r="L39" i="14"/>
  <c r="P24" i="17"/>
  <c r="L38" i="14"/>
  <c r="P48" i="17"/>
  <c r="P38" i="17"/>
  <c r="K25" i="14"/>
  <c r="Q26" i="17"/>
  <c r="P22" i="17"/>
  <c r="Q29" i="14"/>
  <c r="V22" i="17"/>
  <c r="K24" i="14"/>
  <c r="P39" i="14"/>
  <c r="U50" i="17"/>
  <c r="Q28" i="14"/>
  <c r="Q51" i="17"/>
  <c r="L28" i="14"/>
  <c r="V51" i="17"/>
  <c r="P33" i="14"/>
  <c r="K31" i="14"/>
  <c r="H14" i="19" l="1"/>
  <c r="O39" i="16"/>
  <c r="O22" i="16"/>
  <c r="O56" i="16"/>
  <c r="N25" i="16"/>
  <c r="O25" i="16"/>
  <c r="O41" i="16"/>
  <c r="O42" i="16"/>
  <c r="O44" i="16"/>
  <c r="O47" i="16"/>
  <c r="O48" i="16"/>
  <c r="O49" i="16"/>
  <c r="O26" i="16"/>
  <c r="N26" i="16"/>
  <c r="O43" i="16"/>
  <c r="O51" i="16"/>
  <c r="O36" i="16"/>
  <c r="O52" i="16"/>
  <c r="O53" i="16"/>
  <c r="O38" i="16"/>
  <c r="O46" i="16"/>
  <c r="O54" i="16"/>
  <c r="N8" i="18"/>
  <c r="N5" i="18"/>
  <c r="N7" i="18"/>
  <c r="N6" i="18"/>
  <c r="N10" i="18"/>
  <c r="N9" i="18"/>
  <c r="N15" i="18"/>
  <c r="N12" i="18"/>
  <c r="N13" i="18"/>
  <c r="N11" i="18"/>
  <c r="O59" i="16"/>
  <c r="O37" i="16"/>
  <c r="O29" i="16"/>
  <c r="O35" i="16"/>
  <c r="O55" i="16"/>
  <c r="O28" i="16"/>
  <c r="O57" i="16"/>
  <c r="O34" i="16"/>
  <c r="O40" i="16"/>
  <c r="O33" i="16"/>
  <c r="O30" i="16"/>
  <c r="O58" i="16"/>
  <c r="O27" i="16"/>
  <c r="O31" i="16"/>
  <c r="O45" i="16"/>
  <c r="O50" i="16"/>
  <c r="O32" i="16"/>
  <c r="N30" i="16"/>
  <c r="N46" i="16"/>
  <c r="N39" i="16"/>
  <c r="N47" i="16"/>
  <c r="N56" i="16"/>
  <c r="N33" i="16"/>
  <c r="N34" i="16"/>
  <c r="N42" i="16"/>
  <c r="N50" i="16"/>
  <c r="N58" i="16"/>
  <c r="N27" i="16"/>
  <c r="N35" i="16"/>
  <c r="N43" i="16"/>
  <c r="N51" i="16"/>
  <c r="N59" i="16"/>
  <c r="N54" i="16"/>
  <c r="N55" i="16"/>
  <c r="N32" i="16"/>
  <c r="N40" i="16"/>
  <c r="N41" i="16"/>
  <c r="N57" i="16"/>
  <c r="N28" i="16"/>
  <c r="N36" i="16"/>
  <c r="N44" i="16"/>
  <c r="N52" i="16"/>
  <c r="N38" i="16"/>
  <c r="N31" i="16"/>
  <c r="N48" i="16"/>
  <c r="N49" i="16"/>
  <c r="N29" i="16"/>
  <c r="N37" i="16"/>
  <c r="N45" i="16"/>
  <c r="N53" i="16"/>
  <c r="K13" i="18"/>
  <c r="O11" i="18" s="1"/>
  <c r="K15" i="18"/>
  <c r="O13" i="18" s="1"/>
  <c r="K10" i="18"/>
  <c r="O8" i="18" s="1"/>
  <c r="K9" i="18"/>
  <c r="O7" i="18" s="1"/>
  <c r="K12" i="18"/>
  <c r="O10" i="18" s="1"/>
  <c r="K17" i="18"/>
  <c r="O15" i="18" s="1"/>
  <c r="K8" i="18"/>
  <c r="O6" i="18" s="1"/>
  <c r="K14" i="18"/>
  <c r="O12" i="18" s="1"/>
  <c r="K11" i="18"/>
  <c r="O9" i="18" s="1"/>
  <c r="K7" i="18"/>
  <c r="O5" i="18" s="1"/>
  <c r="N22" i="16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28" i="15"/>
  <c r="M4" i="15"/>
  <c r="M5" i="15"/>
  <c r="M6" i="15"/>
  <c r="M7" i="15"/>
  <c r="M8" i="15"/>
  <c r="M9" i="15"/>
  <c r="M10" i="15"/>
  <c r="M11" i="15"/>
  <c r="M12" i="15"/>
  <c r="M13" i="15"/>
  <c r="M14" i="15"/>
  <c r="M3" i="15"/>
  <c r="X1" i="15"/>
  <c r="I4" i="14"/>
  <c r="I3" i="14"/>
  <c r="J6" i="16"/>
  <c r="Q12" i="18"/>
  <c r="P8" i="18"/>
  <c r="P25" i="16"/>
  <c r="Q41" i="16"/>
  <c r="P47" i="16"/>
  <c r="Q13" i="18"/>
  <c r="V11" i="18"/>
  <c r="Q9" i="18"/>
  <c r="Q45" i="16"/>
  <c r="U13" i="18"/>
  <c r="V39" i="16"/>
  <c r="V49" i="16"/>
  <c r="V55" i="16"/>
  <c r="V29" i="16"/>
  <c r="U15" i="18"/>
  <c r="P50" i="16"/>
  <c r="V45" i="16"/>
  <c r="P36" i="16"/>
  <c r="Q11" i="18"/>
  <c r="V41" i="16"/>
  <c r="V58" i="16"/>
  <c r="Q53" i="16"/>
  <c r="P22" i="16"/>
  <c r="P30" i="16"/>
  <c r="U11" i="18"/>
  <c r="P54" i="16"/>
  <c r="V59" i="16"/>
  <c r="P58" i="16"/>
  <c r="P49" i="16"/>
  <c r="U52" i="16"/>
  <c r="U42" i="16"/>
  <c r="U45" i="16"/>
  <c r="Q35" i="16"/>
  <c r="Q56" i="16"/>
  <c r="Q42" i="16"/>
  <c r="U7" i="18"/>
  <c r="U48" i="16"/>
  <c r="Q33" i="16"/>
  <c r="Q39" i="16"/>
  <c r="P35" i="16"/>
  <c r="Q46" i="16"/>
  <c r="U40" i="16"/>
  <c r="P10" i="18"/>
  <c r="V52" i="16"/>
  <c r="U10" i="18"/>
  <c r="Q10" i="18"/>
  <c r="U50" i="16"/>
  <c r="P32" i="16"/>
  <c r="U32" i="16"/>
  <c r="Q6" i="18"/>
  <c r="Q57" i="16"/>
  <c r="U22" i="16"/>
  <c r="V43" i="16"/>
  <c r="U36" i="16"/>
  <c r="P41" i="16"/>
  <c r="P51" i="16"/>
  <c r="U34" i="16"/>
  <c r="V56" i="16"/>
  <c r="P29" i="16"/>
  <c r="U47" i="16"/>
  <c r="Q36" i="16"/>
  <c r="V12" i="18"/>
  <c r="Q47" i="16"/>
  <c r="P33" i="16"/>
  <c r="Q34" i="16"/>
  <c r="Q43" i="16"/>
  <c r="V38" i="16"/>
  <c r="U44" i="16"/>
  <c r="U46" i="16"/>
  <c r="P7" i="18"/>
  <c r="U43" i="16"/>
  <c r="U28" i="16"/>
  <c r="V28" i="16"/>
  <c r="V44" i="16"/>
  <c r="P5" i="18"/>
  <c r="P15" i="18"/>
  <c r="V7" i="18"/>
  <c r="P52" i="16"/>
  <c r="V32" i="16"/>
  <c r="P46" i="16"/>
  <c r="V46" i="16"/>
  <c r="V36" i="16"/>
  <c r="V27" i="16"/>
  <c r="V15" i="18"/>
  <c r="Q50" i="16"/>
  <c r="V10" i="18"/>
  <c r="U33" i="16"/>
  <c r="U37" i="16"/>
  <c r="J6" i="18"/>
  <c r="U49" i="16"/>
  <c r="P37" i="16"/>
  <c r="V31" i="16"/>
  <c r="V57" i="16"/>
  <c r="Q44" i="16"/>
  <c r="V9" i="18"/>
  <c r="U58" i="16"/>
  <c r="V5" i="18"/>
  <c r="U29" i="16"/>
  <c r="Q15" i="18"/>
  <c r="U25" i="16"/>
  <c r="Q55" i="16"/>
  <c r="P43" i="16"/>
  <c r="C15" i="19"/>
  <c r="P57" i="16"/>
  <c r="P48" i="16"/>
  <c r="P45" i="16"/>
  <c r="U6" i="18"/>
  <c r="U27" i="16"/>
  <c r="U31" i="16"/>
  <c r="U41" i="16"/>
  <c r="Q49" i="16"/>
  <c r="V51" i="16"/>
  <c r="P6" i="18"/>
  <c r="Q37" i="16"/>
  <c r="V22" i="16"/>
  <c r="P55" i="16"/>
  <c r="V40" i="16"/>
  <c r="U35" i="16"/>
  <c r="Q38" i="16"/>
  <c r="Q30" i="16"/>
  <c r="U26" i="16"/>
  <c r="V34" i="16"/>
  <c r="Q8" i="18"/>
  <c r="P56" i="16"/>
  <c r="P26" i="16"/>
  <c r="Q52" i="16"/>
  <c r="Q26" i="16"/>
  <c r="Q40" i="16"/>
  <c r="Q58" i="16"/>
  <c r="E14" i="19"/>
  <c r="V50" i="16"/>
  <c r="Q7" i="18"/>
  <c r="U39" i="16"/>
  <c r="P42" i="16"/>
  <c r="V13" i="18"/>
  <c r="P27" i="16"/>
  <c r="U38" i="16"/>
  <c r="Q31" i="16"/>
  <c r="P39" i="16"/>
  <c r="V47" i="16"/>
  <c r="Q59" i="16"/>
  <c r="P38" i="16"/>
  <c r="V30" i="16"/>
  <c r="V48" i="16"/>
  <c r="P13" i="18"/>
  <c r="U51" i="16"/>
  <c r="V42" i="16"/>
  <c r="Q51" i="16"/>
  <c r="Q25" i="16"/>
  <c r="U56" i="16"/>
  <c r="U57" i="16"/>
  <c r="U8" i="18"/>
  <c r="U5" i="18"/>
  <c r="P44" i="16"/>
  <c r="U55" i="16"/>
  <c r="Q32" i="16"/>
  <c r="C16" i="19"/>
  <c r="V33" i="16"/>
  <c r="Q28" i="16"/>
  <c r="P59" i="16"/>
  <c r="U9" i="18"/>
  <c r="P11" i="18"/>
  <c r="V54" i="16"/>
  <c r="P9" i="18"/>
  <c r="E15" i="19"/>
  <c r="U59" i="16"/>
  <c r="V8" i="18"/>
  <c r="Q27" i="16"/>
  <c r="V6" i="18"/>
  <c r="Q5" i="18"/>
  <c r="P53" i="16"/>
  <c r="P12" i="18"/>
  <c r="V35" i="16"/>
  <c r="V37" i="16"/>
  <c r="P31" i="16"/>
  <c r="U54" i="16"/>
  <c r="U30" i="16"/>
  <c r="Q48" i="16"/>
  <c r="V26" i="16"/>
  <c r="P40" i="16"/>
  <c r="V25" i="16"/>
  <c r="V53" i="16"/>
  <c r="U12" i="18"/>
  <c r="Q22" i="16"/>
  <c r="Q54" i="16"/>
  <c r="U53" i="16"/>
  <c r="P34" i="16"/>
  <c r="Q29" i="16"/>
  <c r="P28" i="16"/>
  <c r="C17" i="19"/>
  <c r="E16" i="19"/>
  <c r="H17" i="19" l="1"/>
  <c r="H16" i="19"/>
  <c r="H15" i="19"/>
  <c r="K6" i="18"/>
  <c r="O4" i="18" s="1"/>
  <c r="K6" i="16"/>
  <c r="O4" i="16" s="1"/>
  <c r="J4" i="14"/>
  <c r="N4" i="16"/>
  <c r="N4" i="18"/>
  <c r="J3" i="14"/>
  <c r="N28" i="15"/>
  <c r="N29" i="15"/>
  <c r="N30" i="15"/>
  <c r="N31" i="15"/>
  <c r="N32" i="15"/>
  <c r="N59" i="15"/>
  <c r="N58" i="15"/>
  <c r="N57" i="15"/>
  <c r="N49" i="15"/>
  <c r="N48" i="15"/>
  <c r="N47" i="15"/>
  <c r="N54" i="15"/>
  <c r="N53" i="15"/>
  <c r="N52" i="15"/>
  <c r="N44" i="15"/>
  <c r="E17" i="19"/>
  <c r="P52" i="15"/>
  <c r="V31" i="15"/>
  <c r="P31" i="15"/>
  <c r="J3" i="18"/>
  <c r="J3" i="17"/>
  <c r="Q57" i="15"/>
  <c r="U54" i="15"/>
  <c r="U47" i="15"/>
  <c r="Q31" i="15"/>
  <c r="F16" i="19"/>
  <c r="Q58" i="15"/>
  <c r="Q53" i="15"/>
  <c r="V58" i="15"/>
  <c r="P59" i="15"/>
  <c r="P32" i="15"/>
  <c r="P49" i="15"/>
  <c r="U59" i="15"/>
  <c r="U4" i="18"/>
  <c r="Q28" i="15"/>
  <c r="P30" i="15"/>
  <c r="V4" i="16"/>
  <c r="P44" i="15"/>
  <c r="U58" i="15"/>
  <c r="V28" i="15"/>
  <c r="Q59" i="15"/>
  <c r="P58" i="15"/>
  <c r="Q32" i="15"/>
  <c r="V32" i="15"/>
  <c r="U44" i="15"/>
  <c r="F17" i="19"/>
  <c r="F15" i="19"/>
  <c r="J15" i="19" s="1"/>
  <c r="V30" i="15"/>
  <c r="U30" i="15"/>
  <c r="V59" i="15"/>
  <c r="V53" i="15"/>
  <c r="V47" i="15"/>
  <c r="Q48" i="15"/>
  <c r="U4" i="16"/>
  <c r="Q54" i="15"/>
  <c r="F14" i="19"/>
  <c r="U57" i="15"/>
  <c r="P53" i="15"/>
  <c r="V44" i="15"/>
  <c r="U52" i="15"/>
  <c r="C18" i="19"/>
  <c r="Q44" i="15"/>
  <c r="Q52" i="15"/>
  <c r="P47" i="15"/>
  <c r="V48" i="15"/>
  <c r="P57" i="15"/>
  <c r="U49" i="15"/>
  <c r="Q29" i="15"/>
  <c r="U29" i="15"/>
  <c r="P29" i="15"/>
  <c r="U32" i="15"/>
  <c r="J3" i="15"/>
  <c r="Q49" i="15"/>
  <c r="Q47" i="15"/>
  <c r="V49" i="15"/>
  <c r="V52" i="15"/>
  <c r="C19" i="19"/>
  <c r="V4" i="18"/>
  <c r="V57" i="15"/>
  <c r="P54" i="15"/>
  <c r="U53" i="15"/>
  <c r="P48" i="15"/>
  <c r="P4" i="16"/>
  <c r="Q4" i="18"/>
  <c r="P4" i="18"/>
  <c r="U28" i="15"/>
  <c r="Q4" i="16"/>
  <c r="V29" i="15"/>
  <c r="P28" i="15"/>
  <c r="U48" i="15"/>
  <c r="J3" i="16"/>
  <c r="V54" i="15"/>
  <c r="U31" i="15"/>
  <c r="Q30" i="15"/>
  <c r="J14" i="19"/>
  <c r="C20" i="19"/>
  <c r="E19" i="19"/>
  <c r="H20" i="19" l="1"/>
  <c r="H19" i="19"/>
  <c r="H18" i="19"/>
  <c r="M12" i="19"/>
  <c r="M13" i="19"/>
  <c r="K3" i="18"/>
  <c r="O3" i="18" s="1"/>
  <c r="K3" i="17"/>
  <c r="O3" i="17" s="1"/>
  <c r="K3" i="16"/>
  <c r="O3" i="16" s="1"/>
  <c r="K3" i="15"/>
  <c r="O3" i="15" s="1"/>
  <c r="N3" i="17"/>
  <c r="N3" i="16"/>
  <c r="N3" i="18"/>
  <c r="N3" i="15"/>
  <c r="T13" i="19"/>
  <c r="C21" i="19"/>
  <c r="V3" i="15"/>
  <c r="V3" i="17"/>
  <c r="P3" i="18"/>
  <c r="U3" i="15"/>
  <c r="E21" i="19"/>
  <c r="U3" i="17"/>
  <c r="N12" i="19"/>
  <c r="Q3" i="18"/>
  <c r="P3" i="15"/>
  <c r="V3" i="18"/>
  <c r="P3" i="17"/>
  <c r="Y3" i="16" a="1"/>
  <c r="U3" i="16"/>
  <c r="S13" i="19"/>
  <c r="T12" i="19"/>
  <c r="P3" i="16"/>
  <c r="E20" i="19"/>
  <c r="E18" i="19"/>
  <c r="F18" i="19" s="1"/>
  <c r="Z3" i="16" a="1"/>
  <c r="O13" i="19"/>
  <c r="Q3" i="17"/>
  <c r="U3" i="18"/>
  <c r="Q3" i="15"/>
  <c r="S12" i="19"/>
  <c r="Q3" i="16"/>
  <c r="J17" i="19"/>
  <c r="N13" i="19"/>
  <c r="Z3" i="17" a="1"/>
  <c r="J16" i="19"/>
  <c r="O12" i="19"/>
  <c r="F19" i="19"/>
  <c r="V3" i="16"/>
  <c r="H21" i="19" l="1"/>
  <c r="Z26" i="17"/>
  <c r="Z52" i="17"/>
  <c r="Z39" i="17"/>
  <c r="Z3" i="17"/>
  <c r="Z29" i="17"/>
  <c r="Z7" i="17"/>
  <c r="Z18" i="17"/>
  <c r="Z35" i="17"/>
  <c r="Z14" i="17"/>
  <c r="Z9" i="17"/>
  <c r="Z12" i="17"/>
  <c r="Z46" i="17"/>
  <c r="Z24" i="17"/>
  <c r="Z27" i="17"/>
  <c r="Z44" i="17"/>
  <c r="Z31" i="17"/>
  <c r="Z50" i="17"/>
  <c r="Z21" i="17"/>
  <c r="Z16" i="17"/>
  <c r="Z41" i="17"/>
  <c r="Z6" i="17"/>
  <c r="Z48" i="17"/>
  <c r="Z4" i="17"/>
  <c r="Z38" i="17"/>
  <c r="Z33" i="17"/>
  <c r="Z36" i="17"/>
  <c r="Z23" i="17"/>
  <c r="Z42" i="17"/>
  <c r="Z13" i="17"/>
  <c r="Z8" i="17"/>
  <c r="Z10" i="17"/>
  <c r="Z45" i="17"/>
  <c r="Z40" i="17"/>
  <c r="Z51" i="17"/>
  <c r="Z30" i="17"/>
  <c r="Z25" i="17"/>
  <c r="Z19" i="17"/>
  <c r="Z15" i="17"/>
  <c r="Z34" i="17"/>
  <c r="Z5" i="17"/>
  <c r="Z47" i="17"/>
  <c r="Z11" i="17"/>
  <c r="Z28" i="17"/>
  <c r="Z32" i="17"/>
  <c r="Z43" i="17"/>
  <c r="Z22" i="17"/>
  <c r="Z17" i="17"/>
  <c r="Z20" i="17"/>
  <c r="Z37" i="17"/>
  <c r="Z49" i="17"/>
  <c r="M14" i="19"/>
  <c r="M15" i="19"/>
  <c r="Z26" i="16"/>
  <c r="Z27" i="16"/>
  <c r="Z28" i="16"/>
  <c r="Z37" i="16"/>
  <c r="Z46" i="16"/>
  <c r="Z55" i="16"/>
  <c r="Z9" i="16"/>
  <c r="Z34" i="16"/>
  <c r="Z35" i="16"/>
  <c r="Z36" i="16"/>
  <c r="Z45" i="16"/>
  <c r="Z54" i="16"/>
  <c r="Z8" i="16"/>
  <c r="Z17" i="16"/>
  <c r="Z42" i="16"/>
  <c r="Z43" i="16"/>
  <c r="Z44" i="16"/>
  <c r="Z53" i="16"/>
  <c r="Z7" i="16"/>
  <c r="Z16" i="16"/>
  <c r="Z25" i="16"/>
  <c r="Z11" i="16"/>
  <c r="Z5" i="16"/>
  <c r="Z38" i="16"/>
  <c r="Z40" i="16"/>
  <c r="Z19" i="16"/>
  <c r="Z13" i="16"/>
  <c r="Z15" i="16"/>
  <c r="Z48" i="16"/>
  <c r="Z51" i="16"/>
  <c r="Z21" i="16"/>
  <c r="Z23" i="16"/>
  <c r="Z56" i="16"/>
  <c r="Z10" i="16"/>
  <c r="Z59" i="16"/>
  <c r="Z29" i="16"/>
  <c r="Z31" i="16"/>
  <c r="Z33" i="16"/>
  <c r="Z18" i="16"/>
  <c r="Z6" i="16"/>
  <c r="Z41" i="16"/>
  <c r="Z12" i="16"/>
  <c r="Z47" i="16"/>
  <c r="Z58" i="16"/>
  <c r="Z22" i="16"/>
  <c r="Z57" i="16"/>
  <c r="Z30" i="16"/>
  <c r="Z4" i="16"/>
  <c r="Z39" i="16"/>
  <c r="Z50" i="16"/>
  <c r="Z14" i="16"/>
  <c r="Z49" i="16"/>
  <c r="Z20" i="16"/>
  <c r="Z24" i="16"/>
  <c r="Z3" i="16"/>
  <c r="Z52" i="16"/>
  <c r="Z32" i="16"/>
  <c r="Y18" i="16"/>
  <c r="Y19" i="16"/>
  <c r="Y20" i="16"/>
  <c r="Y29" i="16"/>
  <c r="Y38" i="16"/>
  <c r="Y47" i="16"/>
  <c r="Y56" i="16"/>
  <c r="Y26" i="16"/>
  <c r="Y27" i="16"/>
  <c r="Y28" i="16"/>
  <c r="Y37" i="16"/>
  <c r="Y46" i="16"/>
  <c r="Y55" i="16"/>
  <c r="Y9" i="16"/>
  <c r="Y34" i="16"/>
  <c r="Y35" i="16"/>
  <c r="Y36" i="16"/>
  <c r="Y45" i="16"/>
  <c r="Y54" i="16"/>
  <c r="Y42" i="16"/>
  <c r="Y4" i="16"/>
  <c r="Y6" i="16"/>
  <c r="Y39" i="16"/>
  <c r="Y25" i="16"/>
  <c r="Y50" i="16"/>
  <c r="Y12" i="16"/>
  <c r="Y14" i="16"/>
  <c r="Y8" i="16"/>
  <c r="Y33" i="16"/>
  <c r="Y58" i="16"/>
  <c r="Y44" i="16"/>
  <c r="Y22" i="16"/>
  <c r="Y16" i="16"/>
  <c r="Y41" i="16"/>
  <c r="Y3" i="16"/>
  <c r="Y52" i="16"/>
  <c r="Y30" i="16"/>
  <c r="Y24" i="16"/>
  <c r="Y49" i="16"/>
  <c r="Y5" i="16"/>
  <c r="Y7" i="16"/>
  <c r="Y43" i="16"/>
  <c r="Y15" i="16"/>
  <c r="Y21" i="16"/>
  <c r="Y11" i="16"/>
  <c r="Y32" i="16"/>
  <c r="Y57" i="16"/>
  <c r="Y13" i="16"/>
  <c r="Y40" i="16"/>
  <c r="Y51" i="16"/>
  <c r="Y23" i="16"/>
  <c r="Y48" i="16"/>
  <c r="Y10" i="16"/>
  <c r="Y59" i="16"/>
  <c r="Y53" i="16"/>
  <c r="Y31" i="16"/>
  <c r="Y17" i="16"/>
  <c r="N41" i="15"/>
  <c r="N46" i="15"/>
  <c r="N61" i="15"/>
  <c r="N63" i="15"/>
  <c r="N51" i="15"/>
  <c r="N56" i="15"/>
  <c r="N43" i="15"/>
  <c r="N4" i="17"/>
  <c r="N14" i="17"/>
  <c r="N12" i="17"/>
  <c r="N9" i="17"/>
  <c r="N13" i="17"/>
  <c r="N10" i="17"/>
  <c r="N7" i="17"/>
  <c r="N8" i="17"/>
  <c r="N11" i="17"/>
  <c r="N5" i="17"/>
  <c r="N6" i="17"/>
  <c r="N42" i="15"/>
  <c r="N35" i="15"/>
  <c r="N60" i="15"/>
  <c r="N34" i="15"/>
  <c r="N45" i="15"/>
  <c r="N33" i="15"/>
  <c r="N62" i="15"/>
  <c r="N39" i="15"/>
  <c r="N64" i="15"/>
  <c r="N65" i="15"/>
  <c r="N50" i="15"/>
  <c r="N40" i="15"/>
  <c r="N55" i="15"/>
  <c r="N38" i="15"/>
  <c r="N37" i="15"/>
  <c r="N36" i="15"/>
  <c r="D45" i="1"/>
  <c r="I60" i="1"/>
  <c r="AB10" i="16"/>
  <c r="AA46" i="16"/>
  <c r="AA45" i="16"/>
  <c r="AC24" i="16"/>
  <c r="AE14" i="16"/>
  <c r="AE27" i="16"/>
  <c r="Q63" i="15"/>
  <c r="AB31" i="16"/>
  <c r="AE45" i="16"/>
  <c r="Q51" i="15"/>
  <c r="T14" i="19"/>
  <c r="AA13" i="16"/>
  <c r="AC34" i="16"/>
  <c r="AC46" i="16"/>
  <c r="AB44" i="16"/>
  <c r="AC26" i="16"/>
  <c r="AA28" i="16"/>
  <c r="AD52" i="16"/>
  <c r="AA29" i="16"/>
  <c r="AE59" i="16"/>
  <c r="AA38" i="16"/>
  <c r="O14" i="19"/>
  <c r="AA39" i="16"/>
  <c r="P46" i="15"/>
  <c r="AC7" i="16"/>
  <c r="V4" i="17"/>
  <c r="AA9" i="16"/>
  <c r="AC27" i="16"/>
  <c r="Q61" i="15"/>
  <c r="AC32" i="16"/>
  <c r="V63" i="15"/>
  <c r="AE44" i="16"/>
  <c r="AD4" i="16"/>
  <c r="O15" i="19"/>
  <c r="AC18" i="16"/>
  <c r="AC51" i="16"/>
  <c r="AD21" i="16"/>
  <c r="U4" i="17"/>
  <c r="AC33" i="16"/>
  <c r="AB7" i="16"/>
  <c r="AD34" i="16"/>
  <c r="AA26" i="16"/>
  <c r="AA25" i="16"/>
  <c r="Q41" i="15"/>
  <c r="AB36" i="16"/>
  <c r="AE4" i="16"/>
  <c r="P56" i="15"/>
  <c r="AC54" i="16"/>
  <c r="AB30" i="16"/>
  <c r="V61" i="15"/>
  <c r="AD57" i="16"/>
  <c r="AD28" i="16"/>
  <c r="AE25" i="16"/>
  <c r="AA4" i="16"/>
  <c r="V46" i="15"/>
  <c r="AD44" i="16"/>
  <c r="AE30" i="16"/>
  <c r="AD43" i="16"/>
  <c r="AB35" i="16"/>
  <c r="AC25" i="16"/>
  <c r="AA42" i="16"/>
  <c r="U56" i="15"/>
  <c r="AB53" i="16"/>
  <c r="AC35" i="16"/>
  <c r="AD25" i="16"/>
  <c r="AD5" i="16"/>
  <c r="AC14" i="16"/>
  <c r="AA48" i="16"/>
  <c r="AA15" i="16"/>
  <c r="AE16" i="16"/>
  <c r="AC41" i="16"/>
  <c r="AC42" i="16"/>
  <c r="V51" i="15"/>
  <c r="AE7" i="16"/>
  <c r="S14" i="19"/>
  <c r="AC5" i="16"/>
  <c r="AE21" i="16"/>
  <c r="AA27" i="16"/>
  <c r="AC59" i="16"/>
  <c r="AE41" i="16"/>
  <c r="AA23" i="16"/>
  <c r="N15" i="19"/>
  <c r="AD45" i="16"/>
  <c r="AA12" i="16"/>
  <c r="AC29" i="16"/>
  <c r="AE10" i="16"/>
  <c r="AA18" i="16"/>
  <c r="Q56" i="15"/>
  <c r="AB45" i="16"/>
  <c r="AB5" i="16"/>
  <c r="AC31" i="16"/>
  <c r="AC11" i="16"/>
  <c r="AA47" i="16"/>
  <c r="AA5" i="16"/>
  <c r="AD9" i="16"/>
  <c r="AD32" i="16"/>
  <c r="N14" i="19"/>
  <c r="AA59" i="16"/>
  <c r="AA31" i="16"/>
  <c r="AD37" i="16"/>
  <c r="AB20" i="16"/>
  <c r="AC4" i="16"/>
  <c r="AA56" i="16"/>
  <c r="AB59" i="16"/>
  <c r="AE17" i="16"/>
  <c r="AE50" i="16"/>
  <c r="AC39" i="16"/>
  <c r="AA20" i="16"/>
  <c r="AA16" i="16"/>
  <c r="AE51" i="16"/>
  <c r="AE28" i="16"/>
  <c r="AA14" i="16"/>
  <c r="AC49" i="16"/>
  <c r="AD49" i="16"/>
  <c r="AC13" i="16"/>
  <c r="AA43" i="16"/>
  <c r="AE52" i="16"/>
  <c r="AA30" i="16"/>
  <c r="AC44" i="16"/>
  <c r="F20" i="19"/>
  <c r="AE36" i="16"/>
  <c r="AE47" i="16"/>
  <c r="AA58" i="16"/>
  <c r="AB41" i="16"/>
  <c r="AE32" i="16"/>
  <c r="AB42" i="16"/>
  <c r="AD47" i="16"/>
  <c r="AB47" i="16"/>
  <c r="P4" i="17"/>
  <c r="AE5" i="16"/>
  <c r="AD13" i="16"/>
  <c r="P51" i="15"/>
  <c r="AC53" i="16"/>
  <c r="AD31" i="16"/>
  <c r="AB23" i="16"/>
  <c r="AD51" i="16"/>
  <c r="AD14" i="16"/>
  <c r="AA19" i="16"/>
  <c r="AB9" i="16"/>
  <c r="AA50" i="16"/>
  <c r="AB40" i="16"/>
  <c r="J19" i="19"/>
  <c r="AD39" i="16"/>
  <c r="AE20" i="16"/>
  <c r="AC55" i="16"/>
  <c r="Q4" i="17"/>
  <c r="AB58" i="16"/>
  <c r="AA37" i="16"/>
  <c r="U63" i="15"/>
  <c r="AA22" i="16"/>
  <c r="AD38" i="16"/>
  <c r="AB26" i="16"/>
  <c r="C22" i="19"/>
  <c r="AC45" i="16"/>
  <c r="Q46" i="15"/>
  <c r="AA33" i="16"/>
  <c r="AD33" i="16"/>
  <c r="AE46" i="16"/>
  <c r="AB4" i="16"/>
  <c r="AE26" i="16"/>
  <c r="AE6" i="16"/>
  <c r="AC56" i="16"/>
  <c r="AC52" i="16"/>
  <c r="AC17" i="16"/>
  <c r="Q43" i="15"/>
  <c r="AB27" i="16"/>
  <c r="AB13" i="16"/>
  <c r="AE8" i="16"/>
  <c r="AA34" i="16"/>
  <c r="AB6" i="16"/>
  <c r="AB57" i="16"/>
  <c r="AD12" i="16"/>
  <c r="AC22" i="16"/>
  <c r="V56" i="15"/>
  <c r="AD7" i="16"/>
  <c r="J18" i="19"/>
  <c r="AA24" i="16"/>
  <c r="AD50" i="16"/>
  <c r="AD59" i="16"/>
  <c r="AA11" i="16"/>
  <c r="AD20" i="16"/>
  <c r="AA52" i="16"/>
  <c r="AD30" i="16"/>
  <c r="AE48" i="16"/>
  <c r="AD8" i="16"/>
  <c r="AC57" i="16"/>
  <c r="AE56" i="16"/>
  <c r="AC28" i="16"/>
  <c r="AA57" i="16"/>
  <c r="AD6" i="16"/>
  <c r="AB8" i="16"/>
  <c r="AC30" i="16"/>
  <c r="AC20" i="16"/>
  <c r="AE58" i="16"/>
  <c r="AA6" i="16"/>
  <c r="AB32" i="16"/>
  <c r="AE55" i="16"/>
  <c r="AA49" i="16"/>
  <c r="AA40" i="16"/>
  <c r="AC21" i="16"/>
  <c r="J20" i="19"/>
  <c r="AB55" i="16"/>
  <c r="AB37" i="16"/>
  <c r="P41" i="15"/>
  <c r="AB29" i="16"/>
  <c r="AB25" i="16"/>
  <c r="AD55" i="16"/>
  <c r="AA10" i="16"/>
  <c r="AE49" i="16"/>
  <c r="AA36" i="16"/>
  <c r="AE53" i="16"/>
  <c r="U46" i="15"/>
  <c r="AA54" i="16"/>
  <c r="AE33" i="16"/>
  <c r="AE15" i="16"/>
  <c r="AE57" i="16"/>
  <c r="P43" i="15"/>
  <c r="AB28" i="16"/>
  <c r="V41" i="15"/>
  <c r="U61" i="15"/>
  <c r="AE9" i="16"/>
  <c r="AD56" i="16"/>
  <c r="AD54" i="16"/>
  <c r="P61" i="15"/>
  <c r="AC9" i="16"/>
  <c r="AB24" i="16"/>
  <c r="AB43" i="16"/>
  <c r="AB33" i="16"/>
  <c r="AE11" i="16"/>
  <c r="AE31" i="16"/>
  <c r="AB17" i="16"/>
  <c r="AE19" i="16"/>
  <c r="AA53" i="16"/>
  <c r="AC50" i="16"/>
  <c r="AB14" i="16"/>
  <c r="AC15" i="16"/>
  <c r="AB11" i="16"/>
  <c r="AB46" i="16"/>
  <c r="AA51" i="16"/>
  <c r="AE12" i="16"/>
  <c r="AD48" i="16"/>
  <c r="AE34" i="16"/>
  <c r="AB50" i="16"/>
  <c r="AD18" i="16"/>
  <c r="AC40" i="16"/>
  <c r="AB49" i="16"/>
  <c r="AB39" i="16"/>
  <c r="AD29" i="16"/>
  <c r="AE39" i="16"/>
  <c r="AE24" i="16"/>
  <c r="T15" i="19"/>
  <c r="S15" i="19"/>
  <c r="AD26" i="16"/>
  <c r="AB56" i="16"/>
  <c r="AC43" i="16"/>
  <c r="AC36" i="16"/>
  <c r="AA55" i="16"/>
  <c r="AC8" i="16"/>
  <c r="AA35" i="16"/>
  <c r="AD24" i="16"/>
  <c r="AD36" i="16"/>
  <c r="U51" i="15"/>
  <c r="AC19" i="16"/>
  <c r="AB15" i="16"/>
  <c r="AB22" i="16"/>
  <c r="AB38" i="16"/>
  <c r="AC58" i="16"/>
  <c r="AD10" i="16"/>
  <c r="AE35" i="16"/>
  <c r="AD42" i="16"/>
  <c r="AE43" i="16"/>
  <c r="AC16" i="16"/>
  <c r="AD22" i="16"/>
  <c r="AC6" i="16"/>
  <c r="AC47" i="16"/>
  <c r="AD15" i="16"/>
  <c r="AD23" i="16"/>
  <c r="AB18" i="16"/>
  <c r="AD46" i="16"/>
  <c r="AE29" i="16"/>
  <c r="AD35" i="16"/>
  <c r="AE18" i="16"/>
  <c r="U41" i="15"/>
  <c r="AC23" i="16"/>
  <c r="Y3" i="17" a="1"/>
  <c r="AB54" i="16"/>
  <c r="AE37" i="16"/>
  <c r="AB52" i="16"/>
  <c r="AD17" i="16"/>
  <c r="AC38" i="16"/>
  <c r="AB51" i="16"/>
  <c r="AA32" i="16"/>
  <c r="AB16" i="16"/>
  <c r="AD58" i="16"/>
  <c r="AD53" i="16"/>
  <c r="AE42" i="16"/>
  <c r="AB19" i="16"/>
  <c r="AB21" i="16"/>
  <c r="AD11" i="16"/>
  <c r="AA21" i="16"/>
  <c r="AE13" i="16"/>
  <c r="AD41" i="16"/>
  <c r="AC10" i="16"/>
  <c r="AB34" i="16"/>
  <c r="AB48" i="16"/>
  <c r="V43" i="15"/>
  <c r="AD16" i="16"/>
  <c r="AD19" i="16"/>
  <c r="AA7" i="16"/>
  <c r="AE54" i="16"/>
  <c r="AE22" i="16"/>
  <c r="AC37" i="16"/>
  <c r="P63" i="15"/>
  <c r="AB12" i="16"/>
  <c r="AA17" i="16"/>
  <c r="U43" i="15"/>
  <c r="AC48" i="16"/>
  <c r="AE40" i="16"/>
  <c r="AA8" i="16"/>
  <c r="AC12" i="16"/>
  <c r="AE23" i="16"/>
  <c r="AE38" i="16"/>
  <c r="AD40" i="16"/>
  <c r="AA44" i="16"/>
  <c r="AD27" i="16"/>
  <c r="F21" i="19"/>
  <c r="J21" i="19" s="1"/>
  <c r="AA41" i="16"/>
  <c r="E22" i="19"/>
  <c r="C23" i="19"/>
  <c r="E23" i="19"/>
  <c r="C24" i="19"/>
  <c r="C25" i="19"/>
  <c r="E24" i="19"/>
  <c r="E25" i="19"/>
  <c r="C26" i="19"/>
  <c r="C27" i="19"/>
  <c r="E26" i="19"/>
  <c r="C28" i="19"/>
  <c r="E27" i="19"/>
  <c r="C29" i="19"/>
  <c r="E28" i="19"/>
  <c r="C30" i="19"/>
  <c r="E29" i="19"/>
  <c r="C31" i="19"/>
  <c r="E30" i="19"/>
  <c r="C32" i="19"/>
  <c r="E31" i="19"/>
  <c r="C33" i="19"/>
  <c r="E32" i="19"/>
  <c r="C34" i="19"/>
  <c r="E33" i="19"/>
  <c r="C35" i="19"/>
  <c r="E34" i="19"/>
  <c r="H34" i="19" l="1"/>
  <c r="H33" i="19"/>
  <c r="H32" i="19"/>
  <c r="H31" i="19"/>
  <c r="H30" i="19"/>
  <c r="H29" i="19"/>
  <c r="H28" i="19"/>
  <c r="H27" i="19"/>
  <c r="H26" i="19"/>
  <c r="H25" i="19"/>
  <c r="H24" i="19"/>
  <c r="H23" i="19"/>
  <c r="H22" i="19"/>
  <c r="H35" i="19"/>
  <c r="M19" i="19"/>
  <c r="M17" i="19"/>
  <c r="M16" i="19"/>
  <c r="M18" i="19"/>
  <c r="Y10" i="17"/>
  <c r="Y36" i="17"/>
  <c r="Y23" i="17"/>
  <c r="Y30" i="17"/>
  <c r="Y24" i="17"/>
  <c r="Y52" i="17"/>
  <c r="Y12" i="17"/>
  <c r="Y27" i="17"/>
  <c r="Y6" i="17"/>
  <c r="Y42" i="17"/>
  <c r="Y8" i="17"/>
  <c r="Y49" i="17"/>
  <c r="Y39" i="17"/>
  <c r="Y11" i="17"/>
  <c r="Y44" i="17"/>
  <c r="Y48" i="17"/>
  <c r="Y13" i="17"/>
  <c r="Y7" i="17"/>
  <c r="Y43" i="17"/>
  <c r="Y3" i="17"/>
  <c r="Y31" i="17"/>
  <c r="Y4" i="17"/>
  <c r="Y46" i="17"/>
  <c r="Y32" i="17"/>
  <c r="Y22" i="17"/>
  <c r="Y33" i="17"/>
  <c r="Y50" i="17"/>
  <c r="Y38" i="17"/>
  <c r="Y37" i="17"/>
  <c r="Y34" i="17"/>
  <c r="Y17" i="17"/>
  <c r="Y18" i="17"/>
  <c r="Y29" i="17"/>
  <c r="Y15" i="17"/>
  <c r="Y5" i="17"/>
  <c r="Y25" i="17"/>
  <c r="Y28" i="17"/>
  <c r="Y47" i="17"/>
  <c r="Y19" i="17"/>
  <c r="Y45" i="17"/>
  <c r="Y51" i="17"/>
  <c r="Y16" i="17"/>
  <c r="Y26" i="17"/>
  <c r="Y9" i="17"/>
  <c r="Y21" i="17"/>
  <c r="Y35" i="17"/>
  <c r="Y20" i="17"/>
  <c r="Y40" i="17"/>
  <c r="Y41" i="17"/>
  <c r="Y14" i="17"/>
  <c r="X53" i="16"/>
  <c r="X57" i="16"/>
  <c r="X49" i="16"/>
  <c r="X44" i="16"/>
  <c r="X39" i="16"/>
  <c r="X34" i="16"/>
  <c r="X56" i="16"/>
  <c r="X59" i="16"/>
  <c r="X32" i="16"/>
  <c r="X24" i="16"/>
  <c r="X58" i="16"/>
  <c r="X6" i="16"/>
  <c r="X9" i="16"/>
  <c r="X47" i="16"/>
  <c r="X10" i="16"/>
  <c r="X11" i="16"/>
  <c r="X30" i="16"/>
  <c r="X33" i="16"/>
  <c r="X4" i="16"/>
  <c r="X55" i="16"/>
  <c r="X38" i="16"/>
  <c r="X48" i="16"/>
  <c r="X21" i="16"/>
  <c r="X52" i="16"/>
  <c r="X8" i="16"/>
  <c r="X42" i="16"/>
  <c r="X46" i="16"/>
  <c r="X29" i="16"/>
  <c r="X23" i="16"/>
  <c r="X15" i="16"/>
  <c r="X14" i="16"/>
  <c r="X54" i="16"/>
  <c r="X37" i="16"/>
  <c r="X20" i="16"/>
  <c r="X51" i="16"/>
  <c r="X43" i="16"/>
  <c r="X41" i="16"/>
  <c r="X12" i="16"/>
  <c r="X45" i="16"/>
  <c r="X28" i="16"/>
  <c r="X19" i="16"/>
  <c r="X17" i="16"/>
  <c r="X40" i="16"/>
  <c r="X7" i="16"/>
  <c r="X16" i="16"/>
  <c r="X50" i="16"/>
  <c r="X36" i="16"/>
  <c r="X27" i="16"/>
  <c r="X18" i="16"/>
  <c r="X31" i="16"/>
  <c r="X13" i="16"/>
  <c r="X5" i="16"/>
  <c r="X22" i="16"/>
  <c r="X25" i="16"/>
  <c r="X35" i="16"/>
  <c r="X26" i="16"/>
  <c r="D60" i="1"/>
  <c r="F33" i="19"/>
  <c r="F25" i="19"/>
  <c r="C36" i="19"/>
  <c r="AC35" i="17"/>
  <c r="AE47" i="17"/>
  <c r="AD18" i="17"/>
  <c r="AD15" i="17"/>
  <c r="AA8" i="17"/>
  <c r="AB28" i="17"/>
  <c r="AC25" i="17"/>
  <c r="AD45" i="17"/>
  <c r="AE52" i="17"/>
  <c r="AB35" i="17"/>
  <c r="AB24" i="17"/>
  <c r="AE20" i="17"/>
  <c r="AD33" i="17"/>
  <c r="AB21" i="17"/>
  <c r="AA7" i="17"/>
  <c r="AA40" i="17"/>
  <c r="AD32" i="17"/>
  <c r="AE48" i="17"/>
  <c r="AD39" i="17"/>
  <c r="AB11" i="17"/>
  <c r="O17" i="19"/>
  <c r="E35" i="19"/>
  <c r="AC11" i="17"/>
  <c r="N16" i="19"/>
  <c r="AA4" i="17"/>
  <c r="AA50" i="17"/>
  <c r="AB25" i="17"/>
  <c r="AD12" i="17"/>
  <c r="AA41" i="17"/>
  <c r="AE37" i="17"/>
  <c r="AE35" i="17"/>
  <c r="AD29" i="17"/>
  <c r="AD50" i="17"/>
  <c r="F32" i="19"/>
  <c r="AB14" i="17"/>
  <c r="AD34" i="17"/>
  <c r="AB5" i="17"/>
  <c r="AB18" i="17"/>
  <c r="AE14" i="17"/>
  <c r="AD21" i="17"/>
  <c r="AC21" i="17"/>
  <c r="AB9" i="17"/>
  <c r="AD43" i="17"/>
  <c r="AA14" i="17"/>
  <c r="AA20" i="17"/>
  <c r="AE36" i="17"/>
  <c r="AE26" i="17"/>
  <c r="AC8" i="17"/>
  <c r="AA11" i="17"/>
  <c r="F35" i="19"/>
  <c r="AD44" i="17"/>
  <c r="AE32" i="17"/>
  <c r="AA33" i="17"/>
  <c r="T17" i="19"/>
  <c r="AA10" i="17"/>
  <c r="AA46" i="17"/>
  <c r="AA28" i="17"/>
  <c r="AE19" i="17"/>
  <c r="AE7" i="17"/>
  <c r="AE15" i="17"/>
  <c r="AA9" i="17"/>
  <c r="AA17" i="17"/>
  <c r="AC13" i="17"/>
  <c r="AD23" i="17"/>
  <c r="AB52" i="17"/>
  <c r="AA13" i="17"/>
  <c r="F24" i="19"/>
  <c r="AA47" i="17"/>
  <c r="AE5" i="17"/>
  <c r="AA24" i="17"/>
  <c r="AC20" i="17"/>
  <c r="AE8" i="17"/>
  <c r="AA21" i="17"/>
  <c r="AC4" i="17"/>
  <c r="AD40" i="17"/>
  <c r="AB17" i="17"/>
  <c r="AA34" i="17"/>
  <c r="AE16" i="17"/>
  <c r="AD22" i="17"/>
  <c r="AA30" i="17"/>
  <c r="AA48" i="17"/>
  <c r="AC18" i="17"/>
  <c r="AB39" i="17"/>
  <c r="AE13" i="17"/>
  <c r="AC36" i="17"/>
  <c r="AC28" i="17"/>
  <c r="AB29" i="17"/>
  <c r="AD19" i="17"/>
  <c r="AC49" i="17"/>
  <c r="AD10" i="17"/>
  <c r="T19" i="19"/>
  <c r="AA45" i="17"/>
  <c r="AA29" i="17"/>
  <c r="C37" i="19"/>
  <c r="F31" i="19"/>
  <c r="F23" i="19"/>
  <c r="J23" i="19" s="1"/>
  <c r="AD35" i="17"/>
  <c r="AE21" i="17"/>
  <c r="AA35" i="17"/>
  <c r="AB36" i="17"/>
  <c r="AD17" i="17"/>
  <c r="AB22" i="17"/>
  <c r="AD48" i="17"/>
  <c r="J32" i="19"/>
  <c r="AC7" i="17"/>
  <c r="AE38" i="17"/>
  <c r="AC17" i="17"/>
  <c r="S17" i="19"/>
  <c r="AB32" i="17"/>
  <c r="AE18" i="17"/>
  <c r="AB6" i="17"/>
  <c r="AA49" i="17"/>
  <c r="AC16" i="17"/>
  <c r="AA12" i="17"/>
  <c r="AB37" i="17"/>
  <c r="AD25" i="17"/>
  <c r="AD11" i="17"/>
  <c r="AC29" i="17"/>
  <c r="AD36" i="17"/>
  <c r="AE29" i="17"/>
  <c r="AD5" i="17"/>
  <c r="AD26" i="17"/>
  <c r="AC48" i="17"/>
  <c r="AE31" i="17"/>
  <c r="AD37" i="17"/>
  <c r="AD16" i="17"/>
  <c r="AD7" i="17"/>
  <c r="AC27" i="17"/>
  <c r="AA38" i="17"/>
  <c r="AA31" i="17"/>
  <c r="S16" i="19"/>
  <c r="F30" i="19"/>
  <c r="J30" i="19" s="1"/>
  <c r="F22" i="19"/>
  <c r="AC12" i="17"/>
  <c r="AE24" i="17"/>
  <c r="AA25" i="17"/>
  <c r="AA43" i="17"/>
  <c r="AE4" i="17"/>
  <c r="AE43" i="17"/>
  <c r="AE46" i="17"/>
  <c r="AC24" i="17"/>
  <c r="AD38" i="17"/>
  <c r="AD27" i="17"/>
  <c r="AB40" i="17"/>
  <c r="AD52" i="17"/>
  <c r="AE27" i="17"/>
  <c r="AE51" i="17"/>
  <c r="AB26" i="17"/>
  <c r="AE49" i="17"/>
  <c r="AB49" i="17"/>
  <c r="AB34" i="17"/>
  <c r="AB7" i="17"/>
  <c r="AE11" i="17"/>
  <c r="AA16" i="17"/>
  <c r="AD13" i="17"/>
  <c r="AE28" i="17"/>
  <c r="AC37" i="17"/>
  <c r="AE50" i="17"/>
  <c r="AD49" i="17"/>
  <c r="AE45" i="17"/>
  <c r="E36" i="19"/>
  <c r="AC6" i="17"/>
  <c r="AC38" i="17"/>
  <c r="N18" i="19"/>
  <c r="AE23" i="17"/>
  <c r="J33" i="19"/>
  <c r="AC30" i="17"/>
  <c r="AB8" i="17"/>
  <c r="AE17" i="17"/>
  <c r="AD6" i="17"/>
  <c r="AD24" i="17"/>
  <c r="AD4" i="17"/>
  <c r="AE10" i="17"/>
  <c r="AE22" i="17"/>
  <c r="T18" i="19"/>
  <c r="AC42" i="17"/>
  <c r="AE25" i="17"/>
  <c r="AA44" i="17"/>
  <c r="AB41" i="17"/>
  <c r="AB30" i="17"/>
  <c r="AC22" i="17"/>
  <c r="AB43" i="17"/>
  <c r="AD51" i="17"/>
  <c r="AC46" i="17"/>
  <c r="AB15" i="17"/>
  <c r="AC19" i="17"/>
  <c r="AD20" i="17"/>
  <c r="AA27" i="17"/>
  <c r="AD8" i="17"/>
  <c r="F29" i="19"/>
  <c r="J29" i="19" s="1"/>
  <c r="AD46" i="17"/>
  <c r="AA42" i="17"/>
  <c r="AC50" i="17"/>
  <c r="AC9" i="17"/>
  <c r="AA36" i="17"/>
  <c r="AB20" i="17"/>
  <c r="AD9" i="17"/>
  <c r="N17" i="19"/>
  <c r="AC52" i="17"/>
  <c r="AC31" i="17"/>
  <c r="AB51" i="17"/>
  <c r="AB10" i="17"/>
  <c r="AE41" i="17"/>
  <c r="AB38" i="17"/>
  <c r="AC23" i="17"/>
  <c r="J24" i="19"/>
  <c r="F28" i="19"/>
  <c r="J28" i="19" s="1"/>
  <c r="AA51" i="17"/>
  <c r="AD42" i="17"/>
  <c r="F27" i="19"/>
  <c r="AE42" i="17"/>
  <c r="AA37" i="17"/>
  <c r="AC41" i="17"/>
  <c r="AA19" i="17"/>
  <c r="AA39" i="17"/>
  <c r="AB33" i="17"/>
  <c r="AC14" i="17"/>
  <c r="AB12" i="17"/>
  <c r="AA6" i="17"/>
  <c r="AA52" i="17"/>
  <c r="AE9" i="17"/>
  <c r="AC34" i="17"/>
  <c r="AB13" i="17"/>
  <c r="AC15" i="17"/>
  <c r="AA23" i="17"/>
  <c r="AD14" i="17"/>
  <c r="S19" i="19"/>
  <c r="AB45" i="17"/>
  <c r="AA15" i="17"/>
  <c r="AB50" i="17"/>
  <c r="AC40" i="17"/>
  <c r="AD47" i="17"/>
  <c r="AD30" i="17"/>
  <c r="AB4" i="17"/>
  <c r="AB42" i="17"/>
  <c r="AE6" i="17"/>
  <c r="AE40" i="17"/>
  <c r="AC33" i="17"/>
  <c r="S18" i="19"/>
  <c r="AB44" i="17"/>
  <c r="J25" i="19"/>
  <c r="F26" i="19"/>
  <c r="J26" i="19" s="1"/>
  <c r="AD28" i="17"/>
  <c r="AB31" i="17"/>
  <c r="AE30" i="17"/>
  <c r="AB23" i="17"/>
  <c r="O16" i="19"/>
  <c r="AD41" i="17"/>
  <c r="AE34" i="17"/>
  <c r="AE12" i="17"/>
  <c r="AA26" i="17"/>
  <c r="AB47" i="17"/>
  <c r="AE39" i="17"/>
  <c r="J31" i="19"/>
  <c r="N19" i="19"/>
  <c r="AA32" i="17"/>
  <c r="AC32" i="17"/>
  <c r="AC43" i="17"/>
  <c r="J22" i="19"/>
  <c r="AC5" i="17"/>
  <c r="AB46" i="17"/>
  <c r="AC45" i="17"/>
  <c r="AC51" i="17"/>
  <c r="AC47" i="17"/>
  <c r="AC26" i="17"/>
  <c r="O19" i="19"/>
  <c r="AC10" i="17"/>
  <c r="AE33" i="17"/>
  <c r="AD31" i="17"/>
  <c r="AB27" i="17"/>
  <c r="O18" i="19"/>
  <c r="AB16" i="17"/>
  <c r="AA5" i="17"/>
  <c r="AC39" i="17"/>
  <c r="AE44" i="17"/>
  <c r="AC44" i="17"/>
  <c r="E37" i="19"/>
  <c r="F34" i="19"/>
  <c r="AA18" i="17"/>
  <c r="AB19" i="17"/>
  <c r="J27" i="19"/>
  <c r="AB48" i="17"/>
  <c r="T16" i="19"/>
  <c r="AA22" i="17"/>
  <c r="H37" i="19" l="1"/>
  <c r="M22" i="19"/>
  <c r="M21" i="19"/>
  <c r="M23" i="19"/>
  <c r="M26" i="19"/>
  <c r="M25" i="19"/>
  <c r="M20" i="19"/>
  <c r="M28" i="19"/>
  <c r="M29" i="19"/>
  <c r="M24" i="19"/>
  <c r="M31" i="19"/>
  <c r="M30" i="19"/>
  <c r="M27" i="19"/>
  <c r="H36" i="19"/>
  <c r="J22" i="14"/>
  <c r="J20" i="14"/>
  <c r="J23" i="14"/>
  <c r="J21" i="14"/>
  <c r="F37" i="19"/>
  <c r="N28" i="19"/>
  <c r="P36" i="15"/>
  <c r="O21" i="19"/>
  <c r="Q10" i="17"/>
  <c r="P40" i="15"/>
  <c r="J35" i="19"/>
  <c r="S27" i="19"/>
  <c r="Q39" i="15"/>
  <c r="U9" i="17"/>
  <c r="L21" i="14"/>
  <c r="N29" i="19"/>
  <c r="Q65" i="15"/>
  <c r="Q22" i="14"/>
  <c r="V37" i="15"/>
  <c r="O23" i="19"/>
  <c r="P10" i="17"/>
  <c r="V13" i="17"/>
  <c r="N26" i="19"/>
  <c r="T25" i="19"/>
  <c r="V34" i="15"/>
  <c r="V55" i="15"/>
  <c r="F36" i="19"/>
  <c r="V5" i="17"/>
  <c r="N21" i="19"/>
  <c r="Q13" i="17"/>
  <c r="U37" i="15"/>
  <c r="P13" i="17"/>
  <c r="T27" i="19"/>
  <c r="Q40" i="15"/>
  <c r="U10" i="17"/>
  <c r="P14" i="17"/>
  <c r="S29" i="19"/>
  <c r="V36" i="15"/>
  <c r="Q37" i="15"/>
  <c r="T23" i="19"/>
  <c r="P65" i="15"/>
  <c r="Q14" i="17"/>
  <c r="P45" i="15"/>
  <c r="Q21" i="14"/>
  <c r="U38" i="15"/>
  <c r="Q62" i="15"/>
  <c r="P50" i="15"/>
  <c r="Q33" i="15"/>
  <c r="P7" i="17"/>
  <c r="S20" i="19"/>
  <c r="T29" i="19"/>
  <c r="V33" i="15"/>
  <c r="N23" i="19"/>
  <c r="Q38" i="15"/>
  <c r="O25" i="19"/>
  <c r="Q45" i="15"/>
  <c r="P22" i="14"/>
  <c r="P37" i="15"/>
  <c r="Q60" i="15"/>
  <c r="N31" i="19"/>
  <c r="P62" i="15"/>
  <c r="N27" i="19"/>
  <c r="N20" i="19"/>
  <c r="O29" i="19"/>
  <c r="S24" i="19"/>
  <c r="V6" i="17"/>
  <c r="U65" i="15"/>
  <c r="N25" i="19"/>
  <c r="U42" i="15"/>
  <c r="P35" i="15"/>
  <c r="U50" i="15"/>
  <c r="O31" i="19"/>
  <c r="U11" i="17"/>
  <c r="P20" i="14"/>
  <c r="O20" i="19"/>
  <c r="O22" i="19"/>
  <c r="Q9" i="17"/>
  <c r="U45" i="15"/>
  <c r="N30" i="19"/>
  <c r="K23" i="14"/>
  <c r="Q35" i="15"/>
  <c r="K21" i="14"/>
  <c r="V39" i="15"/>
  <c r="Q5" i="17"/>
  <c r="V11" i="17"/>
  <c r="P64" i="15"/>
  <c r="T20" i="19"/>
  <c r="U39" i="15"/>
  <c r="N24" i="19"/>
  <c r="U5" i="17"/>
  <c r="O26" i="19"/>
  <c r="Q36" i="15"/>
  <c r="P34" i="15"/>
  <c r="T28" i="19"/>
  <c r="V64" i="15"/>
  <c r="S31" i="19"/>
  <c r="Q23" i="14"/>
  <c r="V42" i="15"/>
  <c r="T22" i="19"/>
  <c r="P42" i="15"/>
  <c r="U7" i="17"/>
  <c r="Q64" i="15"/>
  <c r="S26" i="19"/>
  <c r="U36" i="15"/>
  <c r="V9" i="17"/>
  <c r="Q8" i="17"/>
  <c r="P11" i="17"/>
  <c r="U34" i="15"/>
  <c r="Q50" i="15"/>
  <c r="N22" i="19"/>
  <c r="V7" i="17"/>
  <c r="P39" i="15"/>
  <c r="U6" i="17"/>
  <c r="T26" i="19"/>
  <c r="V35" i="15"/>
  <c r="K20" i="14"/>
  <c r="P55" i="15"/>
  <c r="S25" i="19"/>
  <c r="Q42" i="15"/>
  <c r="S21" i="19"/>
  <c r="V38" i="15"/>
  <c r="O27" i="19"/>
  <c r="U60" i="15"/>
  <c r="V40" i="15"/>
  <c r="P8" i="17"/>
  <c r="T30" i="19"/>
  <c r="J36" i="19"/>
  <c r="T21" i="19"/>
  <c r="Q20" i="14"/>
  <c r="P60" i="15"/>
  <c r="L20" i="14"/>
  <c r="V10" i="17"/>
  <c r="P5" i="17"/>
  <c r="O30" i="19"/>
  <c r="U40" i="15"/>
  <c r="V8" i="17"/>
  <c r="J37" i="19"/>
  <c r="U55" i="15"/>
  <c r="L22" i="14"/>
  <c r="J34" i="19"/>
  <c r="U33" i="15"/>
  <c r="T24" i="19"/>
  <c r="U62" i="15"/>
  <c r="V65" i="15"/>
  <c r="V12" i="17"/>
  <c r="S28" i="19"/>
  <c r="P9" i="17"/>
  <c r="T31" i="19"/>
  <c r="Q6" i="17"/>
  <c r="Q7" i="17"/>
  <c r="S22" i="19"/>
  <c r="Q34" i="15"/>
  <c r="V62" i="15"/>
  <c r="S30" i="19"/>
  <c r="V14" i="17"/>
  <c r="U8" i="17"/>
  <c r="K22" i="14"/>
  <c r="V45" i="15"/>
  <c r="P33" i="15"/>
  <c r="P12" i="17"/>
  <c r="P6" i="17"/>
  <c r="U64" i="15"/>
  <c r="O24" i="19"/>
  <c r="Q55" i="15"/>
  <c r="Q12" i="17"/>
  <c r="V60" i="15"/>
  <c r="O28" i="19"/>
  <c r="P23" i="14"/>
  <c r="U35" i="15"/>
  <c r="V50" i="15"/>
  <c r="P38" i="15"/>
  <c r="U14" i="17"/>
  <c r="L23" i="14"/>
  <c r="S23" i="19"/>
  <c r="U12" i="17"/>
  <c r="P21" i="14"/>
  <c r="U13" i="17"/>
  <c r="Q11" i="17"/>
  <c r="M33" i="19" l="1"/>
  <c r="M35" i="19"/>
  <c r="M34" i="19"/>
  <c r="M32" i="19"/>
  <c r="X4" i="17"/>
  <c r="X5" i="17"/>
  <c r="X22" i="17"/>
  <c r="X38" i="17"/>
  <c r="X42" i="17"/>
  <c r="X20" i="17"/>
  <c r="X11" i="17"/>
  <c r="X29" i="17"/>
  <c r="X46" i="17"/>
  <c r="X25" i="17"/>
  <c r="X36" i="17"/>
  <c r="X49" i="17"/>
  <c r="X50" i="17"/>
  <c r="X7" i="17"/>
  <c r="X31" i="17"/>
  <c r="X9" i="17"/>
  <c r="X13" i="17"/>
  <c r="X35" i="17"/>
  <c r="X51" i="17"/>
  <c r="X16" i="17"/>
  <c r="X17" i="17"/>
  <c r="X33" i="17"/>
  <c r="X10" i="17"/>
  <c r="X45" i="17"/>
  <c r="X24" i="17"/>
  <c r="X27" i="17"/>
  <c r="X43" i="17"/>
  <c r="X52" i="17"/>
  <c r="X39" i="17"/>
  <c r="X28" i="17"/>
  <c r="X26" i="17"/>
  <c r="X21" i="17"/>
  <c r="X48" i="17"/>
  <c r="X30" i="17"/>
  <c r="X6" i="17"/>
  <c r="X15" i="17"/>
  <c r="X8" i="17"/>
  <c r="X44" i="17"/>
  <c r="X32" i="17"/>
  <c r="X40" i="17"/>
  <c r="X47" i="17"/>
  <c r="X37" i="17"/>
  <c r="X23" i="17"/>
  <c r="X19" i="17"/>
  <c r="X14" i="17"/>
  <c r="X12" i="17"/>
  <c r="X41" i="17"/>
  <c r="X18" i="17"/>
  <c r="X34" i="17"/>
  <c r="J12" i="14"/>
  <c r="J6" i="14"/>
  <c r="J14" i="14"/>
  <c r="J16" i="14"/>
  <c r="J9" i="14"/>
  <c r="J19" i="14"/>
  <c r="J18" i="14"/>
  <c r="J10" i="14"/>
  <c r="J7" i="14"/>
  <c r="J13" i="14"/>
  <c r="J17" i="14"/>
  <c r="J11" i="14"/>
  <c r="J15" i="14"/>
  <c r="J8" i="14"/>
  <c r="Q17" i="14"/>
  <c r="T35" i="19"/>
  <c r="K10" i="14"/>
  <c r="L10" i="14"/>
  <c r="K17" i="14"/>
  <c r="P8" i="14"/>
  <c r="P18" i="14"/>
  <c r="K14" i="14"/>
  <c r="L18" i="14"/>
  <c r="K18" i="14"/>
  <c r="P14" i="14"/>
  <c r="Q7" i="14"/>
  <c r="Q13" i="14"/>
  <c r="P17" i="14"/>
  <c r="O34" i="19"/>
  <c r="W3" i="19" a="1"/>
  <c r="O32" i="19"/>
  <c r="Q9" i="14"/>
  <c r="K6" i="14"/>
  <c r="P7" i="14"/>
  <c r="Q14" i="14"/>
  <c r="L17" i="14"/>
  <c r="P13" i="14"/>
  <c r="O33" i="19"/>
  <c r="L6" i="14"/>
  <c r="L12" i="14"/>
  <c r="L7" i="14"/>
  <c r="K12" i="14"/>
  <c r="L13" i="14"/>
  <c r="Q12" i="14"/>
  <c r="K13" i="14"/>
  <c r="S33" i="19"/>
  <c r="P12" i="14"/>
  <c r="K7" i="14"/>
  <c r="L9" i="14"/>
  <c r="T34" i="19"/>
  <c r="S35" i="19"/>
  <c r="P19" i="14"/>
  <c r="T32" i="19"/>
  <c r="N35" i="19"/>
  <c r="Q6" i="14"/>
  <c r="O35" i="19"/>
  <c r="N34" i="19"/>
  <c r="Q8" i="14"/>
  <c r="K11" i="14"/>
  <c r="P9" i="14"/>
  <c r="N33" i="19"/>
  <c r="L11" i="14"/>
  <c r="P16" i="14"/>
  <c r="Q11" i="14"/>
  <c r="K15" i="14"/>
  <c r="Q19" i="14"/>
  <c r="L8" i="14"/>
  <c r="P10" i="14"/>
  <c r="N32" i="19"/>
  <c r="Q18" i="14"/>
  <c r="L15" i="14"/>
  <c r="T33" i="19"/>
  <c r="K19" i="14"/>
  <c r="P15" i="14"/>
  <c r="Q10" i="14"/>
  <c r="P11" i="14"/>
  <c r="Q15" i="14"/>
  <c r="P6" i="14"/>
  <c r="K16" i="14"/>
  <c r="Q16" i="14"/>
  <c r="L16" i="14"/>
  <c r="K9" i="14"/>
  <c r="S32" i="19"/>
  <c r="L14" i="14"/>
  <c r="L19" i="14"/>
  <c r="S34" i="19"/>
  <c r="K8" i="14"/>
  <c r="W71" i="19" l="1"/>
  <c r="W67" i="19"/>
  <c r="W33" i="19"/>
  <c r="W8" i="19"/>
  <c r="W36" i="19"/>
  <c r="W42" i="19"/>
  <c r="W37" i="19"/>
  <c r="W56" i="19"/>
  <c r="W21" i="19"/>
  <c r="W60" i="19"/>
  <c r="W53" i="19"/>
  <c r="W22" i="19"/>
  <c r="W24" i="19"/>
  <c r="W15" i="19"/>
  <c r="W14" i="19"/>
  <c r="W28" i="19"/>
  <c r="W49" i="19"/>
  <c r="W9" i="19"/>
  <c r="W20" i="19"/>
  <c r="W4" i="19"/>
  <c r="W44" i="19"/>
  <c r="W3" i="19"/>
  <c r="W30" i="19"/>
  <c r="W62" i="19"/>
  <c r="W72" i="19"/>
  <c r="W50" i="19"/>
  <c r="W18" i="19"/>
  <c r="W68" i="19"/>
  <c r="W47" i="19"/>
  <c r="W52" i="19"/>
  <c r="W48" i="19"/>
  <c r="W31" i="19"/>
  <c r="W43" i="19"/>
  <c r="W65" i="19"/>
  <c r="W29" i="19"/>
  <c r="W11" i="19"/>
  <c r="W34" i="19"/>
  <c r="W23" i="19"/>
  <c r="W41" i="19"/>
  <c r="W69" i="19"/>
  <c r="W64" i="19"/>
  <c r="W58" i="19"/>
  <c r="W39" i="19"/>
  <c r="W19" i="19"/>
  <c r="W27" i="19"/>
  <c r="W51" i="19"/>
  <c r="W61" i="19"/>
  <c r="W45" i="19"/>
  <c r="W17" i="19"/>
  <c r="W12" i="19"/>
  <c r="W38" i="19"/>
  <c r="W57" i="19"/>
  <c r="W10" i="19"/>
  <c r="W16" i="19"/>
  <c r="W40" i="19"/>
  <c r="W13" i="19"/>
  <c r="W54" i="19"/>
  <c r="W32" i="19"/>
  <c r="W59" i="19"/>
  <c r="W46" i="19"/>
  <c r="W35" i="19"/>
  <c r="W7" i="19"/>
  <c r="W26" i="19"/>
  <c r="W5" i="19"/>
  <c r="W66" i="19"/>
  <c r="W55" i="19"/>
  <c r="W63" i="19"/>
  <c r="W6" i="19"/>
  <c r="W25" i="19"/>
  <c r="W70" i="19"/>
  <c r="N4" i="15"/>
  <c r="I16" i="15" l="1"/>
  <c r="I15" i="15"/>
  <c r="I14" i="15"/>
  <c r="I13" i="15"/>
  <c r="I12" i="15"/>
  <c r="I11" i="15"/>
  <c r="I10" i="15"/>
  <c r="I9" i="15"/>
  <c r="I8" i="15"/>
  <c r="I7" i="15"/>
  <c r="X21" i="19"/>
  <c r="AB58" i="19"/>
  <c r="AA8" i="19"/>
  <c r="AB34" i="19"/>
  <c r="Z37" i="19"/>
  <c r="AA69" i="19"/>
  <c r="Y60" i="19"/>
  <c r="AB29" i="19"/>
  <c r="X6" i="19"/>
  <c r="Z23" i="19"/>
  <c r="AB28" i="19"/>
  <c r="X66" i="19"/>
  <c r="Y38" i="19"/>
  <c r="AA23" i="19"/>
  <c r="Y43" i="19"/>
  <c r="AA4" i="19"/>
  <c r="AA30" i="19"/>
  <c r="AA50" i="19"/>
  <c r="Z24" i="19"/>
  <c r="AB62" i="19"/>
  <c r="AB20" i="19"/>
  <c r="AB14" i="19"/>
  <c r="X41" i="19"/>
  <c r="Z59" i="19"/>
  <c r="AB13" i="19"/>
  <c r="AA24" i="19"/>
  <c r="X62" i="19"/>
  <c r="AB18" i="19"/>
  <c r="AA52" i="19"/>
  <c r="X43" i="19"/>
  <c r="X4" i="19"/>
  <c r="Z30" i="19"/>
  <c r="AA58" i="19"/>
  <c r="AB25" i="19"/>
  <c r="Z50" i="19"/>
  <c r="AA27" i="19"/>
  <c r="AB50" i="19"/>
  <c r="AA7" i="19"/>
  <c r="AB27" i="19"/>
  <c r="AB54" i="19"/>
  <c r="Z6" i="19"/>
  <c r="X13" i="19"/>
  <c r="Y57" i="19"/>
  <c r="Z27" i="19"/>
  <c r="AB24" i="19"/>
  <c r="AA31" i="19"/>
  <c r="Y8" i="19"/>
  <c r="Y7" i="19"/>
  <c r="AB19" i="19"/>
  <c r="AA61" i="19"/>
  <c r="Y27" i="19"/>
  <c r="X45" i="19"/>
  <c r="AB61" i="19"/>
  <c r="AA28" i="19"/>
  <c r="Z16" i="19"/>
  <c r="AA34" i="19"/>
  <c r="Z38" i="19"/>
  <c r="Y16" i="19"/>
  <c r="Z57" i="19"/>
  <c r="Z55" i="19"/>
  <c r="Z51" i="19"/>
  <c r="X15" i="19"/>
  <c r="X55" i="19"/>
  <c r="AB15" i="19"/>
  <c r="X44" i="19"/>
  <c r="Z21" i="19"/>
  <c r="Z64" i="19"/>
  <c r="AA68" i="19"/>
  <c r="AA71" i="19"/>
  <c r="X63" i="19"/>
  <c r="AB37" i="19"/>
  <c r="AA9" i="19"/>
  <c r="AB30" i="19"/>
  <c r="Z36" i="19"/>
  <c r="X56" i="19"/>
  <c r="X25" i="19"/>
  <c r="AB68" i="19"/>
  <c r="Y6" i="19"/>
  <c r="AA35" i="19"/>
  <c r="X71" i="19"/>
  <c r="AA60" i="19"/>
  <c r="AA56" i="19"/>
  <c r="X30" i="19"/>
  <c r="AB7" i="19"/>
  <c r="Y40" i="19"/>
  <c r="Z58" i="19"/>
  <c r="X35" i="19"/>
  <c r="AB35" i="19"/>
  <c r="X53" i="19"/>
  <c r="X42" i="19"/>
  <c r="AB49" i="19"/>
  <c r="AB8" i="19"/>
  <c r="AA14" i="19"/>
  <c r="AB65" i="19"/>
  <c r="Y61" i="19"/>
  <c r="AB47" i="19"/>
  <c r="X18" i="19"/>
  <c r="AA57" i="19"/>
  <c r="X72" i="19"/>
  <c r="X12" i="19"/>
  <c r="AB64" i="19"/>
  <c r="X48" i="19"/>
  <c r="X47" i="19"/>
  <c r="Z69" i="19"/>
  <c r="Y26" i="19"/>
  <c r="Y30" i="19"/>
  <c r="AB31" i="19"/>
  <c r="AB55" i="19"/>
  <c r="AA67" i="19"/>
  <c r="AB66" i="19"/>
  <c r="X57" i="19"/>
  <c r="AA40" i="19"/>
  <c r="AA32" i="19"/>
  <c r="X10" i="19"/>
  <c r="Z71" i="19"/>
  <c r="AA6" i="19"/>
  <c r="AB32" i="19"/>
  <c r="Z5" i="19"/>
  <c r="X16" i="19"/>
  <c r="Y44" i="19"/>
  <c r="AA66" i="19"/>
  <c r="AB39" i="19"/>
  <c r="Z66" i="19"/>
  <c r="Y55" i="19"/>
  <c r="X5" i="19"/>
  <c r="Y69" i="19"/>
  <c r="AB26" i="19"/>
  <c r="X19" i="19"/>
  <c r="Y28" i="19"/>
  <c r="Z70" i="19"/>
  <c r="Z67" i="19"/>
  <c r="AB6" i="19"/>
  <c r="Y64" i="19"/>
  <c r="Z35" i="19"/>
  <c r="AB33" i="19"/>
  <c r="AA20" i="19"/>
  <c r="AA22" i="19"/>
  <c r="Y10" i="19"/>
  <c r="X9" i="19"/>
  <c r="Y37" i="19"/>
  <c r="Y24" i="19"/>
  <c r="AB42" i="19"/>
  <c r="AB72" i="19"/>
  <c r="AA36" i="19"/>
  <c r="Z39" i="19"/>
  <c r="AB41" i="19"/>
  <c r="Z9" i="19"/>
  <c r="X51" i="19"/>
  <c r="Z17" i="19"/>
  <c r="Z19" i="19"/>
  <c r="X40" i="19"/>
  <c r="AB53" i="19"/>
  <c r="AA13" i="19"/>
  <c r="X23" i="19"/>
  <c r="Z41" i="19"/>
  <c r="Z52" i="19"/>
  <c r="X14" i="19"/>
  <c r="AA12" i="19"/>
  <c r="AB45" i="19"/>
  <c r="AA51" i="19"/>
  <c r="X17" i="19"/>
  <c r="X27" i="19"/>
  <c r="Z8" i="19"/>
  <c r="AB40" i="19"/>
  <c r="AB59" i="19"/>
  <c r="X31" i="19"/>
  <c r="Z46" i="19"/>
  <c r="AA64" i="19"/>
  <c r="Z49" i="19"/>
  <c r="AB67" i="19"/>
  <c r="Z33" i="19"/>
  <c r="Z20" i="19"/>
  <c r="Z40" i="19"/>
  <c r="AB21" i="19"/>
  <c r="Z60" i="19"/>
  <c r="X36" i="19"/>
  <c r="AA46" i="19"/>
  <c r="Y72" i="19"/>
  <c r="X32" i="19"/>
  <c r="Z4" i="19"/>
  <c r="Y14" i="19"/>
  <c r="Y13" i="19"/>
  <c r="AB9" i="19"/>
  <c r="AA38" i="19"/>
  <c r="Z7" i="19"/>
  <c r="AB60" i="19"/>
  <c r="AA54" i="19"/>
  <c r="AB12" i="19"/>
  <c r="X59" i="19"/>
  <c r="Z68" i="19"/>
  <c r="Y45" i="19"/>
  <c r="Y54" i="19"/>
  <c r="Z61" i="19"/>
  <c r="Y12" i="19"/>
  <c r="Z48" i="19"/>
  <c r="Y9" i="19"/>
  <c r="Z44" i="19"/>
  <c r="AA55" i="19"/>
  <c r="Y35" i="19"/>
  <c r="AB48" i="19"/>
  <c r="Y65" i="19"/>
  <c r="AB44" i="19"/>
  <c r="AA45" i="19"/>
  <c r="Y4" i="19"/>
  <c r="X60" i="19"/>
  <c r="X33" i="19"/>
  <c r="Y21" i="19"/>
  <c r="Z62" i="19"/>
  <c r="AA5" i="19"/>
  <c r="Z54" i="19"/>
  <c r="Y22" i="19"/>
  <c r="X37" i="19"/>
  <c r="AB36" i="19"/>
  <c r="X29" i="19"/>
  <c r="Y53" i="19"/>
  <c r="Z29" i="19"/>
  <c r="Y70" i="19"/>
  <c r="AA43" i="19"/>
  <c r="Y17" i="19"/>
  <c r="AA19" i="19"/>
  <c r="AA41" i="19"/>
  <c r="X58" i="19"/>
  <c r="X34" i="19"/>
  <c r="Z13" i="19"/>
  <c r="Y19" i="19"/>
  <c r="X65" i="19"/>
  <c r="Z31" i="19"/>
  <c r="Y52" i="19"/>
  <c r="AB17" i="19"/>
  <c r="Y5" i="19"/>
  <c r="Z34" i="19"/>
  <c r="AB52" i="19"/>
  <c r="Y11" i="19"/>
  <c r="AA65" i="19"/>
  <c r="Y39" i="19"/>
  <c r="Y29" i="19"/>
  <c r="X8" i="19"/>
  <c r="Y41" i="19"/>
  <c r="X52" i="19"/>
  <c r="AB23" i="19"/>
  <c r="Z18" i="19"/>
  <c r="AA15" i="19"/>
  <c r="AA72" i="19"/>
  <c r="AB4" i="19"/>
  <c r="Y48" i="19"/>
  <c r="Z32" i="19"/>
  <c r="Z56" i="19"/>
  <c r="Z10" i="19"/>
  <c r="Y59" i="19"/>
  <c r="Y67" i="19"/>
  <c r="AB22" i="19"/>
  <c r="AA25" i="19"/>
  <c r="AB16" i="19"/>
  <c r="Z26" i="19"/>
  <c r="AA10" i="19"/>
  <c r="Z22" i="19"/>
  <c r="AA59" i="19"/>
  <c r="AB5" i="19"/>
  <c r="X20" i="19"/>
  <c r="AA70" i="19"/>
  <c r="AA29" i="19"/>
  <c r="Y56" i="19"/>
  <c r="AA33" i="19"/>
  <c r="X61" i="19"/>
  <c r="Y47" i="19"/>
  <c r="Y42" i="19"/>
  <c r="Y50" i="19"/>
  <c r="AB51" i="19"/>
  <c r="X50" i="19"/>
  <c r="Y20" i="19"/>
  <c r="X11" i="19"/>
  <c r="X69" i="19"/>
  <c r="Z45" i="19"/>
  <c r="Z14" i="19"/>
  <c r="AB38" i="19"/>
  <c r="X24" i="19"/>
  <c r="Z28" i="19"/>
  <c r="Z53" i="19"/>
  <c r="Z42" i="19"/>
  <c r="Z72" i="19"/>
  <c r="AB10" i="19"/>
  <c r="X39" i="19"/>
  <c r="AB11" i="19"/>
  <c r="Z12" i="19"/>
  <c r="Y32" i="19"/>
  <c r="AA48" i="19"/>
  <c r="AA39" i="19"/>
  <c r="X54" i="19"/>
  <c r="AB57" i="19"/>
  <c r="Y63" i="19"/>
  <c r="X28" i="19"/>
  <c r="AB71" i="19"/>
  <c r="X7" i="19"/>
  <c r="Y18" i="19"/>
  <c r="AB56" i="19"/>
  <c r="AA42" i="19"/>
  <c r="X70" i="19"/>
  <c r="AA26" i="19"/>
  <c r="Y51" i="19"/>
  <c r="AB46" i="19"/>
  <c r="Y25" i="19"/>
  <c r="AB70" i="19"/>
  <c r="X67" i="19"/>
  <c r="Z15" i="19"/>
  <c r="Y46" i="19"/>
  <c r="Y58" i="19"/>
  <c r="Y23" i="19"/>
  <c r="X68" i="19"/>
  <c r="AA49" i="19"/>
  <c r="Y31" i="19"/>
  <c r="X49" i="19"/>
  <c r="AA37" i="19"/>
  <c r="Z47" i="19"/>
  <c r="AB63" i="19"/>
  <c r="AA62" i="19"/>
  <c r="Y49" i="19"/>
  <c r="Y68" i="19"/>
  <c r="AB43" i="19"/>
  <c r="AA53" i="19"/>
  <c r="X64" i="19"/>
  <c r="Z25" i="19"/>
  <c r="AA11" i="19"/>
  <c r="Y34" i="19"/>
  <c r="Y36" i="19"/>
  <c r="Y71" i="19"/>
  <c r="AA21" i="19"/>
  <c r="X38" i="19"/>
  <c r="Z65" i="19"/>
  <c r="AA44" i="19"/>
  <c r="Y66" i="19"/>
  <c r="Y15" i="19"/>
  <c r="AA18" i="19"/>
  <c r="AA63" i="19"/>
  <c r="X46" i="19"/>
  <c r="AA16" i="19"/>
  <c r="X26" i="19"/>
  <c r="Y33" i="19"/>
  <c r="Z63" i="19"/>
  <c r="AA47" i="19"/>
  <c r="AA17" i="19"/>
  <c r="Z43" i="19"/>
  <c r="Z11" i="19"/>
  <c r="Y62" i="19"/>
  <c r="X22" i="19"/>
  <c r="AB69" i="19"/>
  <c r="AA3" i="16"/>
  <c r="L3" i="14"/>
  <c r="P3" i="14"/>
  <c r="AG2" i="17" a="1"/>
  <c r="Z3" i="19"/>
  <c r="AB3" i="19"/>
  <c r="I70" i="1"/>
  <c r="AB3" i="16"/>
  <c r="I61" i="1"/>
  <c r="Y3" i="19"/>
  <c r="C69" i="1"/>
  <c r="AD3" i="17"/>
  <c r="X3" i="19"/>
  <c r="U4" i="15"/>
  <c r="AC3" i="17"/>
  <c r="AE3" i="17"/>
  <c r="C7" i="15"/>
  <c r="E7" i="15" s="1"/>
  <c r="K3" i="14"/>
  <c r="D61" i="1"/>
  <c r="AA3" i="19"/>
  <c r="C68" i="1"/>
  <c r="H68" i="1"/>
  <c r="D55" i="1"/>
  <c r="Q4" i="15"/>
  <c r="Q4" i="14"/>
  <c r="Q3" i="14"/>
  <c r="K4" i="14"/>
  <c r="D46" i="1"/>
  <c r="H69" i="1"/>
  <c r="C54" i="1"/>
  <c r="L4" i="14"/>
  <c r="AC3" i="16"/>
  <c r="P4" i="15"/>
  <c r="D70" i="1"/>
  <c r="V4" i="15"/>
  <c r="AB3" i="17"/>
  <c r="AE3" i="16"/>
  <c r="P4" i="14"/>
  <c r="AA3" i="17"/>
  <c r="AD3" i="16"/>
  <c r="V22" i="19" l="1"/>
  <c r="V26" i="19"/>
  <c r="V46" i="19"/>
  <c r="V38" i="19"/>
  <c r="V64" i="19"/>
  <c r="V49" i="19"/>
  <c r="V68" i="19"/>
  <c r="V67" i="19"/>
  <c r="V70" i="19"/>
  <c r="V7" i="19"/>
  <c r="V28" i="19"/>
  <c r="V54" i="19"/>
  <c r="V39" i="19"/>
  <c r="V24" i="19"/>
  <c r="V69" i="19"/>
  <c r="V11" i="19"/>
  <c r="V50" i="19"/>
  <c r="V61" i="19"/>
  <c r="V20" i="19"/>
  <c r="V52" i="19"/>
  <c r="V8" i="19"/>
  <c r="V65" i="19"/>
  <c r="V34" i="19"/>
  <c r="V58" i="19"/>
  <c r="V29" i="19"/>
  <c r="V37" i="19"/>
  <c r="V33" i="19"/>
  <c r="V60" i="19"/>
  <c r="V59" i="19"/>
  <c r="V32" i="19"/>
  <c r="V36" i="19"/>
  <c r="V31" i="19"/>
  <c r="V27" i="19"/>
  <c r="V17" i="19"/>
  <c r="V14" i="19"/>
  <c r="V23" i="19"/>
  <c r="V40" i="19"/>
  <c r="V51" i="19"/>
  <c r="V9" i="19"/>
  <c r="V19" i="19"/>
  <c r="V5" i="19"/>
  <c r="V16" i="19"/>
  <c r="V10" i="19"/>
  <c r="V57" i="19"/>
  <c r="V47" i="19"/>
  <c r="V48" i="19"/>
  <c r="V12" i="19"/>
  <c r="V72" i="19"/>
  <c r="V18" i="19"/>
  <c r="V42" i="19"/>
  <c r="V53" i="19"/>
  <c r="V35" i="19"/>
  <c r="V30" i="19"/>
  <c r="V71" i="19"/>
  <c r="V25" i="19"/>
  <c r="V56" i="19"/>
  <c r="V63" i="19"/>
  <c r="V44" i="19"/>
  <c r="V55" i="19"/>
  <c r="V15" i="19"/>
  <c r="V45" i="19"/>
  <c r="V13" i="19"/>
  <c r="V4" i="19"/>
  <c r="V43" i="19"/>
  <c r="V62" i="19"/>
  <c r="V41" i="19"/>
  <c r="V66" i="19"/>
  <c r="V6" i="19"/>
  <c r="V21" i="19"/>
  <c r="H7" i="15"/>
  <c r="AG9" i="17"/>
  <c r="AL9" i="17" s="1"/>
  <c r="AG18" i="17"/>
  <c r="AL18" i="17" s="1"/>
  <c r="AG27" i="17"/>
  <c r="AL27" i="17" s="1"/>
  <c r="AG36" i="17"/>
  <c r="AL36" i="17" s="1"/>
  <c r="AG45" i="17"/>
  <c r="AL45" i="17" s="1"/>
  <c r="AG15" i="17"/>
  <c r="AL15" i="17" s="1"/>
  <c r="AG32" i="17"/>
  <c r="AL32" i="17" s="1"/>
  <c r="AG51" i="17"/>
  <c r="AL51" i="17" s="1"/>
  <c r="AG4" i="17"/>
  <c r="AL4" i="17" s="1"/>
  <c r="AG12" i="17"/>
  <c r="AL12" i="17" s="1"/>
  <c r="AG20" i="17"/>
  <c r="AL20" i="17" s="1"/>
  <c r="AG28" i="17"/>
  <c r="AL28" i="17" s="1"/>
  <c r="AG17" i="17"/>
  <c r="AL17" i="17" s="1"/>
  <c r="AG26" i="17"/>
  <c r="AL26" i="17" s="1"/>
  <c r="AG35" i="17"/>
  <c r="AL35" i="17" s="1"/>
  <c r="AG44" i="17"/>
  <c r="AL44" i="17" s="1"/>
  <c r="AG6" i="17"/>
  <c r="AL6" i="17" s="1"/>
  <c r="AG23" i="17"/>
  <c r="AL23" i="17" s="1"/>
  <c r="AG40" i="17"/>
  <c r="AL40" i="17" s="1"/>
  <c r="AG42" i="17"/>
  <c r="AL42" i="17" s="1"/>
  <c r="AG5" i="17"/>
  <c r="AL5" i="17" s="1"/>
  <c r="AG39" i="17"/>
  <c r="AL39" i="17" s="1"/>
  <c r="AG41" i="17"/>
  <c r="AL41" i="17" s="1"/>
  <c r="AG13" i="17"/>
  <c r="AL13" i="17" s="1"/>
  <c r="AG30" i="17"/>
  <c r="AL30" i="17" s="1"/>
  <c r="AG47" i="17"/>
  <c r="AL47" i="17" s="1"/>
  <c r="AG3" i="17"/>
  <c r="AG8" i="17"/>
  <c r="AL8" i="17" s="1"/>
  <c r="AG2" i="17"/>
  <c r="AG29" i="17"/>
  <c r="AL29" i="17" s="1"/>
  <c r="AG16" i="17"/>
  <c r="AL16" i="17" s="1"/>
  <c r="AG19" i="17"/>
  <c r="AL19" i="17" s="1"/>
  <c r="AG25" i="17"/>
  <c r="AL25" i="17" s="1"/>
  <c r="AG34" i="17"/>
  <c r="AL34" i="17" s="1"/>
  <c r="AG43" i="17"/>
  <c r="AL43" i="17" s="1"/>
  <c r="AG52" i="17"/>
  <c r="AL52" i="17" s="1"/>
  <c r="AG14" i="17"/>
  <c r="AL14" i="17" s="1"/>
  <c r="AG31" i="17"/>
  <c r="AL31" i="17" s="1"/>
  <c r="AG48" i="17"/>
  <c r="AL48" i="17" s="1"/>
  <c r="AG33" i="17"/>
  <c r="AL33" i="17" s="1"/>
  <c r="AG22" i="17"/>
  <c r="AL22" i="17" s="1"/>
  <c r="AG50" i="17"/>
  <c r="AL50" i="17" s="1"/>
  <c r="AG49" i="17"/>
  <c r="AL49" i="17" s="1"/>
  <c r="AG21" i="17"/>
  <c r="AL21" i="17" s="1"/>
  <c r="AG38" i="17"/>
  <c r="AL38" i="17" s="1"/>
  <c r="AG11" i="17"/>
  <c r="AL11" i="17" s="1"/>
  <c r="AG46" i="17"/>
  <c r="AL46" i="17" s="1"/>
  <c r="AG10" i="17"/>
  <c r="AL10" i="17" s="1"/>
  <c r="AG37" i="17"/>
  <c r="AL37" i="17" s="1"/>
  <c r="AG7" i="17"/>
  <c r="AL7" i="17" s="1"/>
  <c r="AG24" i="17"/>
  <c r="AL24" i="17" s="1"/>
  <c r="J5" i="14"/>
  <c r="X3" i="17"/>
  <c r="X3" i="16"/>
  <c r="V3" i="19"/>
  <c r="I25" i="15"/>
  <c r="I24" i="15"/>
  <c r="I23" i="15"/>
  <c r="I22" i="15"/>
  <c r="I21" i="15"/>
  <c r="I20" i="15"/>
  <c r="I19" i="15"/>
  <c r="I18" i="15"/>
  <c r="I17" i="15"/>
  <c r="C53" i="1"/>
  <c r="C8" i="15"/>
  <c r="Q5" i="14"/>
  <c r="AF2" i="17" a="1"/>
  <c r="K5" i="14"/>
  <c r="T3" i="14" a="1"/>
  <c r="F7" i="15"/>
  <c r="C9" i="15"/>
  <c r="E9" i="15" s="1"/>
  <c r="L5" i="14"/>
  <c r="AF2" i="16" a="1"/>
  <c r="I68" i="1"/>
  <c r="D53" i="1"/>
  <c r="D68" i="1"/>
  <c r="I69" i="1"/>
  <c r="P5" i="14"/>
  <c r="D69" i="1"/>
  <c r="J7" i="15"/>
  <c r="E8" i="15"/>
  <c r="C10" i="15"/>
  <c r="D54" i="1"/>
  <c r="C11" i="15"/>
  <c r="E10" i="15"/>
  <c r="C12" i="15"/>
  <c r="E11" i="15"/>
  <c r="E12" i="15"/>
  <c r="C13" i="15"/>
  <c r="E13" i="15"/>
  <c r="C14" i="15"/>
  <c r="E14" i="15"/>
  <c r="C15" i="15"/>
  <c r="E15" i="15"/>
  <c r="C16" i="15"/>
  <c r="E16" i="15"/>
  <c r="C17" i="15"/>
  <c r="E17" i="15"/>
  <c r="C18" i="15"/>
  <c r="E18" i="15"/>
  <c r="C19" i="15"/>
  <c r="E19" i="15"/>
  <c r="C20" i="15"/>
  <c r="C21" i="15"/>
  <c r="E20" i="15"/>
  <c r="E21" i="15"/>
  <c r="C22" i="15"/>
  <c r="E22" i="15"/>
  <c r="C23" i="15"/>
  <c r="C24" i="15"/>
  <c r="E23" i="15"/>
  <c r="C25" i="15"/>
  <c r="E24" i="15"/>
  <c r="C26" i="15"/>
  <c r="E25" i="15"/>
  <c r="H26" i="15" l="1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AF7" i="17"/>
  <c r="AJ7" i="17" s="1"/>
  <c r="AF3" i="17"/>
  <c r="AJ3" i="17" s="1"/>
  <c r="AF45" i="17"/>
  <c r="AJ45" i="17" s="1"/>
  <c r="AF13" i="17"/>
  <c r="AJ13" i="17" s="1"/>
  <c r="AF44" i="17"/>
  <c r="AJ44" i="17" s="1"/>
  <c r="AF5" i="17"/>
  <c r="AJ5" i="17" s="1"/>
  <c r="AF15" i="17"/>
  <c r="AJ15" i="17" s="1"/>
  <c r="AF31" i="17"/>
  <c r="AJ31" i="17" s="1"/>
  <c r="AF46" i="17"/>
  <c r="AJ46" i="17" s="1"/>
  <c r="AF34" i="17"/>
  <c r="AJ34" i="17" s="1"/>
  <c r="AF2" i="17"/>
  <c r="AF40" i="17"/>
  <c r="AJ40" i="17" s="1"/>
  <c r="AF12" i="17"/>
  <c r="AJ12" i="17" s="1"/>
  <c r="AF9" i="17"/>
  <c r="AJ9" i="17" s="1"/>
  <c r="AF29" i="17"/>
  <c r="AJ29" i="17" s="1"/>
  <c r="AF8" i="17"/>
  <c r="AJ8" i="17" s="1"/>
  <c r="AF33" i="17"/>
  <c r="AJ33" i="17" s="1"/>
  <c r="AF20" i="17"/>
  <c r="AJ20" i="17" s="1"/>
  <c r="AF4" i="17"/>
  <c r="AJ4" i="17" s="1"/>
  <c r="AF22" i="17"/>
  <c r="AJ22" i="17" s="1"/>
  <c r="AF48" i="17"/>
  <c r="AJ48" i="17" s="1"/>
  <c r="AF16" i="17"/>
  <c r="AJ16" i="17" s="1"/>
  <c r="AF24" i="17"/>
  <c r="AJ24" i="17" s="1"/>
  <c r="AF38" i="17"/>
  <c r="AJ38" i="17" s="1"/>
  <c r="AF49" i="17"/>
  <c r="AJ49" i="17" s="1"/>
  <c r="AF6" i="17"/>
  <c r="AJ6" i="17" s="1"/>
  <c r="AF50" i="17"/>
  <c r="AJ50" i="17" s="1"/>
  <c r="AF27" i="17"/>
  <c r="AJ27" i="17" s="1"/>
  <c r="AF43" i="17"/>
  <c r="AJ43" i="17" s="1"/>
  <c r="AF11" i="17"/>
  <c r="AJ11" i="17" s="1"/>
  <c r="AF32" i="17"/>
  <c r="AJ32" i="17" s="1"/>
  <c r="AF21" i="17"/>
  <c r="AJ21" i="17" s="1"/>
  <c r="AF23" i="17"/>
  <c r="AJ23" i="17" s="1"/>
  <c r="AF30" i="17"/>
  <c r="AJ30" i="17" s="1"/>
  <c r="AF10" i="17"/>
  <c r="AJ10" i="17" s="1"/>
  <c r="AF42" i="17"/>
  <c r="AJ42" i="17" s="1"/>
  <c r="AF14" i="17"/>
  <c r="AJ14" i="17" s="1"/>
  <c r="AF25" i="17"/>
  <c r="AJ25" i="17" s="1"/>
  <c r="AF19" i="17"/>
  <c r="AJ19" i="17" s="1"/>
  <c r="AF39" i="17"/>
  <c r="AJ39" i="17" s="1"/>
  <c r="AF18" i="17"/>
  <c r="AJ18" i="17" s="1"/>
  <c r="AF17" i="17"/>
  <c r="AJ17" i="17" s="1"/>
  <c r="AF52" i="17"/>
  <c r="AJ52" i="17" s="1"/>
  <c r="AF28" i="17"/>
  <c r="AJ28" i="17" s="1"/>
  <c r="AF26" i="17"/>
  <c r="AJ26" i="17" s="1"/>
  <c r="AF37" i="17"/>
  <c r="AJ37" i="17" s="1"/>
  <c r="AF47" i="17"/>
  <c r="AJ47" i="17" s="1"/>
  <c r="AF36" i="17"/>
  <c r="AJ36" i="17" s="1"/>
  <c r="AF41" i="17"/>
  <c r="AJ41" i="17" s="1"/>
  <c r="AF35" i="17"/>
  <c r="AJ35" i="17" s="1"/>
  <c r="AF51" i="17"/>
  <c r="AJ51" i="17" s="1"/>
  <c r="AF18" i="16"/>
  <c r="AJ18" i="16" s="1"/>
  <c r="AF37" i="16"/>
  <c r="AJ37" i="16" s="1"/>
  <c r="AF12" i="16"/>
  <c r="AJ12" i="16" s="1"/>
  <c r="AF26" i="16"/>
  <c r="AJ26" i="16" s="1"/>
  <c r="AF34" i="16"/>
  <c r="AJ34" i="16" s="1"/>
  <c r="AF55" i="16"/>
  <c r="AJ55" i="16" s="1"/>
  <c r="AF48" i="16"/>
  <c r="AJ48" i="16" s="1"/>
  <c r="AF8" i="16"/>
  <c r="AJ8" i="16" s="1"/>
  <c r="AF4" i="16"/>
  <c r="AJ4" i="16" s="1"/>
  <c r="AF39" i="16"/>
  <c r="AJ39" i="16" s="1"/>
  <c r="AF53" i="16"/>
  <c r="AJ53" i="16" s="1"/>
  <c r="AF16" i="16"/>
  <c r="AJ16" i="16" s="1"/>
  <c r="AF15" i="16"/>
  <c r="AJ15" i="16" s="1"/>
  <c r="AF17" i="16"/>
  <c r="AJ17" i="16" s="1"/>
  <c r="AF3" i="16"/>
  <c r="AJ3" i="16" s="1"/>
  <c r="AF30" i="16"/>
  <c r="AJ30" i="16" s="1"/>
  <c r="AF44" i="16"/>
  <c r="AJ44" i="16" s="1"/>
  <c r="AF32" i="16"/>
  <c r="AJ32" i="16" s="1"/>
  <c r="AF11" i="16"/>
  <c r="AJ11" i="16" s="1"/>
  <c r="AF13" i="16"/>
  <c r="AJ13" i="16" s="1"/>
  <c r="AF58" i="16"/>
  <c r="AJ58" i="16" s="1"/>
  <c r="AF41" i="16"/>
  <c r="AJ41" i="16" s="1"/>
  <c r="AF42" i="16"/>
  <c r="AJ42" i="16" s="1"/>
  <c r="AF43" i="16"/>
  <c r="AJ43" i="16" s="1"/>
  <c r="AF6" i="16"/>
  <c r="AJ6" i="16" s="1"/>
  <c r="AF10" i="16"/>
  <c r="AJ10" i="16" s="1"/>
  <c r="AF29" i="16"/>
  <c r="AJ29" i="16" s="1"/>
  <c r="AF9" i="16"/>
  <c r="AJ9" i="16" s="1"/>
  <c r="AF2" i="16"/>
  <c r="AF51" i="16"/>
  <c r="AJ51" i="16" s="1"/>
  <c r="AF52" i="16"/>
  <c r="AJ52" i="16" s="1"/>
  <c r="AF23" i="16"/>
  <c r="AJ23" i="16" s="1"/>
  <c r="AF20" i="16"/>
  <c r="AJ20" i="16" s="1"/>
  <c r="AF28" i="16"/>
  <c r="AJ28" i="16" s="1"/>
  <c r="AF59" i="16"/>
  <c r="AJ59" i="16" s="1"/>
  <c r="AF5" i="16"/>
  <c r="AJ5" i="16" s="1"/>
  <c r="AF14" i="16"/>
  <c r="AJ14" i="16" s="1"/>
  <c r="AF19" i="16"/>
  <c r="AJ19" i="16" s="1"/>
  <c r="AF7" i="16"/>
  <c r="AJ7" i="16" s="1"/>
  <c r="AF49" i="16"/>
  <c r="AJ49" i="16" s="1"/>
  <c r="AF46" i="16"/>
  <c r="AJ46" i="16" s="1"/>
  <c r="AF33" i="16"/>
  <c r="AJ33" i="16" s="1"/>
  <c r="AF36" i="16"/>
  <c r="AJ36" i="16" s="1"/>
  <c r="AF21" i="16"/>
  <c r="AJ21" i="16" s="1"/>
  <c r="AF54" i="16"/>
  <c r="AJ54" i="16" s="1"/>
  <c r="AF35" i="16"/>
  <c r="AJ35" i="16" s="1"/>
  <c r="AF50" i="16"/>
  <c r="AJ50" i="16" s="1"/>
  <c r="AF45" i="16"/>
  <c r="AJ45" i="16" s="1"/>
  <c r="AF24" i="16"/>
  <c r="AJ24" i="16" s="1"/>
  <c r="AF38" i="16"/>
  <c r="AJ38" i="16" s="1"/>
  <c r="AF40" i="16"/>
  <c r="AJ40" i="16" s="1"/>
  <c r="AF56" i="16"/>
  <c r="AJ56" i="16" s="1"/>
  <c r="AF25" i="16"/>
  <c r="AJ25" i="16" s="1"/>
  <c r="AF22" i="16"/>
  <c r="AJ22" i="16" s="1"/>
  <c r="AF27" i="16"/>
  <c r="AJ27" i="16" s="1"/>
  <c r="AF47" i="16"/>
  <c r="AJ47" i="16" s="1"/>
  <c r="AF31" i="16"/>
  <c r="AJ31" i="16" s="1"/>
  <c r="AF57" i="16"/>
  <c r="AJ57" i="16" s="1"/>
  <c r="T36" i="14"/>
  <c r="T74" i="14"/>
  <c r="T57" i="14"/>
  <c r="T34" i="14"/>
  <c r="T43" i="14"/>
  <c r="T68" i="14"/>
  <c r="T77" i="14"/>
  <c r="T31" i="14"/>
  <c r="T48" i="14"/>
  <c r="T37" i="14"/>
  <c r="T21" i="14"/>
  <c r="T59" i="14"/>
  <c r="T26" i="14"/>
  <c r="T35" i="14"/>
  <c r="T60" i="14"/>
  <c r="T69" i="14"/>
  <c r="T23" i="14"/>
  <c r="T40" i="14"/>
  <c r="T73" i="14"/>
  <c r="T44" i="14"/>
  <c r="T52" i="14"/>
  <c r="T15" i="14"/>
  <c r="T18" i="14"/>
  <c r="T70" i="14"/>
  <c r="T29" i="14"/>
  <c r="T28" i="14"/>
  <c r="T53" i="14"/>
  <c r="T24" i="14"/>
  <c r="T41" i="14"/>
  <c r="T11" i="14"/>
  <c r="T19" i="14"/>
  <c r="T63" i="14"/>
  <c r="T14" i="14"/>
  <c r="T45" i="14"/>
  <c r="T54" i="14"/>
  <c r="T33" i="14"/>
  <c r="T3" i="14"/>
  <c r="T12" i="14"/>
  <c r="T56" i="14"/>
  <c r="T7" i="14"/>
  <c r="T46" i="14"/>
  <c r="T8" i="14"/>
  <c r="T25" i="14"/>
  <c r="T58" i="14"/>
  <c r="T4" i="14"/>
  <c r="T13" i="14"/>
  <c r="T38" i="14"/>
  <c r="T64" i="14"/>
  <c r="T67" i="14"/>
  <c r="T22" i="14"/>
  <c r="T72" i="14"/>
  <c r="T6" i="14"/>
  <c r="T27" i="14"/>
  <c r="T61" i="14"/>
  <c r="T32" i="14"/>
  <c r="T65" i="14"/>
  <c r="T62" i="14"/>
  <c r="T49" i="14"/>
  <c r="T55" i="14"/>
  <c r="T50" i="14"/>
  <c r="T75" i="14"/>
  <c r="T30" i="14"/>
  <c r="T51" i="14"/>
  <c r="T10" i="14"/>
  <c r="T9" i="14"/>
  <c r="T42" i="14"/>
  <c r="T76" i="14"/>
  <c r="T39" i="14"/>
  <c r="T16" i="14"/>
  <c r="T20" i="14"/>
  <c r="T66" i="14"/>
  <c r="T71" i="14"/>
  <c r="T17" i="14"/>
  <c r="T5" i="14"/>
  <c r="T47" i="14"/>
  <c r="N5" i="15"/>
  <c r="K7" i="15"/>
  <c r="O5" i="15" s="1"/>
  <c r="AL3" i="17"/>
  <c r="I29" i="15"/>
  <c r="I28" i="15"/>
  <c r="I27" i="15"/>
  <c r="I26" i="15"/>
  <c r="W35" i="14"/>
  <c r="U67" i="14"/>
  <c r="V3" i="14"/>
  <c r="F15" i="15"/>
  <c r="Y22" i="14"/>
  <c r="V57" i="14"/>
  <c r="W77" i="14"/>
  <c r="W7" i="14"/>
  <c r="V45" i="14"/>
  <c r="U27" i="14"/>
  <c r="W19" i="14"/>
  <c r="X25" i="14"/>
  <c r="X24" i="14"/>
  <c r="Y73" i="14"/>
  <c r="U63" i="14"/>
  <c r="X9" i="14"/>
  <c r="W26" i="14"/>
  <c r="F9" i="15"/>
  <c r="U28" i="14"/>
  <c r="V67" i="14"/>
  <c r="W24" i="14"/>
  <c r="E26" i="15"/>
  <c r="W68" i="14"/>
  <c r="V7" i="14"/>
  <c r="X12" i="14"/>
  <c r="W54" i="14"/>
  <c r="U14" i="14"/>
  <c r="V61" i="14"/>
  <c r="U26" i="14"/>
  <c r="V28" i="14"/>
  <c r="X43" i="14"/>
  <c r="V66" i="14"/>
  <c r="V58" i="14"/>
  <c r="U37" i="14"/>
  <c r="X7" i="14"/>
  <c r="W46" i="14"/>
  <c r="U75" i="14"/>
  <c r="W61" i="14"/>
  <c r="X19" i="14"/>
  <c r="U77" i="14"/>
  <c r="W6" i="14"/>
  <c r="U35" i="14"/>
  <c r="V29" i="14"/>
  <c r="V26" i="14"/>
  <c r="X41" i="14"/>
  <c r="U13" i="14"/>
  <c r="U49" i="14"/>
  <c r="U50" i="14"/>
  <c r="F8" i="15"/>
  <c r="X4" i="14"/>
  <c r="Y67" i="14"/>
  <c r="Y54" i="14"/>
  <c r="U16" i="14"/>
  <c r="U47" i="14"/>
  <c r="V10" i="14"/>
  <c r="X30" i="14"/>
  <c r="V56" i="14"/>
  <c r="Y58" i="14"/>
  <c r="Y57" i="14"/>
  <c r="U65" i="14"/>
  <c r="F16" i="15"/>
  <c r="U51" i="14"/>
  <c r="U57" i="14"/>
  <c r="W40" i="14"/>
  <c r="X6" i="14"/>
  <c r="W72" i="14"/>
  <c r="Y59" i="14"/>
  <c r="W43" i="14"/>
  <c r="X46" i="14"/>
  <c r="U55" i="14"/>
  <c r="W50" i="14"/>
  <c r="F20" i="15"/>
  <c r="Y40" i="14"/>
  <c r="X32" i="14"/>
  <c r="W9" i="14"/>
  <c r="U46" i="14"/>
  <c r="Y20" i="14"/>
  <c r="W52" i="14"/>
  <c r="Y63" i="14"/>
  <c r="V33" i="14"/>
  <c r="Y7" i="14"/>
  <c r="X44" i="14"/>
  <c r="V22" i="14"/>
  <c r="V30" i="14"/>
  <c r="X77" i="14"/>
  <c r="W65" i="14"/>
  <c r="U72" i="14"/>
  <c r="U4" i="14"/>
  <c r="V70" i="14"/>
  <c r="U20" i="14"/>
  <c r="U58" i="14"/>
  <c r="W67" i="14"/>
  <c r="X22" i="14"/>
  <c r="Y21" i="14"/>
  <c r="V49" i="14"/>
  <c r="U12" i="14"/>
  <c r="X8" i="14"/>
  <c r="Y19" i="14"/>
  <c r="U11" i="14"/>
  <c r="V62" i="14"/>
  <c r="V16" i="14"/>
  <c r="U39" i="14"/>
  <c r="Y61" i="14"/>
  <c r="Y16" i="14"/>
  <c r="U17" i="14"/>
  <c r="Y72" i="14"/>
  <c r="U64" i="14"/>
  <c r="X57" i="14"/>
  <c r="V52" i="14"/>
  <c r="W4" i="14"/>
  <c r="X52" i="14"/>
  <c r="P5" i="15"/>
  <c r="Y52" i="14"/>
  <c r="W64" i="14"/>
  <c r="Y77" i="14"/>
  <c r="X76" i="14"/>
  <c r="W60" i="14"/>
  <c r="X18" i="14"/>
  <c r="C27" i="15"/>
  <c r="F18" i="15"/>
  <c r="V69" i="14"/>
  <c r="X54" i="14"/>
  <c r="W8" i="14"/>
  <c r="Y25" i="14"/>
  <c r="Y49" i="14"/>
  <c r="Y64" i="14"/>
  <c r="X42" i="14"/>
  <c r="X26" i="14"/>
  <c r="X69" i="14"/>
  <c r="U41" i="14"/>
  <c r="W21" i="14"/>
  <c r="V19" i="14"/>
  <c r="V8" i="14"/>
  <c r="W47" i="14"/>
  <c r="X60" i="14"/>
  <c r="V32" i="14"/>
  <c r="Y34" i="14"/>
  <c r="Y32" i="14"/>
  <c r="V65" i="14"/>
  <c r="V36" i="14"/>
  <c r="X70" i="14"/>
  <c r="U6" i="14"/>
  <c r="U32" i="14"/>
  <c r="F22" i="15"/>
  <c r="V71" i="14"/>
  <c r="V64" i="14"/>
  <c r="Y17" i="14"/>
  <c r="U3" i="14"/>
  <c r="Y11" i="14"/>
  <c r="Y51" i="14"/>
  <c r="Y10" i="14"/>
  <c r="U5" i="15"/>
  <c r="X55" i="14"/>
  <c r="U42" i="14"/>
  <c r="U38" i="14"/>
  <c r="F25" i="15"/>
  <c r="U19" i="14"/>
  <c r="Y74" i="14"/>
  <c r="X11" i="14"/>
  <c r="W56" i="14"/>
  <c r="V54" i="14"/>
  <c r="X47" i="14"/>
  <c r="X59" i="14"/>
  <c r="X3" i="14"/>
  <c r="X14" i="14"/>
  <c r="W76" i="14"/>
  <c r="X38" i="14"/>
  <c r="F17" i="15"/>
  <c r="F24" i="15"/>
  <c r="Y48" i="14"/>
  <c r="W53" i="14"/>
  <c r="W15" i="14"/>
  <c r="X10" i="14"/>
  <c r="X51" i="14"/>
  <c r="V27" i="14"/>
  <c r="W42" i="14"/>
  <c r="W37" i="14"/>
  <c r="X27" i="14"/>
  <c r="U29" i="14"/>
  <c r="Y29" i="14"/>
  <c r="U36" i="14"/>
  <c r="V76" i="14"/>
  <c r="W29" i="14"/>
  <c r="U61" i="14"/>
  <c r="U34" i="14"/>
  <c r="W11" i="14"/>
  <c r="W44" i="14"/>
  <c r="W34" i="14"/>
  <c r="V25" i="14"/>
  <c r="Y70" i="14"/>
  <c r="W16" i="14"/>
  <c r="U53" i="14"/>
  <c r="Y5" i="14"/>
  <c r="W18" i="14"/>
  <c r="V40" i="14"/>
  <c r="X20" i="14"/>
  <c r="X16" i="14"/>
  <c r="W38" i="14"/>
  <c r="W27" i="14"/>
  <c r="V41" i="14"/>
  <c r="X68" i="14"/>
  <c r="Y15" i="14"/>
  <c r="Y69" i="14"/>
  <c r="F10" i="15"/>
  <c r="X74" i="14"/>
  <c r="V68" i="14"/>
  <c r="V5" i="14"/>
  <c r="X33" i="14"/>
  <c r="Y30" i="14"/>
  <c r="Y31" i="14"/>
  <c r="X15" i="14"/>
  <c r="Y60" i="14"/>
  <c r="W63" i="14"/>
  <c r="Y46" i="14"/>
  <c r="U7" i="14"/>
  <c r="Y50" i="14"/>
  <c r="F12" i="15"/>
  <c r="V47" i="14"/>
  <c r="Y41" i="14"/>
  <c r="V48" i="14"/>
  <c r="Y62" i="14"/>
  <c r="W22" i="14"/>
  <c r="W62" i="14"/>
  <c r="Y76" i="14"/>
  <c r="X34" i="14"/>
  <c r="Y38" i="14"/>
  <c r="W28" i="14"/>
  <c r="W10" i="14"/>
  <c r="V55" i="14"/>
  <c r="Y6" i="14"/>
  <c r="Y3" i="14"/>
  <c r="X36" i="14"/>
  <c r="V73" i="14"/>
  <c r="X17" i="14"/>
  <c r="U33" i="14"/>
  <c r="W32" i="14"/>
  <c r="X31" i="14"/>
  <c r="X45" i="14"/>
  <c r="U48" i="14"/>
  <c r="W59" i="14"/>
  <c r="V15" i="14"/>
  <c r="V38" i="14"/>
  <c r="Y35" i="14"/>
  <c r="Y47" i="14"/>
  <c r="Y9" i="14"/>
  <c r="U15" i="14"/>
  <c r="Y36" i="14"/>
  <c r="X35" i="14"/>
  <c r="X13" i="14"/>
  <c r="Y26" i="14"/>
  <c r="W30" i="14"/>
  <c r="U70" i="14"/>
  <c r="U69" i="14"/>
  <c r="Y65" i="14"/>
  <c r="W20" i="14"/>
  <c r="Y42" i="14"/>
  <c r="V13" i="14"/>
  <c r="U21" i="14"/>
  <c r="W66" i="14"/>
  <c r="V11" i="14"/>
  <c r="X40" i="14"/>
  <c r="X65" i="14"/>
  <c r="X39" i="14"/>
  <c r="W13" i="14"/>
  <c r="V51" i="14"/>
  <c r="U56" i="14"/>
  <c r="Y4" i="14"/>
  <c r="Y75" i="14"/>
  <c r="X56" i="14"/>
  <c r="U62" i="14"/>
  <c r="V75" i="14"/>
  <c r="Y23" i="14"/>
  <c r="W49" i="14"/>
  <c r="Y39" i="14"/>
  <c r="V4" i="14"/>
  <c r="V77" i="14"/>
  <c r="Y66" i="14"/>
  <c r="V12" i="14"/>
  <c r="W17" i="14"/>
  <c r="X67" i="14"/>
  <c r="V50" i="14"/>
  <c r="Y45" i="14"/>
  <c r="W74" i="14"/>
  <c r="V37" i="14"/>
  <c r="X73" i="14"/>
  <c r="U10" i="14"/>
  <c r="W73" i="14"/>
  <c r="X23" i="14"/>
  <c r="X5" i="14"/>
  <c r="X53" i="14"/>
  <c r="V23" i="14"/>
  <c r="W5" i="14"/>
  <c r="X72" i="14"/>
  <c r="X21" i="14"/>
  <c r="Y14" i="14"/>
  <c r="V31" i="14"/>
  <c r="V43" i="14"/>
  <c r="U71" i="14"/>
  <c r="U60" i="14"/>
  <c r="V59" i="14"/>
  <c r="V53" i="14"/>
  <c r="U73" i="14"/>
  <c r="W3" i="14"/>
  <c r="U22" i="14"/>
  <c r="W31" i="14"/>
  <c r="U76" i="14"/>
  <c r="X37" i="14"/>
  <c r="V60" i="14"/>
  <c r="W41" i="14"/>
  <c r="X58" i="14"/>
  <c r="Y13" i="14"/>
  <c r="U5" i="14"/>
  <c r="Y12" i="14"/>
  <c r="V39" i="14"/>
  <c r="W75" i="14"/>
  <c r="X64" i="14"/>
  <c r="U52" i="14"/>
  <c r="U24" i="14"/>
  <c r="V46" i="14"/>
  <c r="U8" i="14"/>
  <c r="W45" i="14"/>
  <c r="X62" i="14"/>
  <c r="V9" i="14"/>
  <c r="W33" i="14"/>
  <c r="V35" i="14"/>
  <c r="V42" i="14"/>
  <c r="W51" i="14"/>
  <c r="W23" i="14"/>
  <c r="X50" i="14"/>
  <c r="X75" i="14"/>
  <c r="U74" i="14"/>
  <c r="U68" i="14"/>
  <c r="W55" i="14"/>
  <c r="X71" i="14"/>
  <c r="F13" i="15"/>
  <c r="Y53" i="14"/>
  <c r="U45" i="14"/>
  <c r="X48" i="14"/>
  <c r="V34" i="14"/>
  <c r="V44" i="14"/>
  <c r="U9" i="14"/>
  <c r="U54" i="14"/>
  <c r="U43" i="14"/>
  <c r="Y27" i="14"/>
  <c r="W57" i="14"/>
  <c r="Y55" i="14"/>
  <c r="Y33" i="14"/>
  <c r="F21" i="15"/>
  <c r="X66" i="14"/>
  <c r="U23" i="14"/>
  <c r="W36" i="14"/>
  <c r="Y56" i="14"/>
  <c r="W58" i="14"/>
  <c r="Y8" i="14"/>
  <c r="W12" i="14"/>
  <c r="V14" i="14"/>
  <c r="V24" i="14"/>
  <c r="F11" i="15"/>
  <c r="U66" i="14"/>
  <c r="F23" i="15"/>
  <c r="V72" i="14"/>
  <c r="U40" i="14"/>
  <c r="W39" i="14"/>
  <c r="W48" i="14"/>
  <c r="U44" i="14"/>
  <c r="Y37" i="14"/>
  <c r="F19" i="15"/>
  <c r="U18" i="14"/>
  <c r="X61" i="14"/>
  <c r="X28" i="14"/>
  <c r="W14" i="14"/>
  <c r="U25" i="14"/>
  <c r="X29" i="14"/>
  <c r="W71" i="14"/>
  <c r="V20" i="14"/>
  <c r="V21" i="14"/>
  <c r="V74" i="14"/>
  <c r="W69" i="14"/>
  <c r="V17" i="14"/>
  <c r="U30" i="14"/>
  <c r="U31" i="14"/>
  <c r="V63" i="14"/>
  <c r="F14" i="15"/>
  <c r="Q5" i="15"/>
  <c r="W70" i="14"/>
  <c r="U59" i="14"/>
  <c r="V18" i="14"/>
  <c r="V5" i="15"/>
  <c r="Y68" i="14"/>
  <c r="Y24" i="14"/>
  <c r="Y43" i="14"/>
  <c r="Y71" i="14"/>
  <c r="X49" i="14"/>
  <c r="W25" i="14"/>
  <c r="Y18" i="14"/>
  <c r="Y44" i="14"/>
  <c r="X63" i="14"/>
  <c r="Y28" i="14"/>
  <c r="V6" i="14"/>
  <c r="H27" i="15" l="1"/>
  <c r="S27" i="14"/>
  <c r="S41" i="14"/>
  <c r="S52" i="14"/>
  <c r="S44" i="14"/>
  <c r="S40" i="14"/>
  <c r="S75" i="14"/>
  <c r="S3" i="14"/>
  <c r="S26" i="14"/>
  <c r="S39" i="14"/>
  <c r="S6" i="14"/>
  <c r="S33" i="14"/>
  <c r="S24" i="14"/>
  <c r="S34" i="14"/>
  <c r="S47" i="14"/>
  <c r="S72" i="14"/>
  <c r="S54" i="14"/>
  <c r="S73" i="14"/>
  <c r="S57" i="14"/>
  <c r="S49" i="14"/>
  <c r="S45" i="14"/>
  <c r="S74" i="14"/>
  <c r="S48" i="14"/>
  <c r="S31" i="14"/>
  <c r="S18" i="14"/>
  <c r="S16" i="14"/>
  <c r="S4" i="14"/>
  <c r="S43" i="14"/>
  <c r="S50" i="14"/>
  <c r="S58" i="14"/>
  <c r="S59" i="14"/>
  <c r="S76" i="14"/>
  <c r="S55" i="14"/>
  <c r="S25" i="14"/>
  <c r="S53" i="14"/>
  <c r="S21" i="14"/>
  <c r="S5" i="14"/>
  <c r="S42" i="14"/>
  <c r="S22" i="14"/>
  <c r="S8" i="14"/>
  <c r="S28" i="14"/>
  <c r="S37" i="14"/>
  <c r="S17" i="14"/>
  <c r="S9" i="14"/>
  <c r="S62" i="14"/>
  <c r="S67" i="14"/>
  <c r="S46" i="14"/>
  <c r="S14" i="14"/>
  <c r="S29" i="14"/>
  <c r="S23" i="14"/>
  <c r="S36" i="14"/>
  <c r="S71" i="14"/>
  <c r="S10" i="14"/>
  <c r="S65" i="14"/>
  <c r="S64" i="14"/>
  <c r="S7" i="14"/>
  <c r="S63" i="14"/>
  <c r="S70" i="14"/>
  <c r="S69" i="14"/>
  <c r="S66" i="14"/>
  <c r="S51" i="14"/>
  <c r="S32" i="14"/>
  <c r="S38" i="14"/>
  <c r="S56" i="14"/>
  <c r="S19" i="14"/>
  <c r="S60" i="14"/>
  <c r="S77" i="14"/>
  <c r="S20" i="14"/>
  <c r="S30" i="14"/>
  <c r="S61" i="14"/>
  <c r="S13" i="14"/>
  <c r="S12" i="14"/>
  <c r="S11" i="14"/>
  <c r="S15" i="14"/>
  <c r="S35" i="14"/>
  <c r="S68" i="14"/>
  <c r="J10" i="15"/>
  <c r="J8" i="15"/>
  <c r="J9" i="15"/>
  <c r="J20" i="15"/>
  <c r="J17" i="15"/>
  <c r="J24" i="15"/>
  <c r="J15" i="15"/>
  <c r="E27" i="15"/>
  <c r="J16" i="15"/>
  <c r="J11" i="15"/>
  <c r="J14" i="15"/>
  <c r="J22" i="15"/>
  <c r="J21" i="15"/>
  <c r="J13" i="15"/>
  <c r="J25" i="15"/>
  <c r="C28" i="15"/>
  <c r="F27" i="15"/>
  <c r="F26" i="15"/>
  <c r="J26" i="15" s="1"/>
  <c r="J12" i="15"/>
  <c r="J18" i="15"/>
  <c r="J19" i="15"/>
  <c r="J23" i="15"/>
  <c r="N7" i="15" l="1"/>
  <c r="K9" i="15"/>
  <c r="O7" i="15" s="1"/>
  <c r="K24" i="15"/>
  <c r="O22" i="15" s="1"/>
  <c r="N22" i="15"/>
  <c r="H28" i="15"/>
  <c r="K13" i="15"/>
  <c r="O11" i="15" s="1"/>
  <c r="N11" i="15"/>
  <c r="K25" i="15"/>
  <c r="O23" i="15" s="1"/>
  <c r="N23" i="15"/>
  <c r="K8" i="15"/>
  <c r="O6" i="15" s="1"/>
  <c r="N6" i="15"/>
  <c r="K12" i="15"/>
  <c r="O10" i="15" s="1"/>
  <c r="N10" i="15"/>
  <c r="K19" i="15"/>
  <c r="O17" i="15" s="1"/>
  <c r="N17" i="15"/>
  <c r="N15" i="15"/>
  <c r="K17" i="15"/>
  <c r="O15" i="15" s="1"/>
  <c r="K22" i="15"/>
  <c r="O20" i="15" s="1"/>
  <c r="N20" i="15"/>
  <c r="K14" i="15"/>
  <c r="O12" i="15" s="1"/>
  <c r="N12" i="15"/>
  <c r="K18" i="15"/>
  <c r="O16" i="15" s="1"/>
  <c r="N16" i="15"/>
  <c r="K23" i="15"/>
  <c r="O21" i="15" s="1"/>
  <c r="N21" i="15"/>
  <c r="N8" i="15"/>
  <c r="K10" i="15"/>
  <c r="O8" i="15" s="1"/>
  <c r="K20" i="15"/>
  <c r="O18" i="15" s="1"/>
  <c r="N18" i="15"/>
  <c r="N13" i="15"/>
  <c r="K15" i="15"/>
  <c r="O13" i="15" s="1"/>
  <c r="N14" i="15"/>
  <c r="K16" i="15"/>
  <c r="O14" i="15" s="1"/>
  <c r="K21" i="15"/>
  <c r="O19" i="15" s="1"/>
  <c r="N19" i="15"/>
  <c r="K11" i="15"/>
  <c r="O9" i="15" s="1"/>
  <c r="N9" i="15"/>
  <c r="K26" i="15"/>
  <c r="O24" i="15" s="1"/>
  <c r="N24" i="15"/>
  <c r="U7" i="15"/>
  <c r="P15" i="15"/>
  <c r="V6" i="15"/>
  <c r="P22" i="15"/>
  <c r="U12" i="15"/>
  <c r="P19" i="15"/>
  <c r="V11" i="15"/>
  <c r="Q23" i="15"/>
  <c r="Q15" i="15"/>
  <c r="C29" i="15"/>
  <c r="V15" i="15"/>
  <c r="U6" i="15"/>
  <c r="P6" i="15"/>
  <c r="U21" i="15"/>
  <c r="Q24" i="15"/>
  <c r="V8" i="15"/>
  <c r="P24" i="15"/>
  <c r="Q19" i="15"/>
  <c r="Q17" i="15"/>
  <c r="V13" i="15"/>
  <c r="V23" i="15"/>
  <c r="P7" i="15"/>
  <c r="P21" i="15"/>
  <c r="Q21" i="15"/>
  <c r="V16" i="15"/>
  <c r="P9" i="15"/>
  <c r="Q14" i="15"/>
  <c r="V19" i="15"/>
  <c r="P12" i="15"/>
  <c r="U16" i="15"/>
  <c r="U14" i="15"/>
  <c r="V18" i="15"/>
  <c r="P10" i="15"/>
  <c r="Q8" i="15"/>
  <c r="P13" i="15"/>
  <c r="U17" i="15"/>
  <c r="U20" i="15"/>
  <c r="J27" i="15"/>
  <c r="U22" i="15"/>
  <c r="Q22" i="15"/>
  <c r="V20" i="15"/>
  <c r="Q7" i="15"/>
  <c r="P20" i="15"/>
  <c r="V10" i="15"/>
  <c r="P14" i="15"/>
  <c r="U11" i="15"/>
  <c r="P16" i="15"/>
  <c r="U18" i="15"/>
  <c r="U23" i="15"/>
  <c r="V21" i="15"/>
  <c r="P23" i="15"/>
  <c r="Q20" i="15"/>
  <c r="U10" i="15"/>
  <c r="U24" i="15"/>
  <c r="P11" i="15"/>
  <c r="V17" i="15"/>
  <c r="U13" i="15"/>
  <c r="P18" i="15"/>
  <c r="U9" i="15"/>
  <c r="V22" i="15"/>
  <c r="V9" i="15"/>
  <c r="V7" i="15"/>
  <c r="Q10" i="15"/>
  <c r="Q11" i="15"/>
  <c r="Q18" i="15"/>
  <c r="P17" i="15"/>
  <c r="Q16" i="15"/>
  <c r="Q9" i="15"/>
  <c r="V24" i="15"/>
  <c r="U8" i="15"/>
  <c r="U15" i="15"/>
  <c r="P8" i="15"/>
  <c r="V14" i="15"/>
  <c r="Q12" i="15"/>
  <c r="E28" i="15"/>
  <c r="F28" i="15" s="1"/>
  <c r="U19" i="15"/>
  <c r="Q6" i="15"/>
  <c r="Q13" i="15"/>
  <c r="V12" i="15"/>
  <c r="H29" i="15" l="1"/>
  <c r="N25" i="15"/>
  <c r="K27" i="15"/>
  <c r="O25" i="15" s="1"/>
  <c r="E29" i="15"/>
  <c r="Q25" i="15"/>
  <c r="Y3" i="18" a="1"/>
  <c r="P25" i="15"/>
  <c r="V25" i="15"/>
  <c r="J28" i="15"/>
  <c r="F29" i="15"/>
  <c r="J29" i="15" s="1"/>
  <c r="U25" i="15"/>
  <c r="Z3" i="18" a="1"/>
  <c r="K28" i="15" l="1"/>
  <c r="O26" i="15" s="1"/>
  <c r="N26" i="15"/>
  <c r="N27" i="15"/>
  <c r="K29" i="15"/>
  <c r="O27" i="15" s="1"/>
  <c r="Y48" i="18"/>
  <c r="Y6" i="18"/>
  <c r="Y43" i="18"/>
  <c r="Y18" i="18"/>
  <c r="Y5" i="18"/>
  <c r="Y8" i="18"/>
  <c r="Y19" i="18"/>
  <c r="Y30" i="18"/>
  <c r="Y52" i="18"/>
  <c r="Y39" i="18"/>
  <c r="Y3" i="18"/>
  <c r="Y37" i="18"/>
  <c r="Y41" i="18"/>
  <c r="Y15" i="18"/>
  <c r="Y42" i="18"/>
  <c r="Y29" i="18"/>
  <c r="Y10" i="18"/>
  <c r="Y12" i="18"/>
  <c r="Y45" i="18"/>
  <c r="Y22" i="18"/>
  <c r="Y27" i="18"/>
  <c r="Y28" i="18"/>
  <c r="Y21" i="18"/>
  <c r="Y13" i="18"/>
  <c r="Y53" i="18"/>
  <c r="Y38" i="18"/>
  <c r="Y14" i="18"/>
  <c r="Y17" i="18"/>
  <c r="Y36" i="18"/>
  <c r="Y32" i="18"/>
  <c r="Y25" i="18"/>
  <c r="Y11" i="18"/>
  <c r="Y49" i="18"/>
  <c r="Y31" i="18"/>
  <c r="Y33" i="18"/>
  <c r="Y50" i="18"/>
  <c r="Y44" i="18"/>
  <c r="Y35" i="18"/>
  <c r="Y51" i="18"/>
  <c r="Y9" i="18"/>
  <c r="Y46" i="18"/>
  <c r="Y7" i="18"/>
  <c r="Y23" i="18"/>
  <c r="Y16" i="18"/>
  <c r="Y34" i="18"/>
  <c r="Y24" i="18"/>
  <c r="Y26" i="18"/>
  <c r="Y20" i="18"/>
  <c r="Y4" i="18"/>
  <c r="Y47" i="18"/>
  <c r="Y40" i="18"/>
  <c r="Z17" i="18"/>
  <c r="Z31" i="18"/>
  <c r="Z13" i="18"/>
  <c r="Z37" i="18"/>
  <c r="Z15" i="18"/>
  <c r="Z22" i="18"/>
  <c r="Z9" i="18"/>
  <c r="Z8" i="18"/>
  <c r="Z39" i="18"/>
  <c r="Z35" i="18"/>
  <c r="Z16" i="18"/>
  <c r="Z30" i="18"/>
  <c r="Z38" i="18"/>
  <c r="Z25" i="18"/>
  <c r="Z10" i="18"/>
  <c r="Z28" i="18"/>
  <c r="Z40" i="18"/>
  <c r="Z29" i="18"/>
  <c r="Z36" i="18"/>
  <c r="Z19" i="18"/>
  <c r="Z45" i="18"/>
  <c r="Z24" i="18"/>
  <c r="Z11" i="18"/>
  <c r="Z33" i="18"/>
  <c r="Z47" i="18"/>
  <c r="Z32" i="18"/>
  <c r="Z7" i="18"/>
  <c r="Z49" i="18"/>
  <c r="Z26" i="18"/>
  <c r="Z46" i="18"/>
  <c r="Z18" i="18"/>
  <c r="Z53" i="18"/>
  <c r="Z34" i="18"/>
  <c r="Z6" i="18"/>
  <c r="Z52" i="18"/>
  <c r="Z23" i="18"/>
  <c r="Z44" i="18"/>
  <c r="Z4" i="18"/>
  <c r="Z50" i="18"/>
  <c r="Z14" i="18"/>
  <c r="Z42" i="18"/>
  <c r="Z48" i="18"/>
  <c r="Z12" i="18"/>
  <c r="Z27" i="18"/>
  <c r="Z51" i="18"/>
  <c r="Z43" i="18"/>
  <c r="Z5" i="18"/>
  <c r="Z41" i="18"/>
  <c r="Z21" i="18"/>
  <c r="Z20" i="18"/>
  <c r="Z3" i="18"/>
  <c r="AJ69" i="15"/>
  <c r="AJ70" i="15"/>
  <c r="AJ100" i="15"/>
  <c r="AJ97" i="15"/>
  <c r="AJ68" i="15"/>
  <c r="AJ84" i="15"/>
  <c r="AJ72" i="15"/>
  <c r="AJ74" i="15"/>
  <c r="AJ71" i="15"/>
  <c r="AJ67" i="15"/>
  <c r="AJ102" i="15"/>
  <c r="AJ75" i="15"/>
  <c r="AJ81" i="15"/>
  <c r="AJ78" i="15"/>
  <c r="AJ85" i="15"/>
  <c r="AJ89" i="15"/>
  <c r="AJ92" i="15"/>
  <c r="AJ94" i="15"/>
  <c r="AJ76" i="15"/>
  <c r="AJ77" i="15"/>
  <c r="AJ93" i="15"/>
  <c r="AJ96" i="15"/>
  <c r="AJ88" i="15"/>
  <c r="AJ103" i="15"/>
  <c r="AJ91" i="15"/>
  <c r="AJ79" i="15"/>
  <c r="AJ101" i="15"/>
  <c r="AJ95" i="15"/>
  <c r="AJ73" i="15"/>
  <c r="AJ99" i="15"/>
  <c r="AJ90" i="15"/>
  <c r="AJ80" i="15"/>
  <c r="AJ86" i="15"/>
  <c r="AJ98" i="15"/>
  <c r="AJ83" i="15"/>
  <c r="AJ87" i="15"/>
  <c r="AJ82" i="15"/>
  <c r="AJ66" i="15"/>
  <c r="AL95" i="15"/>
  <c r="AL89" i="15"/>
  <c r="AL80" i="15"/>
  <c r="AL97" i="15"/>
  <c r="AL69" i="15"/>
  <c r="AL90" i="15"/>
  <c r="AL83" i="15"/>
  <c r="AL70" i="15"/>
  <c r="AL68" i="15"/>
  <c r="AL72" i="15"/>
  <c r="AL92" i="15"/>
  <c r="AL85" i="15"/>
  <c r="AL101" i="15"/>
  <c r="AL86" i="15"/>
  <c r="AL93" i="15"/>
  <c r="AL77" i="15"/>
  <c r="AL73" i="15"/>
  <c r="AL84" i="15"/>
  <c r="AL99" i="15"/>
  <c r="AL103" i="15"/>
  <c r="AL74" i="15"/>
  <c r="AL87" i="15"/>
  <c r="AL88" i="15"/>
  <c r="AL76" i="15"/>
  <c r="AL66" i="15"/>
  <c r="AL75" i="15"/>
  <c r="AL98" i="15"/>
  <c r="AL67" i="15"/>
  <c r="AL91" i="15"/>
  <c r="AL82" i="15"/>
  <c r="AL78" i="15"/>
  <c r="AL79" i="15"/>
  <c r="AL96" i="15"/>
  <c r="AL100" i="15"/>
  <c r="AL102" i="15"/>
  <c r="AL81" i="15"/>
  <c r="AL71" i="15"/>
  <c r="AL94" i="15"/>
  <c r="D75" i="1"/>
  <c r="AD24" i="18"/>
  <c r="AE45" i="18"/>
  <c r="AA20" i="18"/>
  <c r="AD11" i="18"/>
  <c r="AE47" i="18"/>
  <c r="AB19" i="18"/>
  <c r="AC32" i="18"/>
  <c r="AC38" i="18"/>
  <c r="AD53" i="18"/>
  <c r="AA17" i="18"/>
  <c r="AA49" i="18"/>
  <c r="AC29" i="18"/>
  <c r="AD33" i="18"/>
  <c r="AE15" i="18"/>
  <c r="AD14" i="18"/>
  <c r="AE44" i="18"/>
  <c r="AE52" i="18"/>
  <c r="P26" i="15"/>
  <c r="AA18" i="18"/>
  <c r="AD12" i="18"/>
  <c r="AB7" i="18"/>
  <c r="AA9" i="18"/>
  <c r="AB24" i="18"/>
  <c r="AC17" i="18"/>
  <c r="AC24" i="18"/>
  <c r="AA48" i="18"/>
  <c r="AB15" i="18"/>
  <c r="AD18" i="18"/>
  <c r="AE31" i="18"/>
  <c r="AB5" i="18"/>
  <c r="AE35" i="18"/>
  <c r="AB17" i="18"/>
  <c r="AD40" i="18"/>
  <c r="AD20" i="18"/>
  <c r="AC13" i="18"/>
  <c r="AD22" i="18"/>
  <c r="AB50" i="18"/>
  <c r="AD9" i="18"/>
  <c r="AD3" i="18"/>
  <c r="AE24" i="18"/>
  <c r="AD46" i="18"/>
  <c r="AA8" i="18"/>
  <c r="AE8" i="18"/>
  <c r="AC45" i="18"/>
  <c r="AD6" i="18"/>
  <c r="AD52" i="18"/>
  <c r="AE38" i="18"/>
  <c r="AB43" i="18"/>
  <c r="AA44" i="18"/>
  <c r="AA51" i="18"/>
  <c r="AC40" i="18"/>
  <c r="AC5" i="18"/>
  <c r="AC15" i="18"/>
  <c r="AB22" i="18"/>
  <c r="AC9" i="18"/>
  <c r="AD39" i="18"/>
  <c r="AE7" i="18"/>
  <c r="AC3" i="18"/>
  <c r="AB27" i="18"/>
  <c r="AC30" i="18"/>
  <c r="AD7" i="18"/>
  <c r="AE30" i="18"/>
  <c r="AD36" i="18"/>
  <c r="AA16" i="18"/>
  <c r="AA14" i="18"/>
  <c r="AC10" i="18"/>
  <c r="AB37" i="18"/>
  <c r="AE12" i="18"/>
  <c r="AE13" i="18"/>
  <c r="AB31" i="18"/>
  <c r="AB53" i="18"/>
  <c r="AA53" i="18"/>
  <c r="AB52" i="18"/>
  <c r="AD23" i="18"/>
  <c r="AA39" i="18"/>
  <c r="AC12" i="18"/>
  <c r="AA41" i="18"/>
  <c r="AA38" i="18"/>
  <c r="AD13" i="18"/>
  <c r="AC46" i="18"/>
  <c r="AC28" i="18"/>
  <c r="AE39" i="18"/>
  <c r="AA5" i="18"/>
  <c r="AC33" i="18"/>
  <c r="AA50" i="18"/>
  <c r="AC52" i="18"/>
  <c r="AB14" i="18"/>
  <c r="AA46" i="18"/>
  <c r="AB11" i="18"/>
  <c r="AA40" i="18"/>
  <c r="AB39" i="18"/>
  <c r="AA13" i="18"/>
  <c r="AC36" i="18"/>
  <c r="AD10" i="18"/>
  <c r="AB21" i="18"/>
  <c r="AD41" i="18"/>
  <c r="AC51" i="18"/>
  <c r="AC39" i="18"/>
  <c r="AD16" i="18"/>
  <c r="AE37" i="18"/>
  <c r="AB29" i="18"/>
  <c r="AA11" i="18"/>
  <c r="AE22" i="18"/>
  <c r="AB10" i="18"/>
  <c r="AB23" i="18"/>
  <c r="AA6" i="18"/>
  <c r="AC16" i="18"/>
  <c r="AD45" i="18"/>
  <c r="AB28" i="18"/>
  <c r="AB12" i="18"/>
  <c r="AA7" i="18"/>
  <c r="AB4" i="18"/>
  <c r="AD31" i="18"/>
  <c r="AC27" i="18"/>
  <c r="AB26" i="18"/>
  <c r="AE10" i="18"/>
  <c r="AB49" i="18"/>
  <c r="AA32" i="18"/>
  <c r="AC49" i="18"/>
  <c r="AA35" i="18"/>
  <c r="AD49" i="18"/>
  <c r="AA24" i="18"/>
  <c r="AE18" i="18"/>
  <c r="AB35" i="18"/>
  <c r="AD27" i="18"/>
  <c r="AA21" i="18"/>
  <c r="D85" i="1"/>
  <c r="AE4" i="18"/>
  <c r="AC25" i="18"/>
  <c r="AC23" i="18"/>
  <c r="AE36" i="18"/>
  <c r="AC26" i="18"/>
  <c r="AB13" i="18"/>
  <c r="AC42" i="18"/>
  <c r="AD8" i="18"/>
  <c r="AB33" i="18"/>
  <c r="AB41" i="18"/>
  <c r="AD50" i="18"/>
  <c r="AD32" i="18"/>
  <c r="AD4" i="18"/>
  <c r="AE6" i="18"/>
  <c r="V26" i="15"/>
  <c r="AA45" i="18"/>
  <c r="AD37" i="18"/>
  <c r="U26" i="15"/>
  <c r="AE42" i="18"/>
  <c r="AC53" i="18"/>
  <c r="AE19" i="18"/>
  <c r="AE5" i="18"/>
  <c r="AA36" i="18"/>
  <c r="U27" i="15"/>
  <c r="AE53" i="18"/>
  <c r="AE28" i="18"/>
  <c r="AA23" i="18"/>
  <c r="AD44" i="18"/>
  <c r="AD5" i="18"/>
  <c r="AD15" i="18"/>
  <c r="AB18" i="18"/>
  <c r="AC35" i="18"/>
  <c r="AB30" i="18"/>
  <c r="AA31" i="18"/>
  <c r="AB45" i="18"/>
  <c r="AA33" i="18"/>
  <c r="AC14" i="18"/>
  <c r="AE26" i="18"/>
  <c r="AA25" i="18"/>
  <c r="P27" i="15"/>
  <c r="AB48" i="18"/>
  <c r="AD19" i="18"/>
  <c r="AA30" i="18"/>
  <c r="AE21" i="18"/>
  <c r="Q27" i="15"/>
  <c r="AC50" i="18"/>
  <c r="AB9" i="18"/>
  <c r="D76" i="1"/>
  <c r="AB32" i="18"/>
  <c r="AB20" i="18"/>
  <c r="AC18" i="18"/>
  <c r="AE40" i="18"/>
  <c r="AB6" i="18"/>
  <c r="AA43" i="18"/>
  <c r="AE11" i="18"/>
  <c r="AE50" i="18"/>
  <c r="V27" i="15"/>
  <c r="AA22" i="18"/>
  <c r="AD21" i="18"/>
  <c r="AB51" i="18"/>
  <c r="AD42" i="18"/>
  <c r="AB34" i="18"/>
  <c r="AB3" i="18"/>
  <c r="AB16" i="18"/>
  <c r="AE49" i="18"/>
  <c r="AC21" i="18"/>
  <c r="AD47" i="18"/>
  <c r="Q26" i="15"/>
  <c r="AE27" i="18"/>
  <c r="C84" i="1"/>
  <c r="AA15" i="18"/>
  <c r="AE3" i="18"/>
  <c r="AC20" i="18"/>
  <c r="AA47" i="18"/>
  <c r="AA4" i="18"/>
  <c r="AA26" i="18"/>
  <c r="AA37" i="18"/>
  <c r="AB8" i="18"/>
  <c r="AD17" i="18"/>
  <c r="AA29" i="18"/>
  <c r="AD29" i="18"/>
  <c r="AC4" i="18"/>
  <c r="AB38" i="18"/>
  <c r="AA10" i="18"/>
  <c r="AD30" i="18"/>
  <c r="AC19" i="18"/>
  <c r="AE14" i="18"/>
  <c r="AB46" i="18"/>
  <c r="AC41" i="18"/>
  <c r="AE17" i="18"/>
  <c r="AE46" i="18"/>
  <c r="AA42" i="18"/>
  <c r="AD26" i="18"/>
  <c r="AA3" i="18"/>
  <c r="AD38" i="18"/>
  <c r="AE33" i="18"/>
  <c r="AE43" i="18"/>
  <c r="AE48" i="18"/>
  <c r="AE29" i="18"/>
  <c r="AA19" i="18"/>
  <c r="AE32" i="18"/>
  <c r="AC37" i="18"/>
  <c r="AB44" i="18"/>
  <c r="AD28" i="18"/>
  <c r="AC11" i="18"/>
  <c r="AC8" i="18"/>
  <c r="AE51" i="18"/>
  <c r="AD34" i="18"/>
  <c r="AC48" i="18"/>
  <c r="AD51" i="18"/>
  <c r="AC47" i="18"/>
  <c r="AA27" i="18"/>
  <c r="AE20" i="18"/>
  <c r="AF2" i="18" a="1"/>
  <c r="AE25" i="18"/>
  <c r="AD25" i="18"/>
  <c r="AC31" i="18"/>
  <c r="AE16" i="18"/>
  <c r="AB42" i="18"/>
  <c r="AA12" i="18"/>
  <c r="AC43" i="18"/>
  <c r="AE41" i="18"/>
  <c r="AB40" i="18"/>
  <c r="AC22" i="18"/>
  <c r="AE9" i="18"/>
  <c r="AD48" i="18"/>
  <c r="AA28" i="18"/>
  <c r="AE34" i="18"/>
  <c r="AC6" i="18"/>
  <c r="AA34" i="18"/>
  <c r="AD43" i="18"/>
  <c r="AC44" i="18"/>
  <c r="AB25" i="18"/>
  <c r="AE23" i="18"/>
  <c r="AD35" i="18"/>
  <c r="AC7" i="18"/>
  <c r="AB47" i="18"/>
  <c r="AA52" i="18"/>
  <c r="AB36" i="18"/>
  <c r="AC34" i="18"/>
  <c r="C83" i="1"/>
  <c r="D91" i="1"/>
  <c r="AF2" i="18" l="1"/>
  <c r="AF47" i="18"/>
  <c r="AJ47" i="18" s="1"/>
  <c r="AF36" i="18"/>
  <c r="AJ36" i="18" s="1"/>
  <c r="AF28" i="18"/>
  <c r="AJ28" i="18" s="1"/>
  <c r="AF41" i="18"/>
  <c r="AJ41" i="18" s="1"/>
  <c r="AF5" i="18"/>
  <c r="AJ5" i="18" s="1"/>
  <c r="AF30" i="18"/>
  <c r="AJ30" i="18" s="1"/>
  <c r="AF42" i="18"/>
  <c r="AJ42" i="18" s="1"/>
  <c r="AF15" i="18"/>
  <c r="AJ15" i="18" s="1"/>
  <c r="AF11" i="18"/>
  <c r="AJ11" i="18" s="1"/>
  <c r="AF18" i="18"/>
  <c r="AJ18" i="18" s="1"/>
  <c r="AF52" i="18"/>
  <c r="AJ52" i="18" s="1"/>
  <c r="AF40" i="18"/>
  <c r="AJ40" i="18" s="1"/>
  <c r="AF8" i="18"/>
  <c r="AJ8" i="18" s="1"/>
  <c r="AF29" i="18"/>
  <c r="AJ29" i="18" s="1"/>
  <c r="AF34" i="18"/>
  <c r="AJ34" i="18" s="1"/>
  <c r="AF26" i="18"/>
  <c r="AJ26" i="18" s="1"/>
  <c r="AF6" i="18"/>
  <c r="AJ6" i="18" s="1"/>
  <c r="AF53" i="18"/>
  <c r="AJ53" i="18" s="1"/>
  <c r="AF13" i="18"/>
  <c r="AJ13" i="18" s="1"/>
  <c r="AF23" i="18"/>
  <c r="AJ23" i="18" s="1"/>
  <c r="AF48" i="18"/>
  <c r="AJ48" i="18" s="1"/>
  <c r="AF39" i="18"/>
  <c r="AJ39" i="18" s="1"/>
  <c r="AF25" i="18"/>
  <c r="AJ25" i="18" s="1"/>
  <c r="AF33" i="18"/>
  <c r="AJ33" i="18" s="1"/>
  <c r="AF38" i="18"/>
  <c r="AJ38" i="18" s="1"/>
  <c r="AF21" i="18"/>
  <c r="AJ21" i="18" s="1"/>
  <c r="AF3" i="18"/>
  <c r="AJ3" i="18" s="1"/>
  <c r="AF14" i="18"/>
  <c r="AJ14" i="18" s="1"/>
  <c r="AF17" i="18"/>
  <c r="AJ17" i="18" s="1"/>
  <c r="AF10" i="18"/>
  <c r="AJ10" i="18" s="1"/>
  <c r="AF46" i="18"/>
  <c r="AJ46" i="18" s="1"/>
  <c r="AF37" i="18"/>
  <c r="AJ37" i="18" s="1"/>
  <c r="AF22" i="18"/>
  <c r="AJ22" i="18" s="1"/>
  <c r="AF9" i="18"/>
  <c r="AJ9" i="18" s="1"/>
  <c r="AF44" i="18"/>
  <c r="AJ44" i="18" s="1"/>
  <c r="AF24" i="18"/>
  <c r="AJ24" i="18" s="1"/>
  <c r="AF49" i="18"/>
  <c r="AJ49" i="18" s="1"/>
  <c r="AF51" i="18"/>
  <c r="AJ51" i="18" s="1"/>
  <c r="AF20" i="18"/>
  <c r="AJ20" i="18" s="1"/>
  <c r="AF27" i="18"/>
  <c r="AJ27" i="18" s="1"/>
  <c r="AF35" i="18"/>
  <c r="AJ35" i="18" s="1"/>
  <c r="AF7" i="18"/>
  <c r="AJ7" i="18" s="1"/>
  <c r="AF12" i="18"/>
  <c r="AJ12" i="18" s="1"/>
  <c r="AF4" i="18"/>
  <c r="AJ4" i="18" s="1"/>
  <c r="AF31" i="18"/>
  <c r="AJ31" i="18" s="1"/>
  <c r="AF19" i="18"/>
  <c r="AJ19" i="18" s="1"/>
  <c r="AF45" i="18"/>
  <c r="AJ45" i="18" s="1"/>
  <c r="AF50" i="18"/>
  <c r="AJ50" i="18" s="1"/>
  <c r="AF32" i="18"/>
  <c r="AJ32" i="18" s="1"/>
  <c r="AF16" i="18"/>
  <c r="AJ16" i="18" s="1"/>
  <c r="AF43" i="18"/>
  <c r="AJ43" i="18" s="1"/>
  <c r="X16" i="18"/>
  <c r="X17" i="18"/>
  <c r="X18" i="18"/>
  <c r="X23" i="18"/>
  <c r="X14" i="18"/>
  <c r="X45" i="18"/>
  <c r="X43" i="18"/>
  <c r="X47" i="18"/>
  <c r="X12" i="18"/>
  <c r="X48" i="18"/>
  <c r="X50" i="18"/>
  <c r="X37" i="18"/>
  <c r="X40" i="18"/>
  <c r="X3" i="18"/>
  <c r="X7" i="18"/>
  <c r="X38" i="18"/>
  <c r="X39" i="18"/>
  <c r="X46" i="18"/>
  <c r="X10" i="18"/>
  <c r="X20" i="18"/>
  <c r="X11" i="18"/>
  <c r="X13" i="18"/>
  <c r="X30" i="18"/>
  <c r="X26" i="18"/>
  <c r="X21" i="18"/>
  <c r="X24" i="18"/>
  <c r="X35" i="18"/>
  <c r="X32" i="18"/>
  <c r="X28" i="18"/>
  <c r="X15" i="18"/>
  <c r="X8" i="18"/>
  <c r="X22" i="18"/>
  <c r="X33" i="18"/>
  <c r="X31" i="18"/>
  <c r="X6" i="18"/>
  <c r="X4" i="18"/>
  <c r="X49" i="18"/>
  <c r="X53" i="18"/>
  <c r="X52" i="18"/>
  <c r="X9" i="18"/>
  <c r="X29" i="18"/>
  <c r="X51" i="18"/>
  <c r="X25" i="18"/>
  <c r="X42" i="18"/>
  <c r="X19" i="18"/>
  <c r="X34" i="18"/>
  <c r="X44" i="18"/>
  <c r="X36" i="18"/>
  <c r="X27" i="18"/>
  <c r="X41" i="18"/>
  <c r="X5" i="18"/>
  <c r="D83" i="1"/>
  <c r="D84" i="1"/>
  <c r="Z3" i="15" l="1" a="1"/>
  <c r="Y3" i="15" a="1"/>
  <c r="Y24" i="15" l="1"/>
  <c r="Y26" i="15"/>
  <c r="Y33" i="15"/>
  <c r="Y10" i="15"/>
  <c r="Y3" i="15"/>
  <c r="Y39" i="15"/>
  <c r="Y50" i="15"/>
  <c r="Y36" i="15"/>
  <c r="Y40" i="15"/>
  <c r="Y43" i="15"/>
  <c r="Y20" i="15"/>
  <c r="Y13" i="15"/>
  <c r="Y41" i="15"/>
  <c r="Y61" i="15"/>
  <c r="Y14" i="15"/>
  <c r="Y34" i="15"/>
  <c r="Y65" i="15"/>
  <c r="Y15" i="15"/>
  <c r="Y35" i="15"/>
  <c r="Y52" i="15"/>
  <c r="Y28" i="15"/>
  <c r="Y27" i="15"/>
  <c r="Y64" i="15"/>
  <c r="Y37" i="15"/>
  <c r="Y47" i="15"/>
  <c r="Y11" i="15"/>
  <c r="Y22" i="15"/>
  <c r="Y7" i="15"/>
  <c r="Y9" i="15"/>
  <c r="Y49" i="15"/>
  <c r="Y45" i="15"/>
  <c r="Y38" i="15"/>
  <c r="Y51" i="15"/>
  <c r="Y8" i="15"/>
  <c r="Y63" i="15"/>
  <c r="Y44" i="15"/>
  <c r="Y25" i="15"/>
  <c r="Y23" i="15"/>
  <c r="Y21" i="15"/>
  <c r="Y29" i="15"/>
  <c r="Y46" i="15"/>
  <c r="Y19" i="15"/>
  <c r="Y59" i="15"/>
  <c r="Y18" i="15"/>
  <c r="Y58" i="15"/>
  <c r="Y42" i="15"/>
  <c r="Y6" i="15"/>
  <c r="Y60" i="15"/>
  <c r="Y31" i="15"/>
  <c r="Y62" i="15"/>
  <c r="Y17" i="15"/>
  <c r="Y55" i="15"/>
  <c r="Y5" i="15"/>
  <c r="Y48" i="15"/>
  <c r="Y57" i="15"/>
  <c r="Y53" i="15"/>
  <c r="Y32" i="15"/>
  <c r="Y12" i="15"/>
  <c r="Y56" i="15"/>
  <c r="Y4" i="15"/>
  <c r="Y16" i="15"/>
  <c r="Y30" i="15"/>
  <c r="Y54" i="15"/>
  <c r="Z40" i="15"/>
  <c r="Z23" i="15"/>
  <c r="Z22" i="15"/>
  <c r="Z10" i="15"/>
  <c r="Z62" i="15"/>
  <c r="Z49" i="15"/>
  <c r="Z59" i="15"/>
  <c r="Z46" i="15"/>
  <c r="Z13" i="15"/>
  <c r="Z39" i="15"/>
  <c r="Z57" i="15"/>
  <c r="Z53" i="15"/>
  <c r="Z38" i="15"/>
  <c r="Z64" i="15"/>
  <c r="Z50" i="15"/>
  <c r="Z14" i="15"/>
  <c r="Z31" i="15"/>
  <c r="Z42" i="15"/>
  <c r="Z41" i="15"/>
  <c r="Z36" i="15"/>
  <c r="Z63" i="15"/>
  <c r="Z56" i="15"/>
  <c r="Z26" i="15"/>
  <c r="Z25" i="15"/>
  <c r="Z16" i="15"/>
  <c r="Z61" i="15"/>
  <c r="Z5" i="15"/>
  <c r="Z28" i="15"/>
  <c r="Z4" i="15"/>
  <c r="Z44" i="15"/>
  <c r="Z3" i="15"/>
  <c r="Z17" i="15"/>
  <c r="Z6" i="15"/>
  <c r="Z43" i="15"/>
  <c r="Z32" i="15"/>
  <c r="Z9" i="15"/>
  <c r="Z19" i="15"/>
  <c r="Z8" i="15"/>
  <c r="Z65" i="15"/>
  <c r="Z35" i="15"/>
  <c r="Z30" i="15"/>
  <c r="Z37" i="15"/>
  <c r="Z58" i="15"/>
  <c r="Z51" i="15"/>
  <c r="Z54" i="15"/>
  <c r="Z55" i="15"/>
  <c r="Z21" i="15"/>
  <c r="Z15" i="15"/>
  <c r="Z29" i="15"/>
  <c r="Z47" i="15"/>
  <c r="Z24" i="15"/>
  <c r="Z18" i="15"/>
  <c r="Z20" i="15"/>
  <c r="Z48" i="15"/>
  <c r="Z34" i="15"/>
  <c r="Z11" i="15"/>
  <c r="Z33" i="15"/>
  <c r="Z27" i="15"/>
  <c r="Z12" i="15"/>
  <c r="Z45" i="15"/>
  <c r="Z52" i="15"/>
  <c r="Z7" i="15"/>
  <c r="Z60" i="15"/>
  <c r="AA24" i="15"/>
  <c r="AB24" i="15"/>
  <c r="AC24" i="15"/>
  <c r="AD24" i="15"/>
  <c r="AE24" i="15"/>
  <c r="AE40" i="15"/>
  <c r="AB40" i="15"/>
  <c r="AD40" i="15"/>
  <c r="AC40" i="15"/>
  <c r="AA40" i="15"/>
  <c r="AA65" i="15"/>
  <c r="AD65" i="15"/>
  <c r="AB65" i="15"/>
  <c r="AC65" i="15"/>
  <c r="AE65" i="15"/>
  <c r="AB47" i="15"/>
  <c r="AA47" i="15"/>
  <c r="AC47" i="15"/>
  <c r="AE47" i="15"/>
  <c r="AD47" i="15"/>
  <c r="AE51" i="15"/>
  <c r="AD51" i="15"/>
  <c r="AA51" i="15"/>
  <c r="AB51" i="15"/>
  <c r="AC51" i="15"/>
  <c r="AD46" i="15"/>
  <c r="AB46" i="15"/>
  <c r="AA46" i="15"/>
  <c r="AE46" i="15"/>
  <c r="AC46" i="15"/>
  <c r="AE31" i="15"/>
  <c r="AD31" i="15"/>
  <c r="AC31" i="15"/>
  <c r="AA31" i="15"/>
  <c r="AB31" i="15"/>
  <c r="AB32" i="15"/>
  <c r="AD32" i="15"/>
  <c r="AE32" i="15"/>
  <c r="AA32" i="15"/>
  <c r="AC32" i="15"/>
  <c r="AC26" i="15"/>
  <c r="AB26" i="15"/>
  <c r="AA26" i="15"/>
  <c r="AD26" i="15"/>
  <c r="AE26" i="15"/>
  <c r="AD43" i="15"/>
  <c r="AB43" i="15"/>
  <c r="AC43" i="15"/>
  <c r="AE43" i="15"/>
  <c r="AA43" i="15"/>
  <c r="AC15" i="15"/>
  <c r="AA15" i="15"/>
  <c r="AE15" i="15"/>
  <c r="AD15" i="15"/>
  <c r="AB15" i="15"/>
  <c r="AE11" i="15"/>
  <c r="AC11" i="15"/>
  <c r="AB11" i="15"/>
  <c r="AD11" i="15"/>
  <c r="AA11" i="15"/>
  <c r="AE8" i="15"/>
  <c r="AC8" i="15"/>
  <c r="AA8" i="15"/>
  <c r="AD8" i="15"/>
  <c r="AB8" i="15"/>
  <c r="AA19" i="15"/>
  <c r="AC19" i="15"/>
  <c r="AB19" i="15"/>
  <c r="AE19" i="15"/>
  <c r="AD19" i="15"/>
  <c r="AA62" i="15"/>
  <c r="AD62" i="15"/>
  <c r="AC62" i="15"/>
  <c r="AE62" i="15"/>
  <c r="AB62" i="15"/>
  <c r="AE12" i="15"/>
  <c r="AC12" i="15"/>
  <c r="AA12" i="15"/>
  <c r="AB12" i="15"/>
  <c r="AD12" i="15"/>
  <c r="AE33" i="15"/>
  <c r="AA33" i="15"/>
  <c r="AD33" i="15"/>
  <c r="AC33" i="15"/>
  <c r="AB33" i="15"/>
  <c r="AE20" i="15"/>
  <c r="AA20" i="15"/>
  <c r="AC20" i="15"/>
  <c r="AB20" i="15"/>
  <c r="AD20" i="15"/>
  <c r="AD35" i="15"/>
  <c r="AC35" i="15"/>
  <c r="AB35" i="15"/>
  <c r="AA35" i="15"/>
  <c r="AE35" i="15"/>
  <c r="AE22" i="15"/>
  <c r="AD22" i="15"/>
  <c r="AB22" i="15"/>
  <c r="AA22" i="15"/>
  <c r="AC22" i="15"/>
  <c r="AB63" i="15"/>
  <c r="AD63" i="15"/>
  <c r="AC63" i="15"/>
  <c r="AA63" i="15"/>
  <c r="AE63" i="15"/>
  <c r="AB59" i="15"/>
  <c r="AC59" i="15"/>
  <c r="AD59" i="15"/>
  <c r="AA59" i="15"/>
  <c r="AE59" i="15"/>
  <c r="AC17" i="15"/>
  <c r="AD17" i="15"/>
  <c r="AB17" i="15"/>
  <c r="AA17" i="15"/>
  <c r="AE17" i="15"/>
  <c r="AA56" i="15"/>
  <c r="AD56" i="15"/>
  <c r="AC56" i="15"/>
  <c r="AB56" i="15"/>
  <c r="AE56" i="15"/>
  <c r="AA10" i="15"/>
  <c r="AC10" i="15"/>
  <c r="AE10" i="15"/>
  <c r="AD10" i="15"/>
  <c r="AB10" i="15"/>
  <c r="AA13" i="15"/>
  <c r="AB13" i="15"/>
  <c r="AD13" i="15"/>
  <c r="AE13" i="15"/>
  <c r="AC13" i="15"/>
  <c r="AA52" i="15"/>
  <c r="AB52" i="15"/>
  <c r="AC52" i="15"/>
  <c r="AE52" i="15"/>
  <c r="AD52" i="15"/>
  <c r="AC7" i="15"/>
  <c r="AB7" i="15"/>
  <c r="AA7" i="15"/>
  <c r="AE7" i="15"/>
  <c r="AD7" i="15"/>
  <c r="AB44" i="15"/>
  <c r="AC44" i="15"/>
  <c r="AD44" i="15"/>
  <c r="AA44" i="15"/>
  <c r="AE44" i="15"/>
  <c r="AB18" i="15"/>
  <c r="AA18" i="15"/>
  <c r="AC18" i="15"/>
  <c r="AE18" i="15"/>
  <c r="AD18" i="15"/>
  <c r="AC55" i="15"/>
  <c r="AE55" i="15"/>
  <c r="AD55" i="15"/>
  <c r="AB55" i="15"/>
  <c r="AA55" i="15"/>
  <c r="AC4" i="15"/>
  <c r="AA4" i="15"/>
  <c r="AE4" i="15"/>
  <c r="AD4" i="15"/>
  <c r="AB4" i="15"/>
  <c r="AD3" i="15"/>
  <c r="AB3" i="15"/>
  <c r="AC3" i="15"/>
  <c r="AA3" i="15"/>
  <c r="AE3" i="15"/>
  <c r="AA41" i="15"/>
  <c r="AD41" i="15"/>
  <c r="AC41" i="15"/>
  <c r="AE41" i="15"/>
  <c r="AB41" i="15"/>
  <c r="AD28" i="15"/>
  <c r="AB28" i="15"/>
  <c r="AC28" i="15"/>
  <c r="AA28" i="15"/>
  <c r="AE28" i="15"/>
  <c r="AC9" i="15"/>
  <c r="AD9" i="15"/>
  <c r="AE9" i="15"/>
  <c r="AB9" i="15"/>
  <c r="AA9" i="15"/>
  <c r="AA25" i="15"/>
  <c r="AE25" i="15"/>
  <c r="AC25" i="15"/>
  <c r="AD25" i="15"/>
  <c r="AB25" i="15"/>
  <c r="AD58" i="15"/>
  <c r="AE58" i="15"/>
  <c r="AC58" i="15"/>
  <c r="AA58" i="15"/>
  <c r="AB58" i="15"/>
  <c r="AA5" i="15"/>
  <c r="AC5" i="15"/>
  <c r="AE5" i="15"/>
  <c r="AD5" i="15"/>
  <c r="AB5" i="15"/>
  <c r="AA16" i="15"/>
  <c r="AB16" i="15"/>
  <c r="AD16" i="15"/>
  <c r="AC16" i="15"/>
  <c r="AE16" i="15"/>
  <c r="AE39" i="15"/>
  <c r="AB39" i="15"/>
  <c r="AC39" i="15"/>
  <c r="AD39" i="15"/>
  <c r="AA39" i="15"/>
  <c r="AA61" i="15"/>
  <c r="AD61" i="15"/>
  <c r="AE61" i="15"/>
  <c r="AB61" i="15"/>
  <c r="AC61" i="15"/>
  <c r="AE27" i="15"/>
  <c r="AC27" i="15"/>
  <c r="AA27" i="15"/>
  <c r="AD27" i="15"/>
  <c r="AB27" i="15"/>
  <c r="AD49" i="15"/>
  <c r="AE49" i="15"/>
  <c r="AA49" i="15"/>
  <c r="AC49" i="15"/>
  <c r="AB49" i="15"/>
  <c r="AC23" i="15"/>
  <c r="AE23" i="15"/>
  <c r="AA23" i="15"/>
  <c r="AD23" i="15"/>
  <c r="AB23" i="15"/>
  <c r="AC42" i="15"/>
  <c r="AA42" i="15"/>
  <c r="AB42" i="15"/>
  <c r="AD42" i="15"/>
  <c r="AE42" i="15"/>
  <c r="AA48" i="15"/>
  <c r="AD48" i="15"/>
  <c r="AE48" i="15"/>
  <c r="AC48" i="15"/>
  <c r="AB48" i="15"/>
  <c r="AD30" i="15"/>
  <c r="AB30" i="15"/>
  <c r="AC30" i="15"/>
  <c r="AA30" i="15"/>
  <c r="AE30" i="15"/>
  <c r="AA50" i="15"/>
  <c r="AC50" i="15"/>
  <c r="AB50" i="15"/>
  <c r="AE50" i="15"/>
  <c r="AD50" i="15"/>
  <c r="AA14" i="15"/>
  <c r="AC14" i="15"/>
  <c r="AD14" i="15"/>
  <c r="AE14" i="15"/>
  <c r="AB14" i="15"/>
  <c r="AA64" i="15"/>
  <c r="AD64" i="15"/>
  <c r="AE64" i="15"/>
  <c r="AC64" i="15"/>
  <c r="AB64" i="15"/>
  <c r="AC45" i="15"/>
  <c r="AD45" i="15"/>
  <c r="AB45" i="15"/>
  <c r="AA45" i="15"/>
  <c r="AE45" i="15"/>
  <c r="AE21" i="15"/>
  <c r="AB21" i="15"/>
  <c r="AA21" i="15"/>
  <c r="AC21" i="15"/>
  <c r="AD21" i="15"/>
  <c r="AD6" i="15"/>
  <c r="AA6" i="15"/>
  <c r="AE6" i="15"/>
  <c r="AB6" i="15"/>
  <c r="AC6" i="15"/>
  <c r="AC57" i="15"/>
  <c r="AD57" i="15"/>
  <c r="AA57" i="15"/>
  <c r="AE57" i="15"/>
  <c r="AB57" i="15"/>
  <c r="AE54" i="15"/>
  <c r="AD54" i="15"/>
  <c r="AB54" i="15"/>
  <c r="AC54" i="15"/>
  <c r="AA54" i="15"/>
  <c r="AB36" i="15"/>
  <c r="AC36" i="15"/>
  <c r="AA36" i="15"/>
  <c r="AE36" i="15"/>
  <c r="AD36" i="15"/>
  <c r="AD34" i="15"/>
  <c r="AB34" i="15"/>
  <c r="AC34" i="15"/>
  <c r="AA34" i="15"/>
  <c r="AE34" i="15"/>
  <c r="AD37" i="15"/>
  <c r="AA37" i="15"/>
  <c r="AE37" i="15"/>
  <c r="AB37" i="15"/>
  <c r="AC37" i="15"/>
  <c r="AC38" i="15"/>
  <c r="AA38" i="15"/>
  <c r="AE38" i="15"/>
  <c r="AD38" i="15"/>
  <c r="AB38" i="15"/>
  <c r="AD29" i="15"/>
  <c r="AC29" i="15"/>
  <c r="AB29" i="15"/>
  <c r="AA29" i="15"/>
  <c r="AE29" i="15"/>
  <c r="AC60" i="15"/>
  <c r="AA60" i="15"/>
  <c r="AD60" i="15"/>
  <c r="AB60" i="15"/>
  <c r="AE60" i="15"/>
  <c r="AB53" i="15"/>
  <c r="AD53" i="15"/>
  <c r="AC53" i="15"/>
  <c r="AE53" i="15"/>
  <c r="AA53" i="15"/>
  <c r="X53" i="15" l="1"/>
  <c r="X60" i="15"/>
  <c r="X29" i="15"/>
  <c r="X38" i="15"/>
  <c r="X37" i="15"/>
  <c r="X34" i="15"/>
  <c r="X36" i="15"/>
  <c r="X54" i="15"/>
  <c r="X57" i="15"/>
  <c r="X6" i="15"/>
  <c r="X21" i="15"/>
  <c r="X45" i="15"/>
  <c r="X64" i="15"/>
  <c r="X14" i="15"/>
  <c r="X50" i="15"/>
  <c r="X30" i="15"/>
  <c r="X48" i="15"/>
  <c r="X42" i="15"/>
  <c r="X23" i="15"/>
  <c r="X49" i="15"/>
  <c r="X27" i="15"/>
  <c r="X61" i="15"/>
  <c r="X39" i="15"/>
  <c r="X16" i="15"/>
  <c r="X5" i="15"/>
  <c r="X58" i="15"/>
  <c r="X25" i="15"/>
  <c r="X9" i="15"/>
  <c r="X28" i="15"/>
  <c r="X41" i="15"/>
  <c r="X3" i="15"/>
  <c r="X4" i="15"/>
  <c r="X55" i="15"/>
  <c r="X18" i="15"/>
  <c r="X44" i="15"/>
  <c r="X7" i="15"/>
  <c r="X52" i="15"/>
  <c r="X13" i="15"/>
  <c r="X10" i="15"/>
  <c r="X56" i="15"/>
  <c r="X17" i="15"/>
  <c r="X59" i="15"/>
  <c r="X63" i="15"/>
  <c r="X22" i="15"/>
  <c r="X35" i="15"/>
  <c r="X20" i="15"/>
  <c r="X33" i="15"/>
  <c r="X12" i="15"/>
  <c r="X62" i="15"/>
  <c r="X19" i="15"/>
  <c r="X8" i="15"/>
  <c r="X11" i="15"/>
  <c r="X15" i="15"/>
  <c r="X43" i="15"/>
  <c r="X26" i="15"/>
  <c r="X32" i="15"/>
  <c r="X31" i="15"/>
  <c r="X46" i="15"/>
  <c r="X51" i="15"/>
  <c r="X47" i="15"/>
  <c r="X65" i="15"/>
  <c r="X40" i="15"/>
  <c r="X24" i="15"/>
  <c r="D90" i="1" l="1"/>
  <c r="I75" i="1"/>
  <c r="I45" i="1"/>
  <c r="I30" i="1"/>
  <c r="D30" i="1"/>
  <c r="I15" i="1"/>
  <c r="D15" i="1"/>
  <c r="H53" i="1"/>
  <c r="H54" i="1"/>
  <c r="C99" i="1"/>
  <c r="C98" i="1"/>
  <c r="AC2" i="19" a="1"/>
  <c r="D100" i="1"/>
  <c r="AF18" i="19"/>
  <c r="AF31" i="19"/>
  <c r="AF55" i="19"/>
  <c r="AF35" i="19"/>
  <c r="AF63" i="19"/>
  <c r="AF9" i="19"/>
  <c r="AF57" i="19"/>
  <c r="AF58" i="19"/>
  <c r="AF8" i="19"/>
  <c r="AF33" i="19"/>
  <c r="AF28" i="19"/>
  <c r="AF51" i="19"/>
  <c r="AF43" i="19"/>
  <c r="AF41" i="19"/>
  <c r="AF11" i="19"/>
  <c r="AF38" i="19"/>
  <c r="AF45" i="19"/>
  <c r="AF61" i="19"/>
  <c r="AF70" i="19"/>
  <c r="AF42" i="19"/>
  <c r="AF47" i="19"/>
  <c r="AF48" i="19"/>
  <c r="AF56" i="19"/>
  <c r="AF71" i="19"/>
  <c r="AF39" i="19"/>
  <c r="AF60" i="19"/>
  <c r="AF26" i="19"/>
  <c r="AF72" i="19"/>
  <c r="AF19" i="19"/>
  <c r="AF27" i="19"/>
  <c r="AF3" i="19"/>
  <c r="AF67" i="19"/>
  <c r="AF13" i="19"/>
  <c r="AF15" i="19"/>
  <c r="AF37" i="19"/>
  <c r="AF29" i="19"/>
  <c r="AF54" i="19"/>
  <c r="AF62" i="19"/>
  <c r="AF22" i="19"/>
  <c r="AF30" i="19"/>
  <c r="AF20" i="19"/>
  <c r="AF36" i="19"/>
  <c r="AF50" i="19"/>
  <c r="AF40" i="19"/>
  <c r="AF23" i="19"/>
  <c r="AF68" i="19"/>
  <c r="AF52" i="19"/>
  <c r="AF34" i="19"/>
  <c r="AF65" i="19"/>
  <c r="AF16" i="19"/>
  <c r="AF46" i="19"/>
  <c r="AF7" i="19"/>
  <c r="AF24" i="19"/>
  <c r="AF5" i="19"/>
  <c r="AF25" i="19"/>
  <c r="AF17" i="19"/>
  <c r="AF49" i="19"/>
  <c r="AF12" i="19"/>
  <c r="AF4" i="19"/>
  <c r="AF32" i="19"/>
  <c r="AF21" i="19"/>
  <c r="AF66" i="19"/>
  <c r="AF44" i="19"/>
  <c r="AF14" i="19"/>
  <c r="AF10" i="19"/>
  <c r="AF64" i="19"/>
  <c r="AF59" i="19"/>
  <c r="AF53" i="19"/>
  <c r="AF6" i="19"/>
  <c r="AF69" i="19"/>
  <c r="AC54" i="19"/>
  <c r="AC64" i="19"/>
  <c r="AC7" i="19"/>
  <c r="AC6" i="19"/>
  <c r="AC52" i="19"/>
  <c r="AC19" i="19"/>
  <c r="AC5" i="19"/>
  <c r="AC72" i="19"/>
  <c r="AC71" i="19"/>
  <c r="AC69" i="19"/>
  <c r="AC11" i="19"/>
  <c r="AC61" i="19"/>
  <c r="AC22" i="19"/>
  <c r="AC26" i="19"/>
  <c r="AC37" i="19"/>
  <c r="AC65" i="19"/>
  <c r="AC63" i="19"/>
  <c r="AC46" i="19"/>
  <c r="AC29" i="19"/>
  <c r="AC2" i="19"/>
  <c r="AC41" i="19"/>
  <c r="AC30" i="19"/>
  <c r="AC8" i="19"/>
  <c r="AC43" i="19"/>
  <c r="AC36" i="19"/>
  <c r="AC14" i="19"/>
  <c r="AC32" i="19"/>
  <c r="AC28" i="19"/>
  <c r="AC12" i="19"/>
  <c r="AC10" i="19"/>
  <c r="AC3" i="19"/>
  <c r="AC35" i="19"/>
  <c r="AC44" i="19"/>
  <c r="AC67" i="19"/>
  <c r="AC62" i="19"/>
  <c r="AC27" i="19"/>
  <c r="AC16" i="19"/>
  <c r="AC40" i="19"/>
  <c r="AC58" i="19"/>
  <c r="AC55" i="19"/>
  <c r="AC38" i="19"/>
  <c r="AC45" i="19"/>
  <c r="AC13" i="19"/>
  <c r="AC18" i="19"/>
  <c r="AC50" i="19"/>
  <c r="AC33" i="19"/>
  <c r="AC9" i="19"/>
  <c r="AC70" i="19"/>
  <c r="AC47" i="19"/>
  <c r="AC48" i="19"/>
  <c r="AC23" i="19"/>
  <c r="AC25" i="19"/>
  <c r="AC59" i="19"/>
  <c r="AC31" i="19"/>
  <c r="AC56" i="19"/>
  <c r="AC20" i="19"/>
  <c r="AC34" i="19"/>
  <c r="AC17" i="19"/>
  <c r="AC51" i="19"/>
  <c r="AC68" i="19"/>
  <c r="AC66" i="19"/>
  <c r="AC21" i="19"/>
  <c r="AC24" i="19"/>
  <c r="AC53" i="19"/>
  <c r="AC42" i="19"/>
  <c r="AC4" i="19"/>
  <c r="AC39" i="19"/>
  <c r="AC57" i="19"/>
  <c r="AC49" i="19"/>
  <c r="AC15" i="19"/>
  <c r="AC60" i="19"/>
  <c r="I46" i="1"/>
  <c r="I53" i="1"/>
  <c r="I54" i="1"/>
  <c r="I55" i="1"/>
  <c r="D99" i="1"/>
  <c r="AG2" i="16" a="1"/>
  <c r="D98" i="1"/>
  <c r="AG17" i="16"/>
  <c r="AL17" i="16" s="1"/>
  <c r="AG16" i="16"/>
  <c r="AL16" i="16"/>
  <c r="AG19" i="16"/>
  <c r="AL19" i="16"/>
  <c r="AG44" i="16"/>
  <c r="AL44" i="16"/>
  <c r="AG27" i="16"/>
  <c r="AL27" i="16" s="1"/>
  <c r="AG21" i="16"/>
  <c r="AL21" i="16"/>
  <c r="AG39" i="16"/>
  <c r="AL39" i="16"/>
  <c r="AG38" i="16"/>
  <c r="AL38" i="16"/>
  <c r="AG49" i="16"/>
  <c r="AL49" i="16"/>
  <c r="AG29" i="16"/>
  <c r="AL29" i="16"/>
  <c r="AG43" i="16"/>
  <c r="AL43" i="16"/>
  <c r="AG31" i="16"/>
  <c r="AL31" i="16"/>
  <c r="AG8" i="16"/>
  <c r="AL8" i="16"/>
  <c r="AG50" i="16"/>
  <c r="AL50" i="16"/>
  <c r="AG56" i="16"/>
  <c r="AL56" i="16"/>
  <c r="AG7" i="16"/>
  <c r="AL7" i="16"/>
  <c r="AG18" i="16"/>
  <c r="AL18" i="16"/>
  <c r="AG37" i="16"/>
  <c r="AL37" i="16"/>
  <c r="AG53" i="16"/>
  <c r="AL53" i="16"/>
  <c r="AG15" i="16"/>
  <c r="AL15" i="16"/>
  <c r="AG24" i="16"/>
  <c r="AL24" i="16"/>
  <c r="AG35" i="16"/>
  <c r="AL35" i="16"/>
  <c r="AG57" i="16"/>
  <c r="AL57" i="16"/>
  <c r="AG58" i="16"/>
  <c r="AL58" i="16"/>
  <c r="AG13" i="16"/>
  <c r="AL13" i="16"/>
  <c r="AG52" i="16"/>
  <c r="AL52" i="16"/>
  <c r="AG5" i="16"/>
  <c r="AL5" i="16"/>
  <c r="AG23" i="16"/>
  <c r="AL23" i="16"/>
  <c r="AG3" i="16"/>
  <c r="AL3" i="16"/>
  <c r="AG34" i="16"/>
  <c r="AL34" i="16"/>
  <c r="AG48" i="16"/>
  <c r="AL48" i="16"/>
  <c r="AG32" i="16"/>
  <c r="AL32" i="16"/>
  <c r="AG10" i="16"/>
  <c r="AL10" i="16"/>
  <c r="AG11" i="16"/>
  <c r="AL11" i="16"/>
  <c r="AG12" i="16"/>
  <c r="AL12" i="16"/>
  <c r="AG46" i="16"/>
  <c r="AL46" i="16"/>
  <c r="AG25" i="16"/>
  <c r="AL25" i="16"/>
  <c r="AG36" i="16"/>
  <c r="AL36" i="16"/>
  <c r="AG9" i="16"/>
  <c r="AL9" i="16"/>
  <c r="AG45" i="16"/>
  <c r="AL45" i="16"/>
  <c r="AG47" i="16"/>
  <c r="AL47" i="16"/>
  <c r="AG54" i="16"/>
  <c r="AL54" i="16"/>
  <c r="AG26" i="16"/>
  <c r="AL26" i="16"/>
  <c r="AG42" i="16"/>
  <c r="AL42" i="16"/>
  <c r="AG6" i="16"/>
  <c r="AL6" i="16"/>
  <c r="AG59" i="16"/>
  <c r="AL59" i="16"/>
  <c r="AG2" i="16"/>
  <c r="AG4" i="16"/>
  <c r="AL4" i="16"/>
  <c r="AG40" i="16"/>
  <c r="AL40" i="16" s="1"/>
  <c r="AG30" i="16"/>
  <c r="AL30" i="16"/>
  <c r="AG55" i="16"/>
  <c r="AL55" i="16"/>
  <c r="AG51" i="16"/>
  <c r="AL51" i="16"/>
  <c r="AG22" i="16"/>
  <c r="AL22" i="16" s="1"/>
  <c r="AG33" i="16"/>
  <c r="AL33" i="16" s="1"/>
  <c r="AG41" i="16"/>
  <c r="AL41" i="16" s="1"/>
  <c r="AG28" i="16"/>
  <c r="AL28" i="16" s="1"/>
  <c r="AG20" i="16"/>
  <c r="AL20" i="16" s="1"/>
  <c r="AG14" i="16"/>
  <c r="AL14" i="16"/>
  <c r="I25" i="1"/>
  <c r="C24" i="1"/>
  <c r="AA2" i="14" a="1"/>
  <c r="H24" i="1"/>
  <c r="H23" i="1"/>
  <c r="C23" i="1"/>
  <c r="D16" i="1"/>
  <c r="Z2" i="14" a="1"/>
  <c r="D25" i="1"/>
  <c r="AA70" i="14"/>
  <c r="AF70" i="14"/>
  <c r="AA2" i="14"/>
  <c r="AA44" i="14"/>
  <c r="AF44" i="14"/>
  <c r="AA39" i="14"/>
  <c r="AF39" i="14"/>
  <c r="AA45" i="14"/>
  <c r="AF45" i="14" s="1"/>
  <c r="AA41" i="14"/>
  <c r="AF41" i="14"/>
  <c r="AA61" i="14"/>
  <c r="AF61" i="14"/>
  <c r="AA72" i="14"/>
  <c r="AF72" i="14"/>
  <c r="AA48" i="14"/>
  <c r="AF48" i="14" s="1"/>
  <c r="Z77" i="14"/>
  <c r="AD77" i="14" s="1"/>
  <c r="Z49" i="14"/>
  <c r="AD49" i="14"/>
  <c r="Z29" i="14"/>
  <c r="AD29" i="14"/>
  <c r="Z21" i="14"/>
  <c r="AD21" i="14" s="1"/>
  <c r="Z8" i="14"/>
  <c r="AD8" i="14"/>
  <c r="Z72" i="14"/>
  <c r="AD72" i="14" s="1"/>
  <c r="Z9" i="14"/>
  <c r="AD9" i="14"/>
  <c r="Z18" i="14"/>
  <c r="AD18" i="14" s="1"/>
  <c r="Z65" i="14"/>
  <c r="AD65" i="14"/>
  <c r="AA17" i="14"/>
  <c r="AF17" i="14" s="1"/>
  <c r="AA66" i="14"/>
  <c r="AF66" i="14" s="1"/>
  <c r="AA14" i="14"/>
  <c r="AF14" i="14" s="1"/>
  <c r="AA4" i="14"/>
  <c r="AF4" i="14"/>
  <c r="AA37" i="14"/>
  <c r="AF37" i="14"/>
  <c r="AA32" i="14"/>
  <c r="AF32" i="14" s="1"/>
  <c r="AA12" i="14"/>
  <c r="AF12" i="14" s="1"/>
  <c r="AA15" i="14"/>
  <c r="AF15" i="14"/>
  <c r="AA56" i="14"/>
  <c r="AF56" i="14"/>
  <c r="Z36" i="14"/>
  <c r="AD36" i="14"/>
  <c r="Z43" i="14"/>
  <c r="AD43" i="14" s="1"/>
  <c r="Z67" i="14"/>
  <c r="AD67" i="14" s="1"/>
  <c r="Z61" i="14"/>
  <c r="AD61" i="14"/>
  <c r="Z54" i="14"/>
  <c r="AD54" i="14"/>
  <c r="Z64" i="14"/>
  <c r="AD64" i="14" s="1"/>
  <c r="Z13" i="14"/>
  <c r="AD13" i="14" s="1"/>
  <c r="Z34" i="14"/>
  <c r="AD34" i="14" s="1"/>
  <c r="Z28" i="14"/>
  <c r="AD28" i="14"/>
  <c r="AA68" i="14"/>
  <c r="AF68" i="14" s="1"/>
  <c r="AA29" i="14"/>
  <c r="AF29" i="14" s="1"/>
  <c r="AA7" i="14"/>
  <c r="AF7" i="14" s="1"/>
  <c r="AA75" i="14"/>
  <c r="AF75" i="14"/>
  <c r="AA36" i="14"/>
  <c r="AF36" i="14" s="1"/>
  <c r="AA34" i="14"/>
  <c r="AF34" i="14" s="1"/>
  <c r="AA22" i="14"/>
  <c r="AF22" i="14" s="1"/>
  <c r="AA63" i="14"/>
  <c r="AF63" i="14" s="1"/>
  <c r="AA59" i="14"/>
  <c r="AF59" i="14" s="1"/>
  <c r="Z7" i="14"/>
  <c r="AD7" i="14"/>
  <c r="Z71" i="14"/>
  <c r="AD71" i="14"/>
  <c r="Z70" i="14"/>
  <c r="AD70" i="14"/>
  <c r="Z38" i="14"/>
  <c r="AD38" i="14" s="1"/>
  <c r="Z16" i="14"/>
  <c r="AD16" i="14"/>
  <c r="Z31" i="14"/>
  <c r="AD31" i="14" s="1"/>
  <c r="Z15" i="14"/>
  <c r="AD15" i="14"/>
  <c r="Z58" i="14"/>
  <c r="AD58" i="14" s="1"/>
  <c r="Z14" i="14"/>
  <c r="AD14" i="14" s="1"/>
  <c r="Z46" i="14"/>
  <c r="AD46" i="14"/>
  <c r="AA25" i="14"/>
  <c r="AF25" i="14" s="1"/>
  <c r="AA43" i="14"/>
  <c r="AF43" i="14" s="1"/>
  <c r="AA13" i="14"/>
  <c r="AF13" i="14"/>
  <c r="AA38" i="14"/>
  <c r="AF38" i="14"/>
  <c r="AA46" i="14"/>
  <c r="AF46" i="14" s="1"/>
  <c r="AA24" i="14"/>
  <c r="AF24" i="14" s="1"/>
  <c r="AA62" i="14"/>
  <c r="AF62" i="14" s="1"/>
  <c r="AA54" i="14"/>
  <c r="AF54" i="14"/>
  <c r="AA40" i="14"/>
  <c r="AF40" i="14" s="1"/>
  <c r="Z66" i="14"/>
  <c r="AD66" i="14" s="1"/>
  <c r="Z51" i="14"/>
  <c r="AD51" i="14" s="1"/>
  <c r="Z12" i="14"/>
  <c r="AD12" i="14" s="1"/>
  <c r="Z39" i="14"/>
  <c r="AD39" i="14"/>
  <c r="Z59" i="14"/>
  <c r="AD59" i="14" s="1"/>
  <c r="Z10" i="14"/>
  <c r="AD10" i="14"/>
  <c r="Z74" i="14"/>
  <c r="AD74" i="14" s="1"/>
  <c r="Z53" i="14"/>
  <c r="AD53" i="14"/>
  <c r="Z41" i="14"/>
  <c r="AD41" i="14" s="1"/>
  <c r="Z32" i="14"/>
  <c r="AD32" i="14"/>
  <c r="AA55" i="14"/>
  <c r="AF55" i="14"/>
  <c r="AA33" i="14"/>
  <c r="AF33" i="14" s="1"/>
  <c r="AA10" i="14"/>
  <c r="AF10" i="14" s="1"/>
  <c r="AA5" i="14"/>
  <c r="AF5" i="14" s="1"/>
  <c r="AA8" i="14"/>
  <c r="AF8" i="14"/>
  <c r="AA49" i="14"/>
  <c r="AF49" i="14" s="1"/>
  <c r="AA57" i="14"/>
  <c r="AF57" i="14" s="1"/>
  <c r="AA21" i="14"/>
  <c r="AF21" i="14" s="1"/>
  <c r="AA65" i="14"/>
  <c r="AF65" i="14" s="1"/>
  <c r="AA35" i="14"/>
  <c r="AF35" i="14"/>
  <c r="AA67" i="14"/>
  <c r="AF67" i="14" s="1"/>
  <c r="AA69" i="14"/>
  <c r="AF69" i="14"/>
  <c r="AA27" i="14"/>
  <c r="AF27" i="14" s="1"/>
  <c r="AA9" i="14"/>
  <c r="AF9" i="14" s="1"/>
  <c r="Z42" i="14"/>
  <c r="AD42" i="14" s="1"/>
  <c r="Z23" i="14"/>
  <c r="AD23" i="14"/>
  <c r="Z33" i="14"/>
  <c r="AD33" i="14"/>
  <c r="Z26" i="14"/>
  <c r="AD26" i="14" s="1"/>
  <c r="Z73" i="14"/>
  <c r="AD73" i="14" s="1"/>
  <c r="AA30" i="14"/>
  <c r="AF30" i="14" s="1"/>
  <c r="AA28" i="14"/>
  <c r="AF28" i="14"/>
  <c r="AA11" i="14"/>
  <c r="AF11" i="14"/>
  <c r="AA31" i="14"/>
  <c r="AF31" i="14" s="1"/>
  <c r="Z60" i="14"/>
  <c r="AD60" i="14"/>
  <c r="Z56" i="14"/>
  <c r="AD56" i="14"/>
  <c r="Z57" i="14"/>
  <c r="AD57" i="14"/>
  <c r="Z48" i="14"/>
  <c r="AD48" i="14" s="1"/>
  <c r="Z6" i="14"/>
  <c r="AD6" i="14" s="1"/>
  <c r="AA47" i="14"/>
  <c r="AF47" i="14"/>
  <c r="AA64" i="14"/>
  <c r="AF64" i="14"/>
  <c r="AA20" i="14"/>
  <c r="AF20" i="14" s="1"/>
  <c r="AA26" i="14"/>
  <c r="AF26" i="14" s="1"/>
  <c r="Z55" i="14"/>
  <c r="AD55" i="14" s="1"/>
  <c r="Z24" i="14"/>
  <c r="AD24" i="14"/>
  <c r="Z75" i="14"/>
  <c r="AD75" i="14" s="1"/>
  <c r="Z27" i="14"/>
  <c r="AD27" i="14"/>
  <c r="Z44" i="14"/>
  <c r="AD44" i="14"/>
  <c r="AA60" i="14"/>
  <c r="AF60" i="14" s="1"/>
  <c r="AA77" i="14"/>
  <c r="AF77" i="14" s="1"/>
  <c r="AA53" i="14"/>
  <c r="AF53" i="14"/>
  <c r="AA76" i="14"/>
  <c r="AF76" i="14" s="1"/>
  <c r="Z47" i="14"/>
  <c r="AD47" i="14"/>
  <c r="Z5" i="14"/>
  <c r="AD5" i="14" s="1"/>
  <c r="Z35" i="14"/>
  <c r="AD35" i="14"/>
  <c r="Z30" i="14"/>
  <c r="AD30" i="14"/>
  <c r="Z3" i="14"/>
  <c r="AD3" i="14"/>
  <c r="AA6" i="14"/>
  <c r="AF6" i="14" s="1"/>
  <c r="AA50" i="14"/>
  <c r="AF50" i="14" s="1"/>
  <c r="AA74" i="14"/>
  <c r="AF74" i="14" s="1"/>
  <c r="AA18" i="14"/>
  <c r="AF18" i="14" s="1"/>
  <c r="Z20" i="14"/>
  <c r="AD20" i="14" s="1"/>
  <c r="Z22" i="14"/>
  <c r="AD22" i="14" s="1"/>
  <c r="Z37" i="14"/>
  <c r="AD37" i="14" s="1"/>
  <c r="Z50" i="14"/>
  <c r="AD50" i="14" s="1"/>
  <c r="Z19" i="14"/>
  <c r="AD19" i="14" s="1"/>
  <c r="AA58" i="14"/>
  <c r="AF58" i="14"/>
  <c r="AA16" i="14"/>
  <c r="AF16" i="14"/>
  <c r="AA52" i="14"/>
  <c r="AF52" i="14"/>
  <c r="AA19" i="14"/>
  <c r="AF19" i="14" s="1"/>
  <c r="Z68" i="14"/>
  <c r="AD68" i="14"/>
  <c r="Z52" i="14"/>
  <c r="AD52" i="14"/>
  <c r="Z25" i="14"/>
  <c r="AD25" i="14" s="1"/>
  <c r="Z11" i="14"/>
  <c r="AD11" i="14" s="1"/>
  <c r="Z63" i="14"/>
  <c r="AD63" i="14" s="1"/>
  <c r="AA51" i="14"/>
  <c r="AF51" i="14"/>
  <c r="AA71" i="14"/>
  <c r="AF71" i="14"/>
  <c r="AA23" i="14"/>
  <c r="AF23" i="14" s="1"/>
  <c r="Z17" i="14"/>
  <c r="AD17" i="14" s="1"/>
  <c r="Z40" i="14"/>
  <c r="AD40" i="14"/>
  <c r="Z4" i="14"/>
  <c r="AD4" i="14"/>
  <c r="Z2" i="14"/>
  <c r="AA42" i="14"/>
  <c r="AF42" i="14"/>
  <c r="AA3" i="14"/>
  <c r="AF3" i="14" s="1"/>
  <c r="AA73" i="14"/>
  <c r="AF73" i="14"/>
  <c r="Z69" i="14"/>
  <c r="AD69" i="14"/>
  <c r="Z62" i="14"/>
  <c r="AD62" i="14" s="1"/>
  <c r="Z45" i="14"/>
  <c r="AD45" i="14"/>
  <c r="Z76" i="14"/>
  <c r="AD76" i="14" s="1"/>
  <c r="I24" i="1"/>
  <c r="D23" i="1"/>
  <c r="D24" i="1"/>
  <c r="I23" i="1"/>
  <c r="I85" i="1"/>
  <c r="I76" i="1"/>
  <c r="H83" i="1"/>
  <c r="H84" i="1"/>
  <c r="AG2" i="18" a="1"/>
  <c r="AG45" i="18"/>
  <c r="AL45" i="18"/>
  <c r="AG27" i="18"/>
  <c r="AL27" i="18"/>
  <c r="AG25" i="18"/>
  <c r="AL25" i="18"/>
  <c r="AG8" i="18"/>
  <c r="AL8" i="18"/>
  <c r="AG9" i="18"/>
  <c r="AL9" i="18"/>
  <c r="AG41" i="18"/>
  <c r="AL41" i="18"/>
  <c r="AG17" i="18"/>
  <c r="AL17" i="18"/>
  <c r="AG20" i="18"/>
  <c r="AL20" i="18"/>
  <c r="AG11" i="18"/>
  <c r="AL11" i="18"/>
  <c r="AG42" i="18"/>
  <c r="AL42" i="18"/>
  <c r="AG14" i="18"/>
  <c r="AL14" i="18"/>
  <c r="AG13" i="18"/>
  <c r="AL13" i="18"/>
  <c r="AG50" i="18"/>
  <c r="AL50" i="18"/>
  <c r="AG10" i="18"/>
  <c r="AL10" i="18"/>
  <c r="AG37" i="18"/>
  <c r="AL37" i="18"/>
  <c r="AG23" i="18"/>
  <c r="AL23" i="18"/>
  <c r="AG21" i="18"/>
  <c r="AL21" i="18"/>
  <c r="AG30" i="18"/>
  <c r="AL30" i="18"/>
  <c r="AG39" i="18"/>
  <c r="AL39" i="18"/>
  <c r="AG40" i="18"/>
  <c r="AL40" i="18"/>
  <c r="AG36" i="18"/>
  <c r="AL36" i="18"/>
  <c r="AG28" i="18"/>
  <c r="AL28" i="18"/>
  <c r="AG15" i="18"/>
  <c r="AL15" i="18"/>
  <c r="AG48" i="18"/>
  <c r="AL48" i="18"/>
  <c r="AG26" i="18"/>
  <c r="AL26" i="18"/>
  <c r="AG5" i="18"/>
  <c r="AL5" i="18"/>
  <c r="AG32" i="18"/>
  <c r="AL32" i="18"/>
  <c r="AG51" i="18"/>
  <c r="AL51" i="18"/>
  <c r="AG24" i="18"/>
  <c r="AL24" i="18"/>
  <c r="AG19" i="18"/>
  <c r="AL19" i="18"/>
  <c r="AG29" i="18"/>
  <c r="AL29" i="18"/>
  <c r="AG44" i="18"/>
  <c r="AL44" i="18"/>
  <c r="AG7" i="18"/>
  <c r="AL7" i="18"/>
  <c r="AG16" i="18"/>
  <c r="AL16" i="18"/>
  <c r="AG43" i="18"/>
  <c r="AL43" i="18"/>
  <c r="AG52" i="18"/>
  <c r="AL52" i="18"/>
  <c r="AG2" i="18"/>
  <c r="AG46" i="18"/>
  <c r="AL46" i="18"/>
  <c r="AG12" i="18"/>
  <c r="AL12" i="18"/>
  <c r="AG31" i="18"/>
  <c r="AL31" i="18"/>
  <c r="AG6" i="18"/>
  <c r="AL6" i="18" s="1"/>
  <c r="AG49" i="18"/>
  <c r="AL49" i="18"/>
  <c r="AG47" i="18"/>
  <c r="AL47" i="18"/>
  <c r="AG3" i="18"/>
  <c r="AL3" i="18"/>
  <c r="AG38" i="18"/>
  <c r="AL38" i="18" s="1"/>
  <c r="AG33" i="18"/>
  <c r="AL33" i="18" s="1"/>
  <c r="AG53" i="18"/>
  <c r="AL53" i="18"/>
  <c r="AG35" i="18"/>
  <c r="AL35" i="18"/>
  <c r="AG18" i="18"/>
  <c r="AL18" i="18" s="1"/>
  <c r="AG34" i="18"/>
  <c r="AL34" i="18"/>
  <c r="AG4" i="18"/>
  <c r="AL4" i="18" s="1"/>
  <c r="AG22" i="18"/>
  <c r="AL22" i="18"/>
  <c r="I84" i="1"/>
  <c r="I83" i="1"/>
  <c r="C39" i="1"/>
  <c r="H38" i="1"/>
  <c r="D39" i="1"/>
  <c r="H39" i="1"/>
  <c r="D31" i="1"/>
  <c r="I38" i="1"/>
  <c r="D40" i="1"/>
  <c r="I31" i="1"/>
  <c r="I40" i="1"/>
  <c r="AF2" i="15" a="1"/>
  <c r="AF54" i="15"/>
  <c r="AF27" i="15"/>
  <c r="AF22" i="15"/>
  <c r="AF46" i="15"/>
  <c r="AJ46" i="15" s="1"/>
  <c r="AF55" i="15"/>
  <c r="AJ55" i="15" s="1"/>
  <c r="AF34" i="15"/>
  <c r="AJ34" i="15" s="1"/>
  <c r="AF50" i="15"/>
  <c r="AJ50" i="15" s="1"/>
  <c r="AF2" i="15"/>
  <c r="AF47" i="15"/>
  <c r="AF30" i="15"/>
  <c r="AF20" i="15"/>
  <c r="AF52" i="15"/>
  <c r="AJ52" i="15"/>
  <c r="AF53" i="15"/>
  <c r="AJ53" i="15" s="1"/>
  <c r="AF49" i="15"/>
  <c r="AJ49" i="15" s="1"/>
  <c r="AF51" i="15"/>
  <c r="AJ51" i="15" s="1"/>
  <c r="AF19" i="15"/>
  <c r="AF3" i="15"/>
  <c r="AJ19" i="15"/>
  <c r="AF7" i="15"/>
  <c r="AJ7" i="15"/>
  <c r="AF45" i="15"/>
  <c r="AJ45" i="15" s="1"/>
  <c r="AF39" i="15"/>
  <c r="AF57" i="15"/>
  <c r="AF31" i="15"/>
  <c r="AF65" i="15"/>
  <c r="AJ65" i="15" s="1"/>
  <c r="AF11" i="15"/>
  <c r="AJ11" i="15" s="1"/>
  <c r="AF5" i="15"/>
  <c r="AJ5" i="15" s="1"/>
  <c r="AF42" i="15"/>
  <c r="AJ42" i="15"/>
  <c r="AJ39" i="15"/>
  <c r="AJ57" i="15"/>
  <c r="AF62" i="15"/>
  <c r="AJ62" i="15"/>
  <c r="AF26" i="15"/>
  <c r="AJ26" i="15" s="1"/>
  <c r="AF60" i="15"/>
  <c r="AJ60" i="15" s="1"/>
  <c r="AF35" i="15"/>
  <c r="AJ35" i="15" s="1"/>
  <c r="AF13" i="15"/>
  <c r="AJ13" i="15" s="1"/>
  <c r="AF41" i="15"/>
  <c r="AJ41" i="15" s="1"/>
  <c r="AF15" i="15"/>
  <c r="AJ15" i="15" s="1"/>
  <c r="AF43" i="15"/>
  <c r="AJ43" i="15"/>
  <c r="AF48" i="15"/>
  <c r="AJ48" i="15"/>
  <c r="AJ54" i="15"/>
  <c r="AJ27" i="15"/>
  <c r="AJ22" i="15"/>
  <c r="AF9" i="15"/>
  <c r="AJ9" i="15" s="1"/>
  <c r="AJ47" i="15"/>
  <c r="AF59" i="15"/>
  <c r="AJ59" i="15"/>
  <c r="AJ30" i="15"/>
  <c r="AF64" i="15"/>
  <c r="AJ64" i="15"/>
  <c r="AJ20" i="15"/>
  <c r="AF56" i="15"/>
  <c r="AJ56" i="15" s="1"/>
  <c r="AF28" i="15"/>
  <c r="AJ28" i="15"/>
  <c r="AF61" i="15"/>
  <c r="AJ61" i="15" s="1"/>
  <c r="AF8" i="15"/>
  <c r="AJ8" i="15"/>
  <c r="AF12" i="15"/>
  <c r="AJ12" i="15" s="1"/>
  <c r="AF38" i="15"/>
  <c r="AJ38" i="15" s="1"/>
  <c r="AF18" i="15"/>
  <c r="AJ18" i="15" s="1"/>
  <c r="AF58" i="15"/>
  <c r="AJ58" i="15"/>
  <c r="AF37" i="15"/>
  <c r="AJ37" i="15" s="1"/>
  <c r="AF10" i="15"/>
  <c r="AJ10" i="15"/>
  <c r="AF32" i="15"/>
  <c r="AJ32" i="15"/>
  <c r="AF4" i="15"/>
  <c r="AJ4" i="15" s="1"/>
  <c r="AF33" i="15"/>
  <c r="AJ33" i="15"/>
  <c r="AJ3" i="15"/>
  <c r="AF17" i="15"/>
  <c r="AJ17" i="15"/>
  <c r="AF63" i="15"/>
  <c r="AJ63" i="15" s="1"/>
  <c r="AJ31" i="15"/>
  <c r="AF14" i="15"/>
  <c r="AJ14" i="15" s="1"/>
  <c r="AF29" i="15"/>
  <c r="AJ29" i="15" s="1"/>
  <c r="AF21" i="15"/>
  <c r="AF40" i="15"/>
  <c r="AJ40" i="15"/>
  <c r="AF25" i="15"/>
  <c r="AF24" i="15"/>
  <c r="AF36" i="15"/>
  <c r="AJ36" i="15"/>
  <c r="AF16" i="15"/>
  <c r="AJ16" i="15"/>
  <c r="AF6" i="15"/>
  <c r="AJ21" i="15"/>
  <c r="AJ25" i="15"/>
  <c r="AJ24" i="15"/>
  <c r="AF23" i="15"/>
  <c r="AJ23" i="15"/>
  <c r="AF44" i="15"/>
  <c r="AJ44" i="15"/>
  <c r="AJ6" i="15"/>
  <c r="AG2" i="15" a="1"/>
  <c r="AG9" i="15"/>
  <c r="AG48" i="15"/>
  <c r="AG22" i="15"/>
  <c r="AG21" i="15"/>
  <c r="AG53" i="15"/>
  <c r="AL53" i="15" s="1"/>
  <c r="AG57" i="15"/>
  <c r="AL57" i="15" s="1"/>
  <c r="AG65" i="15"/>
  <c r="AL65" i="15" s="1"/>
  <c r="AG60" i="15"/>
  <c r="AL60" i="15" s="1"/>
  <c r="AG14" i="15"/>
  <c r="AG56" i="15"/>
  <c r="AL56" i="15" s="1"/>
  <c r="AG31" i="15"/>
  <c r="AL31" i="15" s="1"/>
  <c r="AG50" i="15"/>
  <c r="AL50" i="15" s="1"/>
  <c r="AG44" i="15"/>
  <c r="AL44" i="15" s="1"/>
  <c r="AG5" i="15"/>
  <c r="AL5" i="15" s="1"/>
  <c r="AG25" i="15"/>
  <c r="AL25" i="15" s="1"/>
  <c r="AG58" i="15"/>
  <c r="AL58" i="15" s="1"/>
  <c r="AL14" i="15"/>
  <c r="AG28" i="15"/>
  <c r="AG13" i="15"/>
  <c r="AL13" i="15" s="1"/>
  <c r="AG49" i="15"/>
  <c r="AL49" i="15" s="1"/>
  <c r="AG11" i="15"/>
  <c r="AL11" i="15" s="1"/>
  <c r="AG47" i="15"/>
  <c r="AL47" i="15" s="1"/>
  <c r="AG2" i="15"/>
  <c r="AG27" i="15"/>
  <c r="AL27" i="15" s="1"/>
  <c r="AG43" i="15"/>
  <c r="AL43" i="15" s="1"/>
  <c r="AG23" i="15"/>
  <c r="AL23" i="15" s="1"/>
  <c r="AG52" i="15"/>
  <c r="AL52" i="15" s="1"/>
  <c r="AG46" i="15"/>
  <c r="AL46" i="15" s="1"/>
  <c r="AL9" i="15"/>
  <c r="AL48" i="15"/>
  <c r="AL22" i="15"/>
  <c r="AL21" i="15"/>
  <c r="AG6" i="15"/>
  <c r="AL6" i="15"/>
  <c r="AG36" i="15"/>
  <c r="AL36" i="15" s="1"/>
  <c r="AG62" i="15"/>
  <c r="AL62" i="15"/>
  <c r="AG29" i="15"/>
  <c r="AL29" i="15" s="1"/>
  <c r="AG12" i="15"/>
  <c r="AL12" i="15"/>
  <c r="AG10" i="15"/>
  <c r="AL10" i="15"/>
  <c r="AG18" i="15"/>
  <c r="AL18" i="15"/>
  <c r="AG45" i="15"/>
  <c r="AL45" i="15" s="1"/>
  <c r="AG40" i="15"/>
  <c r="AL40" i="15" s="1"/>
  <c r="AG3" i="15"/>
  <c r="AL3" i="15"/>
  <c r="AG39" i="15"/>
  <c r="AL39" i="15" s="1"/>
  <c r="AG16" i="15"/>
  <c r="AL16" i="15" s="1"/>
  <c r="AG41" i="15"/>
  <c r="AL41" i="15"/>
  <c r="AG59" i="15"/>
  <c r="AL59" i="15" s="1"/>
  <c r="AG61" i="15"/>
  <c r="AL61" i="15"/>
  <c r="AG51" i="15"/>
  <c r="AL51" i="15" s="1"/>
  <c r="AG64" i="15"/>
  <c r="AL64" i="15" s="1"/>
  <c r="AG8" i="15"/>
  <c r="AL8" i="15" s="1"/>
  <c r="AG19" i="15"/>
  <c r="AL19" i="15" s="1"/>
  <c r="AG54" i="15"/>
  <c r="AL54" i="15" s="1"/>
  <c r="AG17" i="15"/>
  <c r="AL17" i="15" s="1"/>
  <c r="AG15" i="15"/>
  <c r="AL15" i="15" s="1"/>
  <c r="AG26" i="15"/>
  <c r="AL26" i="15" s="1"/>
  <c r="AG38" i="15"/>
  <c r="AL38" i="15" s="1"/>
  <c r="AG20" i="15"/>
  <c r="AL20" i="15"/>
  <c r="AG42" i="15"/>
  <c r="AL42" i="15" s="1"/>
  <c r="AG35" i="15"/>
  <c r="AL35" i="15"/>
  <c r="AG37" i="15"/>
  <c r="AL37" i="15"/>
  <c r="AG33" i="15"/>
  <c r="AL33" i="15" s="1"/>
  <c r="AG63" i="15"/>
  <c r="AL63" i="15" s="1"/>
  <c r="AG4" i="15"/>
  <c r="AL4" i="15"/>
  <c r="AG34" i="15"/>
  <c r="AL34" i="15"/>
  <c r="AG7" i="15"/>
  <c r="AL7" i="15" s="1"/>
  <c r="AL28" i="15"/>
  <c r="AG55" i="15"/>
  <c r="AL55" i="15" s="1"/>
  <c r="AG30" i="15"/>
  <c r="AL30" i="15"/>
  <c r="AG32" i="15"/>
  <c r="AL32" i="15" s="1"/>
  <c r="AG24" i="15"/>
  <c r="AL24" i="15" s="1"/>
  <c r="C38" i="1"/>
  <c r="D38" i="1"/>
  <c r="I39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6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6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6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6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7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7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8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8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I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7.xml><?xml version="1.0" encoding="utf-8"?>
<comments xmlns="http://schemas.openxmlformats.org/spreadsheetml/2006/main">
  <authors>
    <author>Ferdinando Ametrano</author>
  </authors>
  <commentLis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<sst xmlns="http://schemas.openxmlformats.org/spreadsheetml/2006/main" count="1921" uniqueCount="165">
  <si>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</si>
  <si>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</si>
  <si>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</si>
  <si>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</si>
  <si>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</si>
  <si>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</si>
  <si>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</si>
  <si>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</si>
  <si>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</si>
  <si>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</si>
  <si>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</si>
  <si>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</si>
  <si>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</si>
  <si>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</si>
  <si>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</si>
  <si>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</si>
  <si>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</si>
  <si>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</si>
  <si>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</si>
  <si>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</si>
  <si>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</si>
  <si>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</si>
  <si>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</si>
  <si>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</si>
  <si>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</si>
  <si>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</si>
  <si>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</si>
  <si>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</si>
  <si>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</si>
  <si>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</si>
  <si>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</si>
  <si>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</si>
  <si>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</si>
  <si>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</si>
  <si>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</si>
  <si>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</si>
  <si>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</si>
  <si>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</si>
  <si>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</si>
  <si>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</si>
  <si>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</si>
  <si>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</si>
  <si>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</si>
  <si>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</si>
  <si>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</si>
  <si>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</si>
  <si>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</si>
  <si>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</si>
  <si>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</si>
  <si>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</si>
  <si>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</si>
  <si>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</si>
  <si>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</si>
  <si>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</si>
  <si>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</si>
  <si>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</si>
  <si>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</si>
  <si>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</si>
  <si>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</si>
  <si>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</si>
  <si>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</si>
  <si>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</si>
  <si>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</si>
  <si>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</si>
  <si>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</si>
  <si>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</si>
  <si>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</si>
  <si>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</si>
  <si>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</si>
  <si>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</si>
  <si>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</si>
  <si>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</si>
  <si>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</si>
  <si>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1D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</si>
  <si>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</si>
  <si>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</si>
  <si>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</si>
  <si>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</si>
  <si>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</si>
  <si>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</si>
  <si>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</si>
  <si>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</si>
  <si>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</si>
  <si>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</si>
  <si>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</si>
  <si>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</si>
  <si>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</si>
  <si>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</si>
  <si>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</si>
  <si>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</si>
  <si>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</si>
  <si>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</si>
  <si>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</si>
  <si>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</si>
  <si>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</si>
  <si>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</si>
  <si>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</si>
  <si>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</si>
  <si>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</si>
  <si>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</si>
  <si>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</si>
  <si>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</si>
  <si>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</si>
  <si>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</si>
  <si>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</si>
  <si>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</si>
  <si>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</si>
  <si>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</si>
  <si>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</si>
  <si>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</si>
  <si>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</si>
  <si>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</si>
  <si>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</si>
  <si>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</si>
  <si>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</si>
  <si>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12M</t>
  </si>
  <si>
    <t>X1S</t>
  </si>
  <si>
    <t>BasSw</t>
  </si>
  <si>
    <t>Extrapolation</t>
  </si>
  <si>
    <t>qlRateHelperSelection(ohFilter(RateHelpers,IncludeFlag),ohFilter(Priority,IncludeFlag),$AG$3,$AG$4,$AG$5,$AG$6,ohFilter(MinDistance,IncludeFlag),Trigger)</t>
  </si>
  <si>
    <t>qlRateHelperSelection(ohFilter(RateHelpers,IncludeFlag),ohFilter(Priority,IncludeFlag),$AF$3,$AF$4,$AF$5,$AF$6,ohFilter(MinDistance,IncludeFlag),Trigger)</t>
  </si>
  <si>
    <t>LCHQuoteSuffix</t>
  </si>
  <si>
    <t>LCHlinear</t>
  </si>
  <si>
    <t>LCHcubic</t>
  </si>
  <si>
    <t>Discounting1</t>
  </si>
  <si>
    <t>Discounting2</t>
  </si>
  <si>
    <t>_LCHQuote</t>
  </si>
  <si>
    <t>_linearLCH</t>
  </si>
  <si>
    <t>_cubicLCH</t>
  </si>
  <si>
    <t>DiscountingSTD</t>
  </si>
  <si>
    <t>ZeroYield</t>
  </si>
  <si>
    <t>Linear</t>
  </si>
  <si>
    <t>LCHQuoteOverwrite</t>
  </si>
  <si>
    <t>spread</t>
  </si>
  <si>
    <t>Start Date</t>
  </si>
  <si>
    <t>Custom Date</t>
  </si>
  <si>
    <t>Rate Helpers 1</t>
  </si>
  <si>
    <t>Rate Helpers 2</t>
  </si>
  <si>
    <t>Rate Helper 2</t>
  </si>
  <si>
    <t>Cubic</t>
  </si>
  <si>
    <t>linear</t>
  </si>
  <si>
    <t>cubic</t>
  </si>
  <si>
    <t>2D</t>
  </si>
  <si>
    <t>SW</t>
  </si>
  <si>
    <t>EOD</t>
  </si>
  <si>
    <t>Business Day Convention</t>
  </si>
  <si>
    <t>MainCycl</t>
  </si>
  <si>
    <t>Conv</t>
  </si>
  <si>
    <t>SettlementDays</t>
  </si>
  <si>
    <t>RollingDays</t>
  </si>
  <si>
    <t>Libor</t>
  </si>
  <si>
    <t>3L</t>
  </si>
  <si>
    <t>6L</t>
  </si>
  <si>
    <t>1L</t>
  </si>
  <si>
    <t>12L</t>
  </si>
  <si>
    <t>GBP</t>
  </si>
  <si>
    <t>UnitedKingdom::Exchange</t>
  </si>
  <si>
    <t>Sonia</t>
  </si>
  <si>
    <t>Semiannual</t>
  </si>
  <si>
    <t>Actual/365 (Fixed)</t>
  </si>
  <si>
    <t>SB</t>
  </si>
  <si>
    <t>AB1L</t>
  </si>
  <si>
    <t>qlSwapRateHelper2(,$E45,0,$B45,Calendar,"semiannual","mf","actual/365 (fixed)",$D45,$F45,"0D",,PillarDate,,Permanent,Trigger,ObjectOverwrite)</t>
  </si>
  <si>
    <t>SON</t>
  </si>
  <si>
    <t>LogMixedLinearCubicNaturalSpline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</si>
</sst>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3" formatCode="_-* #,##0.00_-;\-* #,##0.00_-;_-* &quot;-&quot;??_-;_-@_-"/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215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0" fontId="3" fillId="7" borderId="6" xfId="1" applyFont="1" applyFill="1" applyBorder="1"/>
    <xf numFmtId="0" fontId="3" fillId="2" borderId="10" xfId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6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6" xfId="1" applyNumberFormat="1" applyFont="1" applyFill="1" applyBorder="1" applyAlignment="1">
      <alignment vertical="center"/>
    </xf>
    <xf numFmtId="166" fontId="3" fillId="3" borderId="1" xfId="1" applyNumberFormat="1" applyFont="1" applyFill="1" applyBorder="1" applyAlignment="1">
      <alignment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4" fontId="5" fillId="8" borderId="0" xfId="0" applyNumberFormat="1" applyFont="1" applyFill="1"/>
    <xf numFmtId="11" fontId="5" fillId="8" borderId="0" xfId="0" applyNumberFormat="1" applyFont="1" applyFill="1"/>
    <xf numFmtId="167" fontId="3" fillId="2" borderId="6" xfId="1" applyNumberFormat="1" applyFont="1" applyFill="1" applyBorder="1" applyAlignment="1">
      <alignment horizontal="center"/>
    </xf>
    <xf numFmtId="167" fontId="3" fillId="2" borderId="8" xfId="1" applyNumberFormat="1" applyFont="1" applyFill="1" applyBorder="1" applyAlignment="1">
      <alignment horizontal="center"/>
    </xf>
    <xf numFmtId="172" fontId="3" fillId="2" borderId="1" xfId="1" applyNumberFormat="1" applyFont="1" applyFill="1" applyBorder="1" applyAlignment="1">
      <alignment horizontal="center"/>
    </xf>
    <xf numFmtId="172" fontId="3" fillId="9" borderId="10" xfId="1" applyNumberFormat="1" applyFont="1" applyFill="1" applyBorder="1" applyAlignment="1">
      <alignment horizontal="center"/>
    </xf>
    <xf numFmtId="0" fontId="3" fillId="3" borderId="13" xfId="1" applyFont="1" applyFill="1" applyBorder="1"/>
    <xf numFmtId="172" fontId="3" fillId="3" borderId="13" xfId="1" applyNumberFormat="1" applyFont="1" applyFill="1" applyBorder="1" applyAlignment="1">
      <alignment horizontal="center"/>
    </xf>
    <xf numFmtId="166" fontId="3" fillId="3" borderId="2" xfId="1" applyNumberFormat="1" applyFont="1" applyFill="1" applyBorder="1" applyAlignment="1">
      <alignment horizontal="right"/>
    </xf>
    <xf numFmtId="178" fontId="5" fillId="8" borderId="0" xfId="0" applyNumberFormat="1" applyFont="1" applyFill="1"/>
    <xf numFmtId="165" fontId="5" fillId="8" borderId="0" xfId="0" applyNumberFormat="1" applyFont="1" applyFill="1"/>
    <xf numFmtId="165" fontId="5" fillId="0" borderId="8" xfId="0" applyNumberFormat="1" applyFont="1" applyBorder="1"/>
    <xf numFmtId="11" fontId="5" fillId="8" borderId="10" xfId="0" applyNumberFormat="1" applyFont="1" applyFill="1" applyBorder="1"/>
    <xf numFmtId="11" fontId="5" fillId="8" borderId="0" xfId="0" applyNumberFormat="1" applyFont="1" applyFill="1" applyBorder="1"/>
    <xf numFmtId="171" fontId="5" fillId="8" borderId="0" xfId="0" applyNumberFormat="1" applyFont="1" applyFill="1" applyBorder="1"/>
    <xf numFmtId="165" fontId="3" fillId="2" borderId="8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left"/>
    </xf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164" fontId="3" fillId="2" borderId="19" xfId="1" applyNumberFormat="1" applyFont="1" applyFill="1" applyBorder="1" applyAlignment="1">
      <alignment horizontal="right" vertical="center"/>
    </xf>
    <xf numFmtId="164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164" fontId="3" fillId="3" borderId="16" xfId="1" applyNumberFormat="1" applyFont="1" applyFill="1" applyBorder="1" applyAlignment="1">
      <alignment horizontal="center" vertical="center"/>
    </xf>
    <xf numFmtId="164" fontId="3" fillId="3" borderId="17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43" fontId="5" fillId="0" borderId="8" xfId="0" applyNumberFormat="1" applyFont="1" applyBorder="1" applyAlignment="1">
      <alignment horizontal="center"/>
    </xf>
    <xf numFmtId="43" fontId="5" fillId="0" borderId="6" xfId="0" applyNumberFormat="1" applyFont="1" applyBorder="1" applyAlignment="1">
      <alignment horizontal="center"/>
    </xf>
    <xf numFmtId="0" fontId="9" fillId="7" borderId="14" xfId="1" applyFont="1" applyFill="1" applyBorder="1" applyAlignment="1">
      <alignment horizontal="center" vertical="center" wrapText="1"/>
    </xf>
    <xf numFmtId="0" fontId="9" fillId="7" borderId="15" xfId="1" applyFont="1" applyFill="1" applyBorder="1" applyAlignment="1">
      <alignment horizontal="center" vertical="center" wrapText="1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_L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GBPLibor"/>
      <sheetName val="1M"/>
      <sheetName val="3M"/>
      <sheetName val="6M"/>
      <sheetName val="1Y"/>
      <sheetName val="ON"/>
      <sheetName val="STD"/>
      <sheetName val="REP00078"/>
      <sheetName val="REP00099"/>
      <sheetName val="REP00079"/>
      <sheetName val="REP00100"/>
      <sheetName val="REP001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A2" t="str">
            <v>AUD_AONIA_EOD</v>
          </cell>
          <cell r="C2">
            <v>42305</v>
          </cell>
          <cell r="E2">
            <v>1.99994520748366E-2</v>
          </cell>
        </row>
        <row r="3">
          <cell r="A3" t="str">
            <v>AUD_AONIA_EOD</v>
          </cell>
          <cell r="C3">
            <v>42311</v>
          </cell>
          <cell r="E3">
            <v>1.9854541418911999E-2</v>
          </cell>
        </row>
        <row r="4">
          <cell r="A4" t="str">
            <v>AUD_AONIA_EOD</v>
          </cell>
          <cell r="C4">
            <v>42318</v>
          </cell>
          <cell r="E4">
            <v>1.9741392879113001E-2</v>
          </cell>
        </row>
        <row r="5">
          <cell r="A5" t="str">
            <v>AUD_AONIA_EOD</v>
          </cell>
          <cell r="C5">
            <v>42325</v>
          </cell>
          <cell r="E5">
            <v>1.9637563321332902E-2</v>
          </cell>
        </row>
        <row r="6">
          <cell r="A6" t="str">
            <v>AUD_AONIA_EOD</v>
          </cell>
          <cell r="C6">
            <v>42334</v>
          </cell>
          <cell r="E6">
            <v>1.9504068175615501E-2</v>
          </cell>
        </row>
        <row r="7">
          <cell r="A7" t="str">
            <v>AUD_AONIA_EOD</v>
          </cell>
          <cell r="C7">
            <v>42364</v>
          </cell>
          <cell r="E7">
            <v>1.9074278671229E-2</v>
          </cell>
        </row>
        <row r="8">
          <cell r="A8" t="str">
            <v>AUD_AONIA_EOD</v>
          </cell>
          <cell r="C8">
            <v>42395</v>
          </cell>
          <cell r="E8">
            <v>1.8866882612071E-2</v>
          </cell>
        </row>
        <row r="9">
          <cell r="A9" t="str">
            <v>AUD_AONIA_EOD</v>
          </cell>
          <cell r="C9">
            <v>42425</v>
          </cell>
          <cell r="E9">
            <v>1.8556389320498901E-2</v>
          </cell>
        </row>
        <row r="10">
          <cell r="A10" t="str">
            <v>AUD_AONIA_EOD</v>
          </cell>
          <cell r="C10">
            <v>42456</v>
          </cell>
          <cell r="E10">
            <v>1.8262713882297402E-2</v>
          </cell>
        </row>
        <row r="11">
          <cell r="A11" t="str">
            <v>AUD_AONIA_EOD</v>
          </cell>
          <cell r="C11">
            <v>42486</v>
          </cell>
          <cell r="E11">
            <v>1.8027367363334799E-2</v>
          </cell>
        </row>
        <row r="12">
          <cell r="A12" t="str">
            <v>AUD_AONIA_EOD</v>
          </cell>
          <cell r="C12">
            <v>42516</v>
          </cell>
          <cell r="E12">
            <v>1.78562847761215E-2</v>
          </cell>
        </row>
        <row r="13">
          <cell r="A13" t="str">
            <v>AUD_AONIA_EOD</v>
          </cell>
          <cell r="C13">
            <v>42547</v>
          </cell>
          <cell r="E13">
            <v>1.76840131698103E-2</v>
          </cell>
        </row>
        <row r="14">
          <cell r="A14" t="str">
            <v>AUD_AONIA_EOD</v>
          </cell>
          <cell r="C14">
            <v>42577</v>
          </cell>
          <cell r="E14">
            <v>1.7517298712089801E-2</v>
          </cell>
        </row>
        <row r="15">
          <cell r="A15" t="str">
            <v>AUD_AONIA_EOD</v>
          </cell>
          <cell r="C15">
            <v>42608</v>
          </cell>
          <cell r="E15">
            <v>1.7395332545103899E-2</v>
          </cell>
        </row>
        <row r="16">
          <cell r="A16" t="str">
            <v>AUD_AONIA_EOD</v>
          </cell>
          <cell r="C16">
            <v>42638</v>
          </cell>
          <cell r="E16">
            <v>1.7280658197030299E-2</v>
          </cell>
        </row>
        <row r="17">
          <cell r="A17" t="str">
            <v>AUD_AONIA_EOD</v>
          </cell>
          <cell r="C17">
            <v>42669</v>
          </cell>
          <cell r="E17">
            <v>1.7162161370687601E-2</v>
          </cell>
        </row>
        <row r="18">
          <cell r="A18" t="str">
            <v>AUD_AONIA_EOD</v>
          </cell>
          <cell r="C18">
            <v>42760</v>
          </cell>
          <cell r="E18">
            <v>1.7101566623403099E-2</v>
          </cell>
        </row>
        <row r="19">
          <cell r="A19" t="str">
            <v>AUD_AONIA_EOD</v>
          </cell>
          <cell r="C19">
            <v>42851</v>
          </cell>
          <cell r="E19">
            <v>1.70474269497187E-2</v>
          </cell>
        </row>
        <row r="20">
          <cell r="A20" t="str">
            <v>AUD_AONIA_EOD</v>
          </cell>
          <cell r="C20">
            <v>42942</v>
          </cell>
          <cell r="E20">
            <v>1.7162450819449501E-2</v>
          </cell>
        </row>
        <row r="21">
          <cell r="A21" t="str">
            <v>AUD_AONIA_EOD</v>
          </cell>
          <cell r="C21">
            <v>43034</v>
          </cell>
          <cell r="E21">
            <v>1.7282581889624098E-2</v>
          </cell>
        </row>
        <row r="22">
          <cell r="A22" t="str">
            <v>AUD_AONIA_EOD</v>
          </cell>
          <cell r="C22">
            <v>43399</v>
          </cell>
          <cell r="E22">
            <v>1.81297885029458E-2</v>
          </cell>
        </row>
        <row r="23">
          <cell r="A23" t="str">
            <v>AUD_AONIA_EOD</v>
          </cell>
          <cell r="C23">
            <v>43764</v>
          </cell>
          <cell r="E23">
            <v>1.9235528383801E-2</v>
          </cell>
        </row>
        <row r="24">
          <cell r="A24" t="str">
            <v>AUD_AONIA_EOD</v>
          </cell>
          <cell r="C24">
            <v>44129</v>
          </cell>
          <cell r="E24">
            <v>2.0631152313738198E-2</v>
          </cell>
        </row>
        <row r="25">
          <cell r="A25" t="str">
            <v>AUD_BBSW_EOD</v>
          </cell>
          <cell r="C25">
            <v>42305</v>
          </cell>
          <cell r="E25">
            <v>1.99994520748366E-2</v>
          </cell>
        </row>
        <row r="26">
          <cell r="A26" t="str">
            <v>AUD_BBSW_EOD</v>
          </cell>
          <cell r="C26">
            <v>42311</v>
          </cell>
          <cell r="E26">
            <v>2.0086130779154599E-2</v>
          </cell>
        </row>
        <row r="27">
          <cell r="A27" t="str">
            <v>AUD_BBSW_EOD</v>
          </cell>
          <cell r="C27">
            <v>42334</v>
          </cell>
          <cell r="E27">
            <v>2.0417839149415699E-2</v>
          </cell>
        </row>
        <row r="28">
          <cell r="A28" t="str">
            <v>AUD_BBSW_EOD</v>
          </cell>
          <cell r="C28">
            <v>42364</v>
          </cell>
          <cell r="E28">
            <v>2.0375951021087999E-2</v>
          </cell>
        </row>
        <row r="29">
          <cell r="A29" t="str">
            <v>AUD_BBSW_EOD</v>
          </cell>
          <cell r="C29">
            <v>42395</v>
          </cell>
          <cell r="E29">
            <v>2.0315757325472101E-2</v>
          </cell>
        </row>
        <row r="30">
          <cell r="A30" t="str">
            <v>AUD_BBSW_EOD</v>
          </cell>
          <cell r="C30">
            <v>42486</v>
          </cell>
          <cell r="E30">
            <v>1.9982204236956298E-2</v>
          </cell>
        </row>
        <row r="31">
          <cell r="A31" t="str">
            <v>AUD_BBSW_EOD</v>
          </cell>
          <cell r="C31">
            <v>42577</v>
          </cell>
          <cell r="E31">
            <v>1.95379994427071E-2</v>
          </cell>
        </row>
        <row r="32">
          <cell r="A32" t="str">
            <v>AUD_BBSW_EOD</v>
          </cell>
          <cell r="C32">
            <v>42669</v>
          </cell>
          <cell r="E32">
            <v>1.92167859073979E-2</v>
          </cell>
        </row>
        <row r="33">
          <cell r="A33" t="str">
            <v>AUD_BBSW_EOD</v>
          </cell>
          <cell r="C33">
            <v>42851</v>
          </cell>
          <cell r="E33">
            <v>1.9041577176182298E-2</v>
          </cell>
        </row>
        <row r="34">
          <cell r="A34" t="str">
            <v>AUD_BBSW_EOD</v>
          </cell>
          <cell r="C34">
            <v>43034</v>
          </cell>
          <cell r="E34">
            <v>1.9569207100797601E-2</v>
          </cell>
        </row>
        <row r="35">
          <cell r="A35" t="str">
            <v>AUD_BBSW_EOD</v>
          </cell>
          <cell r="C35">
            <v>43399</v>
          </cell>
          <cell r="E35">
            <v>2.03215334470799E-2</v>
          </cell>
        </row>
        <row r="36">
          <cell r="A36" t="str">
            <v>AUD_BBSW_EOD</v>
          </cell>
          <cell r="C36">
            <v>43764</v>
          </cell>
          <cell r="E36">
            <v>2.2647452945132901E-2</v>
          </cell>
        </row>
        <row r="37">
          <cell r="A37" t="str">
            <v>AUD_BBSW_EOD</v>
          </cell>
          <cell r="C37">
            <v>44129</v>
          </cell>
          <cell r="E37">
            <v>2.3891253384111799E-2</v>
          </cell>
        </row>
        <row r="38">
          <cell r="A38" t="str">
            <v>AUD_BBSW_EOD</v>
          </cell>
          <cell r="C38">
            <v>44494</v>
          </cell>
          <cell r="E38">
            <v>2.5141260437894501E-2</v>
          </cell>
        </row>
        <row r="39">
          <cell r="A39" t="str">
            <v>AUD_BBSW_EOD</v>
          </cell>
          <cell r="C39">
            <v>44859</v>
          </cell>
          <cell r="E39">
            <v>2.63913349331487E-2</v>
          </cell>
        </row>
        <row r="40">
          <cell r="A40" t="str">
            <v>AUD_BBSW_EOD</v>
          </cell>
          <cell r="C40">
            <v>45224</v>
          </cell>
          <cell r="E40">
            <v>2.7359032846300601E-2</v>
          </cell>
        </row>
        <row r="41">
          <cell r="A41" t="str">
            <v>AUD_BBSW_EOD</v>
          </cell>
          <cell r="C41">
            <v>45589</v>
          </cell>
          <cell r="E41">
            <v>2.83251749656117E-2</v>
          </cell>
        </row>
        <row r="42">
          <cell r="A42" t="str">
            <v>AUD_BBSW_EOD</v>
          </cell>
          <cell r="C42">
            <v>45954</v>
          </cell>
          <cell r="E42">
            <v>2.9291317084922799E-2</v>
          </cell>
        </row>
        <row r="43">
          <cell r="A43" t="str">
            <v>AUD_BBSW_EOD</v>
          </cell>
          <cell r="C43">
            <v>46684</v>
          </cell>
          <cell r="E43">
            <v>3.0764406486688298E-2</v>
          </cell>
        </row>
        <row r="44">
          <cell r="A44" t="str">
            <v>AUD_BBSW_EOD</v>
          </cell>
          <cell r="C44">
            <v>47779</v>
          </cell>
          <cell r="E44">
            <v>3.2292507557129299E-2</v>
          </cell>
        </row>
        <row r="45">
          <cell r="A45" t="str">
            <v>AUD_BBSW_EOD</v>
          </cell>
          <cell r="C45">
            <v>49604</v>
          </cell>
          <cell r="E45">
            <v>3.3656024223297103E-2</v>
          </cell>
        </row>
        <row r="46">
          <cell r="A46" t="str">
            <v>AUD_BBSW_EOD</v>
          </cell>
          <cell r="C46">
            <v>51429</v>
          </cell>
          <cell r="E46">
            <v>3.3934609653809802E-2</v>
          </cell>
        </row>
        <row r="47">
          <cell r="A47" t="str">
            <v>AUD_BBSW_EOD</v>
          </cell>
          <cell r="C47">
            <v>53254</v>
          </cell>
          <cell r="E47">
            <v>3.3352842815375802E-2</v>
          </cell>
        </row>
        <row r="48">
          <cell r="A48" t="str">
            <v>CAD_CDOR_EOD</v>
          </cell>
          <cell r="C48">
            <v>42305</v>
          </cell>
          <cell r="E48">
            <v>5.0969644121259096E-3</v>
          </cell>
        </row>
        <row r="49">
          <cell r="A49" t="str">
            <v>CAD_CDOR_EOD</v>
          </cell>
          <cell r="C49">
            <v>42311</v>
          </cell>
          <cell r="E49">
            <v>5.7072876435034304E-3</v>
          </cell>
        </row>
        <row r="50">
          <cell r="A50" t="str">
            <v>CAD_CDOR_EOD</v>
          </cell>
          <cell r="C50">
            <v>42334</v>
          </cell>
          <cell r="E50">
            <v>8.0455184121228304E-3</v>
          </cell>
        </row>
        <row r="51">
          <cell r="A51" t="str">
            <v>CAD_CDOR_EOD</v>
          </cell>
          <cell r="C51">
            <v>42364</v>
          </cell>
          <cell r="E51">
            <v>8.0903238204288602E-3</v>
          </cell>
        </row>
        <row r="52">
          <cell r="A52" t="str">
            <v>CAD_CDOR_EOD</v>
          </cell>
          <cell r="C52">
            <v>42395</v>
          </cell>
          <cell r="E52">
            <v>8.0295458628501497E-3</v>
          </cell>
        </row>
        <row r="53">
          <cell r="A53" t="str">
            <v>CAD_CDOR_EOD</v>
          </cell>
          <cell r="C53">
            <v>42486</v>
          </cell>
          <cell r="E53">
            <v>7.8237822509961905E-3</v>
          </cell>
        </row>
        <row r="54">
          <cell r="A54" t="str">
            <v>CAD_CDOR_EOD</v>
          </cell>
          <cell r="C54">
            <v>42577</v>
          </cell>
          <cell r="E54">
            <v>7.6183256225348401E-3</v>
          </cell>
        </row>
        <row r="55">
          <cell r="A55" t="str">
            <v>CAD_CDOR_EOD</v>
          </cell>
          <cell r="C55">
            <v>42669</v>
          </cell>
          <cell r="E55">
            <v>7.48930468042218E-3</v>
          </cell>
        </row>
        <row r="56">
          <cell r="A56" t="str">
            <v>CAD_CDOR_EOD</v>
          </cell>
          <cell r="C56">
            <v>42851</v>
          </cell>
          <cell r="E56">
            <v>7.5714662936284902E-3</v>
          </cell>
        </row>
        <row r="57">
          <cell r="A57" t="str">
            <v>CAD_CDOR_EOD</v>
          </cell>
          <cell r="C57">
            <v>43034</v>
          </cell>
          <cell r="E57">
            <v>7.7424514516228199E-3</v>
          </cell>
        </row>
        <row r="58">
          <cell r="A58" t="str">
            <v>CAD_CDOR_EOD</v>
          </cell>
          <cell r="C58">
            <v>43399</v>
          </cell>
          <cell r="E58">
            <v>8.5529103973853698E-3</v>
          </cell>
        </row>
        <row r="59">
          <cell r="A59" t="str">
            <v>CAD_CDOR_EOD</v>
          </cell>
          <cell r="C59">
            <v>43764</v>
          </cell>
          <cell r="E59">
            <v>9.5882331784794099E-3</v>
          </cell>
        </row>
        <row r="60">
          <cell r="A60" t="str">
            <v>CAD_CDOR_EOD</v>
          </cell>
          <cell r="C60">
            <v>44129</v>
          </cell>
          <cell r="E60">
            <v>1.09503733619669E-2</v>
          </cell>
        </row>
        <row r="61">
          <cell r="A61" t="str">
            <v>CAD_CDOR_EOD</v>
          </cell>
          <cell r="C61">
            <v>44494</v>
          </cell>
          <cell r="E61">
            <v>1.2532626176063299E-2</v>
          </cell>
        </row>
        <row r="62">
          <cell r="A62" t="str">
            <v>CAD_CDOR_EOD</v>
          </cell>
          <cell r="C62">
            <v>44859</v>
          </cell>
          <cell r="E62">
            <v>1.41761271786746E-2</v>
          </cell>
        </row>
        <row r="63">
          <cell r="A63" t="str">
            <v>CAD_CDOR_EOD</v>
          </cell>
          <cell r="C63">
            <v>45224</v>
          </cell>
          <cell r="E63">
            <v>1.5728416997486502E-2</v>
          </cell>
        </row>
        <row r="64">
          <cell r="A64" t="str">
            <v>CAD_CDOR_EOD</v>
          </cell>
          <cell r="C64">
            <v>45589</v>
          </cell>
          <cell r="E64">
            <v>1.7147553857424599E-2</v>
          </cell>
        </row>
        <row r="65">
          <cell r="A65" t="str">
            <v>CAD_CDOR_EOD</v>
          </cell>
          <cell r="C65">
            <v>45954</v>
          </cell>
          <cell r="E65">
            <v>1.8412545119909099E-2</v>
          </cell>
        </row>
        <row r="66">
          <cell r="A66" t="str">
            <v>CAD_CDOR_EOD</v>
          </cell>
          <cell r="C66">
            <v>46684</v>
          </cell>
          <cell r="E66">
            <v>2.0743255845403499E-2</v>
          </cell>
        </row>
        <row r="67">
          <cell r="A67" t="str">
            <v>CAD_CDOR_EOD</v>
          </cell>
          <cell r="C67">
            <v>47779</v>
          </cell>
          <cell r="E67">
            <v>2.31706799811007E-2</v>
          </cell>
        </row>
        <row r="68">
          <cell r="A68" t="str">
            <v>CAD_CDOR_EOD</v>
          </cell>
          <cell r="C68">
            <v>49604</v>
          </cell>
          <cell r="E68">
            <v>2.4730668506279599E-2</v>
          </cell>
        </row>
        <row r="69">
          <cell r="A69" t="str">
            <v>CAD_CDOR_EOD</v>
          </cell>
          <cell r="C69">
            <v>51429</v>
          </cell>
          <cell r="E69">
            <v>2.4906216206182601E-2</v>
          </cell>
        </row>
        <row r="70">
          <cell r="A70" t="str">
            <v>CAD_CDOR_EOD</v>
          </cell>
          <cell r="C70">
            <v>53254</v>
          </cell>
          <cell r="E70">
            <v>2.4874923699592998E-2</v>
          </cell>
        </row>
        <row r="71">
          <cell r="A71" t="str">
            <v>CAD_CORRA_EOD</v>
          </cell>
          <cell r="C71">
            <v>42305</v>
          </cell>
          <cell r="E71">
            <v>5.0969644121259096E-3</v>
          </cell>
        </row>
        <row r="72">
          <cell r="A72" t="str">
            <v>CAD_CORRA_EOD</v>
          </cell>
          <cell r="C72">
            <v>42311</v>
          </cell>
          <cell r="E72">
            <v>5.0240613200034602E-3</v>
          </cell>
        </row>
        <row r="73">
          <cell r="A73" t="str">
            <v>CAD_CORRA_EOD</v>
          </cell>
          <cell r="C73">
            <v>42318</v>
          </cell>
          <cell r="E73">
            <v>5.0095672329471402E-3</v>
          </cell>
        </row>
        <row r="74">
          <cell r="A74" t="str">
            <v>CAD_CORRA_EOD</v>
          </cell>
          <cell r="C74">
            <v>42325</v>
          </cell>
          <cell r="E74">
            <v>5.0068330659607998E-3</v>
          </cell>
        </row>
        <row r="75">
          <cell r="A75" t="str">
            <v>CAD_CORRA_EOD</v>
          </cell>
          <cell r="C75">
            <v>42334</v>
          </cell>
          <cell r="E75">
            <v>5.0033177084069401E-3</v>
          </cell>
        </row>
        <row r="76">
          <cell r="A76" t="str">
            <v>CAD_CORRA_EOD</v>
          </cell>
          <cell r="C76">
            <v>42364</v>
          </cell>
          <cell r="E76">
            <v>4.9497331329727903E-3</v>
          </cell>
        </row>
        <row r="77">
          <cell r="A77" t="str">
            <v>CAD_CORRA_EOD</v>
          </cell>
          <cell r="C77">
            <v>42395</v>
          </cell>
          <cell r="E77">
            <v>4.9021005511755804E-3</v>
          </cell>
        </row>
        <row r="78">
          <cell r="A78" t="str">
            <v>CAD_CORRA_EOD</v>
          </cell>
          <cell r="C78">
            <v>42425</v>
          </cell>
          <cell r="E78">
            <v>4.84140662922932E-3</v>
          </cell>
        </row>
        <row r="79">
          <cell r="A79" t="str">
            <v>CAD_CORRA_EOD</v>
          </cell>
          <cell r="C79">
            <v>42456</v>
          </cell>
          <cell r="E79">
            <v>4.7841251304096303E-3</v>
          </cell>
        </row>
        <row r="80">
          <cell r="A80" t="str">
            <v>CAD_CORRA_EOD</v>
          </cell>
          <cell r="C80">
            <v>42486</v>
          </cell>
          <cell r="E80">
            <v>4.71765450087221E-3</v>
          </cell>
        </row>
        <row r="81">
          <cell r="A81" t="str">
            <v>CAD_CORRA_EOD</v>
          </cell>
          <cell r="C81">
            <v>42516</v>
          </cell>
          <cell r="E81">
            <v>4.6498308773802004E-3</v>
          </cell>
        </row>
        <row r="82">
          <cell r="A82" t="str">
            <v>CAD_CORRA_EOD</v>
          </cell>
          <cell r="C82">
            <v>42547</v>
          </cell>
          <cell r="E82">
            <v>4.5842903206744102E-3</v>
          </cell>
        </row>
        <row r="83">
          <cell r="A83" t="str">
            <v>CAD_CORRA_EOD</v>
          </cell>
          <cell r="C83">
            <v>42577</v>
          </cell>
          <cell r="E83">
            <v>4.53738594939148E-3</v>
          </cell>
        </row>
        <row r="84">
          <cell r="A84" t="str">
            <v>CAD_CORRA_EOD</v>
          </cell>
          <cell r="C84">
            <v>42608</v>
          </cell>
          <cell r="E84">
            <v>4.5018322931157E-3</v>
          </cell>
        </row>
        <row r="85">
          <cell r="A85" t="str">
            <v>CAD_CORRA_EOD</v>
          </cell>
          <cell r="C85">
            <v>42638</v>
          </cell>
          <cell r="E85">
            <v>4.47522797570735E-3</v>
          </cell>
        </row>
        <row r="86">
          <cell r="A86" t="str">
            <v>CAD_CORRA_EOD</v>
          </cell>
          <cell r="C86">
            <v>42669</v>
          </cell>
          <cell r="E86">
            <v>4.4485744529756798E-3</v>
          </cell>
        </row>
        <row r="87">
          <cell r="A87" t="str">
            <v>CAD_CORRA_EOD</v>
          </cell>
          <cell r="C87">
            <v>42760</v>
          </cell>
          <cell r="E87">
            <v>4.4731715116796203E-3</v>
          </cell>
        </row>
        <row r="88">
          <cell r="A88" t="str">
            <v>CAD_CORRA_EOD</v>
          </cell>
          <cell r="C88">
            <v>42851</v>
          </cell>
          <cell r="E88">
            <v>4.5000793132269502E-3</v>
          </cell>
        </row>
        <row r="89">
          <cell r="A89" t="str">
            <v>CAD_CORRA_EOD</v>
          </cell>
          <cell r="C89">
            <v>42942</v>
          </cell>
          <cell r="E89">
            <v>4.6281396439041902E-3</v>
          </cell>
        </row>
        <row r="90">
          <cell r="A90" t="str">
            <v>CAD_CORRA_EOD</v>
          </cell>
          <cell r="C90">
            <v>43034</v>
          </cell>
          <cell r="E90">
            <v>4.75990530052169E-3</v>
          </cell>
        </row>
        <row r="91">
          <cell r="A91" t="str">
            <v>CAD_CORRA_EOD</v>
          </cell>
          <cell r="C91">
            <v>43399</v>
          </cell>
          <cell r="E91">
            <v>5.6932301297361E-3</v>
          </cell>
        </row>
        <row r="92">
          <cell r="A92" t="str">
            <v>CAD_CORRA_EOD</v>
          </cell>
          <cell r="C92">
            <v>43764</v>
          </cell>
          <cell r="E92">
            <v>6.7390050955836297E-3</v>
          </cell>
        </row>
        <row r="93">
          <cell r="A93" t="str">
            <v>CAD_CORRA_EOD</v>
          </cell>
          <cell r="C93">
            <v>44129</v>
          </cell>
          <cell r="E93">
            <v>8.0880080276179694E-3</v>
          </cell>
        </row>
        <row r="94">
          <cell r="A94" t="str">
            <v>CHF_LIBOR_EOD</v>
          </cell>
          <cell r="C94">
            <v>42305</v>
          </cell>
          <cell r="E94">
            <v>-7.8475843618369696E-3</v>
          </cell>
        </row>
        <row r="95">
          <cell r="A95" t="str">
            <v>CHF_LIBOR_EOD</v>
          </cell>
          <cell r="C95">
            <v>42311</v>
          </cell>
          <cell r="E95">
            <v>-7.9718042671113199E-3</v>
          </cell>
        </row>
        <row r="96">
          <cell r="A96" t="str">
            <v>CHF_LIBOR_EOD</v>
          </cell>
          <cell r="C96">
            <v>42334</v>
          </cell>
          <cell r="E96">
            <v>-7.8774781291100094E-3</v>
          </cell>
        </row>
        <row r="97">
          <cell r="A97" t="str">
            <v>CHF_LIBOR_EOD</v>
          </cell>
          <cell r="C97">
            <v>42364</v>
          </cell>
          <cell r="E97">
            <v>-7.9791049989928597E-3</v>
          </cell>
        </row>
        <row r="98">
          <cell r="A98" t="str">
            <v>CHF_LIBOR_EOD</v>
          </cell>
          <cell r="C98">
            <v>42395</v>
          </cell>
          <cell r="E98">
            <v>-8.1329819966251896E-3</v>
          </cell>
        </row>
        <row r="99">
          <cell r="A99" t="str">
            <v>CHF_LIBOR_EOD</v>
          </cell>
          <cell r="C99">
            <v>42486</v>
          </cell>
          <cell r="E99">
            <v>-8.5872190530196495E-3</v>
          </cell>
        </row>
        <row r="100">
          <cell r="A100" t="str">
            <v>CHF_LIBOR_EOD</v>
          </cell>
          <cell r="C100">
            <v>42577</v>
          </cell>
          <cell r="E100">
            <v>-8.9905601817921697E-3</v>
          </cell>
        </row>
        <row r="101">
          <cell r="A101" t="str">
            <v>CHF_LIBOR_EOD</v>
          </cell>
          <cell r="C101">
            <v>42669</v>
          </cell>
          <cell r="E101">
            <v>-9.2826131540609501E-3</v>
          </cell>
        </row>
        <row r="102">
          <cell r="A102" t="str">
            <v>CHF_LIBOR_EOD</v>
          </cell>
          <cell r="C102">
            <v>42851</v>
          </cell>
          <cell r="E102">
            <v>-8.9576106232996493E-3</v>
          </cell>
        </row>
        <row r="103">
          <cell r="A103" t="str">
            <v>CHF_LIBOR_EOD</v>
          </cell>
          <cell r="C103">
            <v>43034</v>
          </cell>
          <cell r="E103">
            <v>-8.2981706959912097E-3</v>
          </cell>
        </row>
        <row r="104">
          <cell r="A104" t="str">
            <v>CHF_LIBOR_EOD</v>
          </cell>
          <cell r="C104">
            <v>43399</v>
          </cell>
          <cell r="E104">
            <v>-7.8282916980233607E-3</v>
          </cell>
        </row>
        <row r="105">
          <cell r="A105" t="str">
            <v>CHF_LIBOR_EOD</v>
          </cell>
          <cell r="C105">
            <v>43764</v>
          </cell>
          <cell r="E105">
            <v>-6.8804689246669201E-3</v>
          </cell>
        </row>
        <row r="106">
          <cell r="A106" t="str">
            <v>CHF_LIBOR_EOD</v>
          </cell>
          <cell r="C106">
            <v>44129</v>
          </cell>
          <cell r="E106">
            <v>-5.6480189204568404E-3</v>
          </cell>
        </row>
        <row r="107">
          <cell r="A107" t="str">
            <v>CHF_LIBOR_EOD</v>
          </cell>
          <cell r="C107">
            <v>44494</v>
          </cell>
          <cell r="E107">
            <v>-4.2053701298641099E-3</v>
          </cell>
        </row>
        <row r="108">
          <cell r="A108" t="str">
            <v>CHF_LIBOR_EOD</v>
          </cell>
          <cell r="C108">
            <v>44859</v>
          </cell>
          <cell r="E108">
            <v>-2.8142572441221601E-3</v>
          </cell>
        </row>
        <row r="109">
          <cell r="A109" t="str">
            <v>CHF_LIBOR_EOD</v>
          </cell>
          <cell r="C109">
            <v>45224</v>
          </cell>
          <cell r="E109">
            <v>-1.58269017744985E-3</v>
          </cell>
        </row>
        <row r="110">
          <cell r="A110" t="str">
            <v>CHF_LIBOR_EOD</v>
          </cell>
          <cell r="C110">
            <v>45589</v>
          </cell>
          <cell r="E110">
            <v>-4.8945445211155995E-4</v>
          </cell>
        </row>
        <row r="111">
          <cell r="A111" t="str">
            <v>CHF_LIBOR_EOD</v>
          </cell>
          <cell r="C111">
            <v>45954</v>
          </cell>
          <cell r="E111">
            <v>4.4104081403569998E-4</v>
          </cell>
        </row>
        <row r="112">
          <cell r="A112" t="str">
            <v>CHF_LIBOR_EOD</v>
          </cell>
          <cell r="C112">
            <v>46684</v>
          </cell>
          <cell r="E112">
            <v>2.0044581094449399E-3</v>
          </cell>
        </row>
        <row r="113">
          <cell r="A113" t="str">
            <v>CHF_LIBOR_EOD</v>
          </cell>
          <cell r="C113">
            <v>47779</v>
          </cell>
          <cell r="E113">
            <v>3.7460998807957099E-3</v>
          </cell>
        </row>
        <row r="114">
          <cell r="A114" t="str">
            <v>CHF_LIBOR_EOD</v>
          </cell>
          <cell r="C114">
            <v>49604</v>
          </cell>
          <cell r="E114">
            <v>5.6969324563921802E-3</v>
          </cell>
        </row>
        <row r="115">
          <cell r="A115" t="str">
            <v>CHF_LIBOR_EOD</v>
          </cell>
          <cell r="C115">
            <v>51429</v>
          </cell>
          <cell r="E115">
            <v>6.8077490755633803E-3</v>
          </cell>
        </row>
        <row r="116">
          <cell r="A116" t="str">
            <v>CHF_LIBOR_EOD</v>
          </cell>
          <cell r="C116">
            <v>53254</v>
          </cell>
          <cell r="E116">
            <v>7.2635096612185699E-3</v>
          </cell>
        </row>
        <row r="117">
          <cell r="A117" t="str">
            <v>CHF_TOIS_EOD</v>
          </cell>
          <cell r="C117">
            <v>42305</v>
          </cell>
          <cell r="E117">
            <v>-5.3989982635078097E-3</v>
          </cell>
        </row>
        <row r="118">
          <cell r="A118" t="str">
            <v>CHF_TOIS_EOD</v>
          </cell>
          <cell r="C118">
            <v>42311</v>
          </cell>
          <cell r="E118">
            <v>-5.4208104228222901E-3</v>
          </cell>
        </row>
        <row r="119">
          <cell r="A119" t="str">
            <v>CHF_TOIS_EOD</v>
          </cell>
          <cell r="C119">
            <v>42318</v>
          </cell>
          <cell r="E119">
            <v>-5.4513474458742902E-3</v>
          </cell>
        </row>
        <row r="120">
          <cell r="A120" t="str">
            <v>CHF_TOIS_EOD</v>
          </cell>
          <cell r="C120">
            <v>42325</v>
          </cell>
          <cell r="E120">
            <v>-5.4818844689262999E-3</v>
          </cell>
        </row>
        <row r="121">
          <cell r="A121" t="str">
            <v>CHF_TOIS_EOD</v>
          </cell>
          <cell r="C121">
            <v>42334</v>
          </cell>
          <cell r="E121">
            <v>-5.5211463557074403E-3</v>
          </cell>
        </row>
        <row r="122">
          <cell r="A122" t="str">
            <v>CHF_TOIS_EOD</v>
          </cell>
          <cell r="C122">
            <v>42364</v>
          </cell>
          <cell r="E122">
            <v>-5.7458839914202604E-3</v>
          </cell>
        </row>
        <row r="123">
          <cell r="A123" t="str">
            <v>CHF_TOIS_EOD</v>
          </cell>
          <cell r="C123">
            <v>42395</v>
          </cell>
          <cell r="E123">
            <v>-6.1771232594547403E-3</v>
          </cell>
        </row>
        <row r="124">
          <cell r="A124" t="str">
            <v>CHF_TOIS_EOD</v>
          </cell>
          <cell r="C124">
            <v>42425</v>
          </cell>
          <cell r="E124">
            <v>-6.3145705902971899E-3</v>
          </cell>
        </row>
        <row r="125">
          <cell r="A125" t="str">
            <v>CHF_TOIS_EOD</v>
          </cell>
          <cell r="C125">
            <v>42456</v>
          </cell>
          <cell r="E125">
            <v>-6.5630290316184203E-3</v>
          </cell>
        </row>
        <row r="126">
          <cell r="A126" t="str">
            <v>CHF_TOIS_EOD</v>
          </cell>
          <cell r="C126">
            <v>42486</v>
          </cell>
          <cell r="E126">
            <v>-6.8025521140840399E-3</v>
          </cell>
        </row>
        <row r="127">
          <cell r="A127" t="str">
            <v>CHF_TOIS_EOD</v>
          </cell>
          <cell r="C127">
            <v>42516</v>
          </cell>
          <cell r="E127">
            <v>-6.88565506552928E-3</v>
          </cell>
        </row>
        <row r="128">
          <cell r="A128" t="str">
            <v>CHF_TOIS_EOD</v>
          </cell>
          <cell r="C128">
            <v>42547</v>
          </cell>
          <cell r="E128">
            <v>-7.0341260814271696E-3</v>
          </cell>
        </row>
        <row r="129">
          <cell r="A129" t="str">
            <v>CHF_TOIS_EOD</v>
          </cell>
          <cell r="C129">
            <v>42577</v>
          </cell>
          <cell r="E129">
            <v>-7.2288883720475197E-3</v>
          </cell>
        </row>
        <row r="130">
          <cell r="A130" t="str">
            <v>CHF_TOIS_EOD</v>
          </cell>
          <cell r="C130">
            <v>42608</v>
          </cell>
          <cell r="E130">
            <v>-7.3924118085624798E-3</v>
          </cell>
        </row>
        <row r="131">
          <cell r="A131" t="str">
            <v>CHF_TOIS_EOD</v>
          </cell>
          <cell r="C131">
            <v>42638</v>
          </cell>
          <cell r="E131">
            <v>-7.4138266466202097E-3</v>
          </cell>
        </row>
        <row r="132">
          <cell r="A132" t="str">
            <v>CHF_TOIS_EOD</v>
          </cell>
          <cell r="C132">
            <v>42669</v>
          </cell>
          <cell r="E132">
            <v>-7.9081164336284992E-3</v>
          </cell>
        </row>
        <row r="133">
          <cell r="A133" t="str">
            <v>CHF_TOIS_EOD</v>
          </cell>
          <cell r="C133">
            <v>42760</v>
          </cell>
          <cell r="E133">
            <v>-7.7836929620965197E-3</v>
          </cell>
        </row>
        <row r="134">
          <cell r="A134" t="str">
            <v>CHF_TOIS_EOD</v>
          </cell>
          <cell r="C134">
            <v>42851</v>
          </cell>
          <cell r="E134">
            <v>-7.9203187815824905E-3</v>
          </cell>
        </row>
        <row r="135">
          <cell r="A135" t="str">
            <v>CHF_TOIS_EOD</v>
          </cell>
          <cell r="C135">
            <v>42942</v>
          </cell>
          <cell r="E135">
            <v>-7.8546665444429297E-3</v>
          </cell>
        </row>
        <row r="136">
          <cell r="A136" t="str">
            <v>CHF_TOIS_EOD</v>
          </cell>
          <cell r="C136">
            <v>43034</v>
          </cell>
          <cell r="E136">
            <v>-8.0266582940676703E-3</v>
          </cell>
        </row>
        <row r="137">
          <cell r="A137" t="str">
            <v>CHF_TOIS_EOD</v>
          </cell>
          <cell r="C137">
            <v>43399</v>
          </cell>
          <cell r="E137">
            <v>-7.8865277545949394E-3</v>
          </cell>
        </row>
        <row r="138">
          <cell r="A138" t="str">
            <v>CHF_TOIS_EOD</v>
          </cell>
          <cell r="C138">
            <v>43764</v>
          </cell>
          <cell r="E138">
            <v>-7.3105908516842904E-3</v>
          </cell>
        </row>
        <row r="139">
          <cell r="A139" t="str">
            <v>CHF_TOIS_EOD</v>
          </cell>
          <cell r="C139">
            <v>44129</v>
          </cell>
          <cell r="E139">
            <v>-6.4329482499983597E-3</v>
          </cell>
        </row>
        <row r="140">
          <cell r="A140" t="str">
            <v>CHF_TOIS_EOD</v>
          </cell>
          <cell r="C140">
            <v>44494</v>
          </cell>
          <cell r="E140">
            <v>-5.1996400908092396E-3</v>
          </cell>
        </row>
        <row r="141">
          <cell r="A141" t="str">
            <v>CHF_TOIS_EOD</v>
          </cell>
          <cell r="C141">
            <v>44859</v>
          </cell>
          <cell r="E141">
            <v>-3.9648597658987501E-3</v>
          </cell>
        </row>
        <row r="142">
          <cell r="A142" t="str">
            <v>CHF_TOIS_EOD</v>
          </cell>
          <cell r="C142">
            <v>45224</v>
          </cell>
          <cell r="E142">
            <v>-2.8405014161813698E-3</v>
          </cell>
        </row>
        <row r="143">
          <cell r="A143" t="str">
            <v>CHF_TOIS_EOD</v>
          </cell>
          <cell r="C143">
            <v>45589</v>
          </cell>
          <cell r="E143">
            <v>-1.81711623476078E-3</v>
          </cell>
        </row>
        <row r="144">
          <cell r="A144" t="str">
            <v>CHF_TOIS_EOD</v>
          </cell>
          <cell r="C144">
            <v>45954</v>
          </cell>
          <cell r="E144">
            <v>-9.1722536668067001E-4</v>
          </cell>
        </row>
        <row r="145">
          <cell r="A145" t="str">
            <v>CHF_TOIS_EOD</v>
          </cell>
          <cell r="C145">
            <v>46684</v>
          </cell>
          <cell r="E145">
            <v>6.5981790436284995E-4</v>
          </cell>
        </row>
        <row r="146">
          <cell r="A146" t="str">
            <v>CHF_TOIS_EOD</v>
          </cell>
          <cell r="C146">
            <v>47779</v>
          </cell>
          <cell r="E146">
            <v>2.3307928512595901E-3</v>
          </cell>
        </row>
        <row r="147">
          <cell r="A147" t="str">
            <v>CHF_TOIS_EOD</v>
          </cell>
          <cell r="C147">
            <v>49604</v>
          </cell>
          <cell r="E147">
            <v>4.4795973517970803E-3</v>
          </cell>
        </row>
        <row r="148">
          <cell r="A148" t="str">
            <v>CHF_TOIS_EOD</v>
          </cell>
          <cell r="C148">
            <v>51429</v>
          </cell>
          <cell r="E148">
            <v>5.6620177920317103E-3</v>
          </cell>
        </row>
        <row r="149">
          <cell r="A149" t="str">
            <v>CHF_TOIS_EOD</v>
          </cell>
          <cell r="C149">
            <v>53254</v>
          </cell>
          <cell r="E149">
            <v>6.1631849896051196E-3</v>
          </cell>
        </row>
        <row r="150">
          <cell r="A150" t="str">
            <v>CZK_PRIBOR_EOD</v>
          </cell>
          <cell r="C150">
            <v>42305</v>
          </cell>
          <cell r="E150">
            <v>1.3180507959464701E-3</v>
          </cell>
        </row>
        <row r="151">
          <cell r="A151" t="str">
            <v>CZK_PRIBOR_EOD</v>
          </cell>
          <cell r="C151">
            <v>42311</v>
          </cell>
          <cell r="E151">
            <v>1.3586010033514199E-3</v>
          </cell>
        </row>
        <row r="152">
          <cell r="A152" t="str">
            <v>CZK_PRIBOR_EOD</v>
          </cell>
          <cell r="C152">
            <v>42334</v>
          </cell>
          <cell r="E152">
            <v>1.8689985856600499E-3</v>
          </cell>
        </row>
        <row r="153">
          <cell r="A153" t="str">
            <v>CZK_PRIBOR_EOD</v>
          </cell>
          <cell r="C153">
            <v>42364</v>
          </cell>
          <cell r="E153">
            <v>2.2331423100047602E-3</v>
          </cell>
        </row>
        <row r="154">
          <cell r="A154" t="str">
            <v>CZK_PRIBOR_EOD</v>
          </cell>
          <cell r="C154">
            <v>42395</v>
          </cell>
          <cell r="E154">
            <v>2.82510806959726E-3</v>
          </cell>
        </row>
        <row r="155">
          <cell r="A155" t="str">
            <v>CZK_PRIBOR_EOD</v>
          </cell>
          <cell r="C155">
            <v>42486</v>
          </cell>
          <cell r="E155">
            <v>2.6228933852349302E-3</v>
          </cell>
        </row>
        <row r="156">
          <cell r="A156" t="str">
            <v>CZK_PRIBOR_EOD</v>
          </cell>
          <cell r="C156">
            <v>42577</v>
          </cell>
          <cell r="E156">
            <v>2.31810972280874E-3</v>
          </cell>
        </row>
        <row r="157">
          <cell r="A157" t="str">
            <v>CZK_PRIBOR_EOD</v>
          </cell>
          <cell r="C157">
            <v>42669</v>
          </cell>
          <cell r="E157">
            <v>2.1047805114105499E-3</v>
          </cell>
        </row>
        <row r="158">
          <cell r="A158" t="str">
            <v>CZK_PRIBOR_EOD</v>
          </cell>
          <cell r="C158">
            <v>42851</v>
          </cell>
          <cell r="E158">
            <v>2.2180957651635699E-3</v>
          </cell>
        </row>
        <row r="159">
          <cell r="A159" t="str">
            <v>CZK_PRIBOR_EOD</v>
          </cell>
          <cell r="C159">
            <v>43034</v>
          </cell>
          <cell r="E159">
            <v>2.3470576097145198E-3</v>
          </cell>
        </row>
        <row r="160">
          <cell r="A160" t="str">
            <v>CZK_PRIBOR_EOD</v>
          </cell>
          <cell r="C160">
            <v>43399</v>
          </cell>
          <cell r="E160">
            <v>2.5513628453364598E-3</v>
          </cell>
        </row>
        <row r="161">
          <cell r="A161" t="str">
            <v>CZK_PRIBOR_EOD</v>
          </cell>
          <cell r="C161">
            <v>43764</v>
          </cell>
          <cell r="E161">
            <v>2.9422446762464899E-3</v>
          </cell>
        </row>
        <row r="162">
          <cell r="A162" t="str">
            <v>CZK_PRIBOR_EOD</v>
          </cell>
          <cell r="C162">
            <v>44129</v>
          </cell>
          <cell r="E162">
            <v>3.4680149135357199E-3</v>
          </cell>
        </row>
        <row r="163">
          <cell r="A163" t="str">
            <v>CZK_PRIBOR_EOD</v>
          </cell>
          <cell r="C163">
            <v>44494</v>
          </cell>
          <cell r="E163">
            <v>4.1183533351088304E-3</v>
          </cell>
        </row>
        <row r="164">
          <cell r="A164" t="str">
            <v>CZK_PRIBOR_EOD</v>
          </cell>
          <cell r="C164">
            <v>44859</v>
          </cell>
          <cell r="E164">
            <v>4.9442275171854401E-3</v>
          </cell>
        </row>
        <row r="165">
          <cell r="A165" t="str">
            <v>CZK_PRIBOR_EOD</v>
          </cell>
          <cell r="C165">
            <v>45224</v>
          </cell>
          <cell r="E165">
            <v>5.9908197851336999E-3</v>
          </cell>
        </row>
        <row r="166">
          <cell r="A166" t="str">
            <v>CZK_PRIBOR_EOD</v>
          </cell>
          <cell r="C166">
            <v>45589</v>
          </cell>
          <cell r="E166">
            <v>6.9877717782799199E-3</v>
          </cell>
        </row>
        <row r="167">
          <cell r="A167" t="str">
            <v>CZK_PRIBOR_EOD</v>
          </cell>
          <cell r="C167">
            <v>45954</v>
          </cell>
          <cell r="E167">
            <v>7.9164152071959995E-3</v>
          </cell>
        </row>
        <row r="168">
          <cell r="A168" t="str">
            <v>CZK_PRIBOR_EOD</v>
          </cell>
          <cell r="C168">
            <v>46684</v>
          </cell>
          <cell r="E168">
            <v>9.4396296042870195E-3</v>
          </cell>
        </row>
        <row r="169">
          <cell r="A169" t="str">
            <v>CZK_PRIBOR_EOD</v>
          </cell>
          <cell r="C169">
            <v>47779</v>
          </cell>
          <cell r="E169">
            <v>1.1533167432235101E-2</v>
          </cell>
        </row>
        <row r="170">
          <cell r="A170" t="str">
            <v>CZK_PRIBOR_EOD</v>
          </cell>
          <cell r="C170">
            <v>49604</v>
          </cell>
          <cell r="E170">
            <v>1.3149810035546401E-2</v>
          </cell>
        </row>
        <row r="171">
          <cell r="A171" t="str">
            <v>CZK_PRIBOR_EOD</v>
          </cell>
          <cell r="C171">
            <v>51429</v>
          </cell>
          <cell r="E171">
            <v>1.24578949631854E-2</v>
          </cell>
        </row>
        <row r="172">
          <cell r="A172" t="str">
            <v>CZK_PRIBOR_EOD</v>
          </cell>
          <cell r="C172">
            <v>53254</v>
          </cell>
          <cell r="E172">
            <v>1.24105138472287E-2</v>
          </cell>
        </row>
        <row r="173">
          <cell r="A173" t="str">
            <v>DKK_CIBOR_EOD</v>
          </cell>
          <cell r="C173">
            <v>42305</v>
          </cell>
          <cell r="E173">
            <v>4.1366643228114001E-4</v>
          </cell>
        </row>
        <row r="174">
          <cell r="A174" t="str">
            <v>DKK_CIBOR_EOD</v>
          </cell>
          <cell r="C174">
            <v>42311</v>
          </cell>
          <cell r="E174">
            <v>-1.8007358070013201E-3</v>
          </cell>
        </row>
        <row r="175">
          <cell r="A175" t="str">
            <v>DKK_CIBOR_EOD</v>
          </cell>
          <cell r="C175">
            <v>42334</v>
          </cell>
          <cell r="E175">
            <v>-2.3338649135131598E-3</v>
          </cell>
        </row>
        <row r="176">
          <cell r="A176" t="str">
            <v>DKK_CIBOR_EOD</v>
          </cell>
          <cell r="C176">
            <v>42364</v>
          </cell>
          <cell r="E176">
            <v>-1.9882325540096801E-3</v>
          </cell>
        </row>
        <row r="177">
          <cell r="A177" t="str">
            <v>DKK_CIBOR_EOD</v>
          </cell>
          <cell r="C177">
            <v>42395</v>
          </cell>
          <cell r="E177">
            <v>-1.65930279491662E-3</v>
          </cell>
        </row>
        <row r="178">
          <cell r="A178" t="str">
            <v>DKK_CIBOR_EOD</v>
          </cell>
          <cell r="C178">
            <v>42486</v>
          </cell>
          <cell r="E178">
            <v>-9.7408593210497997E-4</v>
          </cell>
        </row>
        <row r="179">
          <cell r="A179" t="str">
            <v>DKK_CIBOR_EOD</v>
          </cell>
          <cell r="C179">
            <v>42577</v>
          </cell>
          <cell r="E179">
            <v>-6.9037938606548999E-4</v>
          </cell>
        </row>
        <row r="180">
          <cell r="A180" t="str">
            <v>DKK_CIBOR_EOD</v>
          </cell>
          <cell r="C180">
            <v>42669</v>
          </cell>
          <cell r="E180">
            <v>-4.8736346722065999E-4</v>
          </cell>
        </row>
        <row r="181">
          <cell r="A181" t="str">
            <v>DKK_CIBOR_EOD</v>
          </cell>
          <cell r="C181">
            <v>42851</v>
          </cell>
          <cell r="E181">
            <v>-8.7132170451330004E-5</v>
          </cell>
        </row>
        <row r="182">
          <cell r="A182" t="str">
            <v>DKK_CIBOR_EOD</v>
          </cell>
          <cell r="C182">
            <v>43034</v>
          </cell>
          <cell r="E182">
            <v>1.8594263492230699E-3</v>
          </cell>
        </row>
        <row r="183">
          <cell r="A183" t="str">
            <v>DKK_CIBOR_EOD</v>
          </cell>
          <cell r="C183">
            <v>43399</v>
          </cell>
          <cell r="E183">
            <v>2.8686609836853301E-3</v>
          </cell>
        </row>
        <row r="184">
          <cell r="A184" t="str">
            <v>DKK_CIBOR_EOD</v>
          </cell>
          <cell r="C184">
            <v>43764</v>
          </cell>
          <cell r="E184">
            <v>4.1543176586653196E-3</v>
          </cell>
        </row>
        <row r="185">
          <cell r="A185" t="str">
            <v>DKK_CIBOR_EOD</v>
          </cell>
          <cell r="C185">
            <v>44129</v>
          </cell>
          <cell r="E185">
            <v>5.4460330230664197E-3</v>
          </cell>
        </row>
        <row r="186">
          <cell r="A186" t="str">
            <v>DKK_CIBOR_EOD</v>
          </cell>
          <cell r="C186">
            <v>44494</v>
          </cell>
          <cell r="E186">
            <v>6.7757792829028904E-3</v>
          </cell>
        </row>
        <row r="187">
          <cell r="A187" t="str">
            <v>DKK_CIBOR_EOD</v>
          </cell>
          <cell r="C187">
            <v>44859</v>
          </cell>
          <cell r="E187">
            <v>8.1578215452181805E-3</v>
          </cell>
        </row>
        <row r="188">
          <cell r="A188" t="str">
            <v>DKK_CIBOR_EOD</v>
          </cell>
          <cell r="C188">
            <v>45224</v>
          </cell>
          <cell r="E188">
            <v>9.4868178468370794E-3</v>
          </cell>
        </row>
        <row r="189">
          <cell r="A189" t="str">
            <v>DKK_CIBOR_EOD</v>
          </cell>
          <cell r="C189">
            <v>45589</v>
          </cell>
          <cell r="E189">
            <v>1.0708328862009E-2</v>
          </cell>
        </row>
        <row r="190">
          <cell r="A190" t="str">
            <v>DKK_CIBOR_EOD</v>
          </cell>
          <cell r="C190">
            <v>45954</v>
          </cell>
          <cell r="E190">
            <v>1.1815298488527999E-2</v>
          </cell>
        </row>
        <row r="191">
          <cell r="A191" t="str">
            <v>DKK_CIBOR_EOD</v>
          </cell>
          <cell r="C191">
            <v>46684</v>
          </cell>
          <cell r="E191">
            <v>1.3793483394035E-2</v>
          </cell>
        </row>
        <row r="192">
          <cell r="A192" t="str">
            <v>DKK_CIBOR_EOD</v>
          </cell>
          <cell r="C192">
            <v>47779</v>
          </cell>
          <cell r="E192">
            <v>1.5842890071832001E-2</v>
          </cell>
        </row>
        <row r="193">
          <cell r="A193" t="str">
            <v>DKK_CIBOR_EOD</v>
          </cell>
          <cell r="C193">
            <v>49604</v>
          </cell>
          <cell r="E193">
            <v>1.7560909884194099E-2</v>
          </cell>
        </row>
        <row r="194">
          <cell r="A194" t="str">
            <v>DKK_CIBOR_EOD</v>
          </cell>
          <cell r="C194">
            <v>51429</v>
          </cell>
          <cell r="E194">
            <v>1.78038721401883E-2</v>
          </cell>
        </row>
        <row r="195">
          <cell r="A195" t="str">
            <v>DKK_CIBOR_EOD</v>
          </cell>
          <cell r="C195">
            <v>53254</v>
          </cell>
          <cell r="E195">
            <v>1.78437372117627E-2</v>
          </cell>
        </row>
        <row r="196">
          <cell r="A196" t="str">
            <v>EUR_EONIA_EOD</v>
          </cell>
          <cell r="C196">
            <v>42305</v>
          </cell>
          <cell r="E196">
            <v>-1.3890304208007201E-3</v>
          </cell>
        </row>
        <row r="197">
          <cell r="A197" t="str">
            <v>EUR_EONIA_EOD</v>
          </cell>
          <cell r="C197">
            <v>42311</v>
          </cell>
          <cell r="E197">
            <v>-1.40218258918138E-3</v>
          </cell>
        </row>
        <row r="198">
          <cell r="A198" t="str">
            <v>EUR_EONIA_EOD</v>
          </cell>
          <cell r="C198">
            <v>42318</v>
          </cell>
          <cell r="E198">
            <v>-1.4133242040796599E-3</v>
          </cell>
        </row>
        <row r="199">
          <cell r="A199" t="str">
            <v>EUR_EONIA_EOD</v>
          </cell>
          <cell r="C199">
            <v>42325</v>
          </cell>
          <cell r="E199">
            <v>-1.4231294832825799E-3</v>
          </cell>
        </row>
        <row r="200">
          <cell r="A200" t="str">
            <v>EUR_EONIA_EOD</v>
          </cell>
          <cell r="C200">
            <v>42334</v>
          </cell>
          <cell r="E200">
            <v>-1.405599841483E-3</v>
          </cell>
        </row>
        <row r="201">
          <cell r="A201" t="str">
            <v>EUR_EONIA_EOD</v>
          </cell>
          <cell r="C201">
            <v>42364</v>
          </cell>
          <cell r="E201">
            <v>-1.6856961552418801E-3</v>
          </cell>
        </row>
        <row r="202">
          <cell r="A202" t="str">
            <v>EUR_EONIA_EOD</v>
          </cell>
          <cell r="C202">
            <v>42395</v>
          </cell>
          <cell r="E202">
            <v>-1.84600116671867E-3</v>
          </cell>
        </row>
        <row r="203">
          <cell r="A203" t="str">
            <v>EUR_EONIA_EOD</v>
          </cell>
          <cell r="C203">
            <v>42425</v>
          </cell>
          <cell r="E203">
            <v>-1.9727673642785399E-3</v>
          </cell>
        </row>
        <row r="204">
          <cell r="A204" t="str">
            <v>EUR_EONIA_EOD</v>
          </cell>
          <cell r="C204">
            <v>42456</v>
          </cell>
          <cell r="E204">
            <v>-2.0578357475849901E-3</v>
          </cell>
        </row>
        <row r="205">
          <cell r="A205" t="str">
            <v>EUR_EONIA_EOD</v>
          </cell>
          <cell r="C205">
            <v>42486</v>
          </cell>
          <cell r="E205">
            <v>-2.13354552342523E-3</v>
          </cell>
        </row>
        <row r="206">
          <cell r="A206" t="str">
            <v>EUR_EONIA_EOD</v>
          </cell>
          <cell r="C206">
            <v>42516</v>
          </cell>
          <cell r="E206">
            <v>-2.2003476033191798E-3</v>
          </cell>
        </row>
        <row r="207">
          <cell r="A207" t="str">
            <v>EUR_EONIA_EOD</v>
          </cell>
          <cell r="C207">
            <v>42547</v>
          </cell>
          <cell r="E207">
            <v>-2.2611316680715798E-3</v>
          </cell>
        </row>
        <row r="208">
          <cell r="A208" t="str">
            <v>EUR_EONIA_EOD</v>
          </cell>
          <cell r="C208">
            <v>42577</v>
          </cell>
          <cell r="E208">
            <v>-2.3267891531909201E-3</v>
          </cell>
        </row>
        <row r="209">
          <cell r="A209" t="str">
            <v>EUR_EONIA_EOD</v>
          </cell>
          <cell r="C209">
            <v>42608</v>
          </cell>
          <cell r="E209">
            <v>-2.3798601923716799E-3</v>
          </cell>
        </row>
        <row r="210">
          <cell r="A210" t="str">
            <v>EUR_EONIA_EOD</v>
          </cell>
          <cell r="C210">
            <v>42638</v>
          </cell>
          <cell r="E210">
            <v>-2.41232575436503E-3</v>
          </cell>
        </row>
        <row r="211">
          <cell r="A211" t="str">
            <v>EUR_EONIA_EOD</v>
          </cell>
          <cell r="C211">
            <v>42669</v>
          </cell>
          <cell r="E211">
            <v>-2.4852978368468601E-3</v>
          </cell>
        </row>
        <row r="212">
          <cell r="A212" t="str">
            <v>EUR_EONIA_EOD</v>
          </cell>
          <cell r="C212">
            <v>42760</v>
          </cell>
          <cell r="E212">
            <v>-2.54485629174155E-3</v>
          </cell>
        </row>
        <row r="213">
          <cell r="A213" t="str">
            <v>EUR_EONIA_EOD</v>
          </cell>
          <cell r="C213">
            <v>42851</v>
          </cell>
          <cell r="E213">
            <v>-2.58941462313695E-3</v>
          </cell>
        </row>
        <row r="214">
          <cell r="A214" t="str">
            <v>EUR_EONIA_EOD</v>
          </cell>
          <cell r="C214">
            <v>42942</v>
          </cell>
          <cell r="E214">
            <v>-2.62312983577331E-3</v>
          </cell>
        </row>
        <row r="215">
          <cell r="A215" t="str">
            <v>EUR_EONIA_EOD</v>
          </cell>
          <cell r="C215">
            <v>43034</v>
          </cell>
          <cell r="E215">
            <v>-2.5593071074969001E-3</v>
          </cell>
        </row>
        <row r="216">
          <cell r="A216" t="str">
            <v>EUR_EONIA_EOD</v>
          </cell>
          <cell r="C216">
            <v>43399</v>
          </cell>
          <cell r="E216">
            <v>-2.2063569453870699E-3</v>
          </cell>
        </row>
        <row r="217">
          <cell r="A217" t="str">
            <v>EUR_EONIA_EOD</v>
          </cell>
          <cell r="C217">
            <v>43764</v>
          </cell>
          <cell r="E217">
            <v>-1.33765543477396E-3</v>
          </cell>
        </row>
        <row r="218">
          <cell r="A218" t="str">
            <v>EUR_EONIA_EOD</v>
          </cell>
          <cell r="C218">
            <v>44129</v>
          </cell>
          <cell r="E218">
            <v>-2.5183198572949997E-4</v>
          </cell>
        </row>
        <row r="219">
          <cell r="A219" t="str">
            <v>EUR_EONIA_EOD</v>
          </cell>
          <cell r="C219">
            <v>44494</v>
          </cell>
          <cell r="E219">
            <v>1.01030800425565E-3</v>
          </cell>
        </row>
        <row r="220">
          <cell r="A220" t="str">
            <v>EUR_EONIA_EOD</v>
          </cell>
          <cell r="C220">
            <v>44859</v>
          </cell>
          <cell r="E220">
            <v>2.3460799183085898E-3</v>
          </cell>
        </row>
        <row r="221">
          <cell r="A221" t="str">
            <v>EUR_EONIA_EOD</v>
          </cell>
          <cell r="C221">
            <v>45224</v>
          </cell>
          <cell r="E221">
            <v>3.69027648551477E-3</v>
          </cell>
        </row>
        <row r="222">
          <cell r="A222" t="str">
            <v>EUR_EONIA_EOD</v>
          </cell>
          <cell r="C222">
            <v>45589</v>
          </cell>
          <cell r="E222">
            <v>4.9623357198719398E-3</v>
          </cell>
        </row>
        <row r="223">
          <cell r="A223" t="str">
            <v>EUR_EONIA_EOD</v>
          </cell>
          <cell r="C223">
            <v>45954</v>
          </cell>
          <cell r="E223">
            <v>6.1339166861560596E-3</v>
          </cell>
        </row>
        <row r="224">
          <cell r="A224" t="str">
            <v>EUR_EONIA_EOD</v>
          </cell>
          <cell r="C224">
            <v>46684</v>
          </cell>
          <cell r="E224">
            <v>8.1712500531415499E-3</v>
          </cell>
        </row>
        <row r="225">
          <cell r="A225" t="str">
            <v>EUR_EONIA_EOD</v>
          </cell>
          <cell r="C225">
            <v>47779</v>
          </cell>
          <cell r="E225">
            <v>1.04725368716447E-2</v>
          </cell>
        </row>
        <row r="226">
          <cell r="A226" t="str">
            <v>EUR_EONIA_EOD</v>
          </cell>
          <cell r="C226">
            <v>49604</v>
          </cell>
          <cell r="E226">
            <v>1.26633299332135E-2</v>
          </cell>
        </row>
        <row r="227">
          <cell r="A227" t="str">
            <v>EUR_EONIA_EOD</v>
          </cell>
          <cell r="C227">
            <v>51429</v>
          </cell>
          <cell r="E227">
            <v>1.33621709505306E-2</v>
          </cell>
        </row>
        <row r="228">
          <cell r="A228" t="str">
            <v>EUR_EONIA_EOD</v>
          </cell>
          <cell r="C228">
            <v>53254</v>
          </cell>
          <cell r="E228">
            <v>1.36446377340395E-2</v>
          </cell>
        </row>
        <row r="229">
          <cell r="A229" t="str">
            <v>EUR_EONIA_EOD</v>
          </cell>
          <cell r="C229">
            <v>55079</v>
          </cell>
          <cell r="E229">
            <v>1.37585894036386E-2</v>
          </cell>
        </row>
        <row r="230">
          <cell r="A230" t="str">
            <v>EUR_EONIA_EOD</v>
          </cell>
          <cell r="C230">
            <v>56904</v>
          </cell>
          <cell r="E230">
            <v>1.38715315476195E-2</v>
          </cell>
        </row>
        <row r="231">
          <cell r="A231" t="str">
            <v>EUR_EONIA_EOD</v>
          </cell>
          <cell r="C231">
            <v>58729</v>
          </cell>
          <cell r="E231">
            <v>1.36349740603971E-2</v>
          </cell>
        </row>
        <row r="232">
          <cell r="A232" t="str">
            <v>EUR_EONIA_EOD</v>
          </cell>
          <cell r="C232">
            <v>60554</v>
          </cell>
          <cell r="E232">
            <v>1.3396103282731E-2</v>
          </cell>
        </row>
        <row r="233">
          <cell r="A233" t="str">
            <v>EUR_EURIBOR_EOD</v>
          </cell>
          <cell r="C233">
            <v>42305</v>
          </cell>
          <cell r="E233">
            <v>-1.4600029200092499E-3</v>
          </cell>
        </row>
        <row r="234">
          <cell r="A234" t="str">
            <v>EUR_EURIBOR_EOD</v>
          </cell>
          <cell r="C234">
            <v>42311</v>
          </cell>
          <cell r="E234">
            <v>-1.4769112797779101E-3</v>
          </cell>
        </row>
        <row r="235">
          <cell r="A235" t="str">
            <v>EUR_EURIBOR_EOD</v>
          </cell>
          <cell r="C235">
            <v>42334</v>
          </cell>
          <cell r="E235">
            <v>-1.26344637971637E-3</v>
          </cell>
        </row>
        <row r="236">
          <cell r="A236" t="str">
            <v>EUR_EURIBOR_EOD</v>
          </cell>
          <cell r="C236">
            <v>42364</v>
          </cell>
          <cell r="E236">
            <v>-1.2215683717237201E-3</v>
          </cell>
        </row>
        <row r="237">
          <cell r="A237" t="str">
            <v>EUR_EURIBOR_EOD</v>
          </cell>
          <cell r="C237">
            <v>42395</v>
          </cell>
          <cell r="E237">
            <v>-1.22165210624795E-3</v>
          </cell>
        </row>
        <row r="238">
          <cell r="A238" t="str">
            <v>EUR_EURIBOR_EOD</v>
          </cell>
          <cell r="C238">
            <v>42486</v>
          </cell>
          <cell r="E238">
            <v>-1.27791382554983E-3</v>
          </cell>
        </row>
        <row r="239">
          <cell r="A239" t="str">
            <v>EUR_EURIBOR_EOD</v>
          </cell>
          <cell r="C239">
            <v>42577</v>
          </cell>
          <cell r="E239">
            <v>-1.3981928905368399E-3</v>
          </cell>
        </row>
        <row r="240">
          <cell r="A240" t="str">
            <v>EUR_EURIBOR_EOD</v>
          </cell>
          <cell r="C240">
            <v>42669</v>
          </cell>
          <cell r="E240">
            <v>-1.5010434720829199E-3</v>
          </cell>
        </row>
        <row r="241">
          <cell r="A241" t="str">
            <v>EUR_EURIBOR_EOD</v>
          </cell>
          <cell r="C241">
            <v>42851</v>
          </cell>
          <cell r="E241">
            <v>-1.5992329525815799E-3</v>
          </cell>
        </row>
        <row r="242">
          <cell r="A242" t="str">
            <v>EUR_EURIBOR_EOD</v>
          </cell>
          <cell r="C242">
            <v>43034</v>
          </cell>
          <cell r="E242">
            <v>-1.5547721710551701E-3</v>
          </cell>
        </row>
        <row r="243">
          <cell r="A243" t="str">
            <v>EUR_EURIBOR_EOD</v>
          </cell>
          <cell r="C243">
            <v>43399</v>
          </cell>
          <cell r="E243">
            <v>-1.0946262001085001E-3</v>
          </cell>
        </row>
        <row r="244">
          <cell r="A244" t="str">
            <v>EUR_EURIBOR_EOD</v>
          </cell>
          <cell r="C244">
            <v>43764</v>
          </cell>
          <cell r="E244">
            <v>1.0804258706161301E-3</v>
          </cell>
        </row>
        <row r="245">
          <cell r="A245" t="str">
            <v>EUR_EURIBOR_EOD</v>
          </cell>
          <cell r="C245">
            <v>44129</v>
          </cell>
          <cell r="E245">
            <v>2.2406010628338098E-3</v>
          </cell>
        </row>
        <row r="246">
          <cell r="A246" t="str">
            <v>EUR_EURIBOR_EOD</v>
          </cell>
          <cell r="C246">
            <v>44494</v>
          </cell>
          <cell r="E246">
            <v>3.49478884006217E-3</v>
          </cell>
        </row>
        <row r="247">
          <cell r="A247" t="str">
            <v>EUR_EURIBOR_EOD</v>
          </cell>
          <cell r="C247">
            <v>44859</v>
          </cell>
          <cell r="E247">
            <v>4.79866817092148E-3</v>
          </cell>
        </row>
        <row r="248">
          <cell r="A248" t="str">
            <v>EUR_EURIBOR_EOD</v>
          </cell>
          <cell r="C248">
            <v>45224</v>
          </cell>
          <cell r="E248">
            <v>6.0803368224314298E-3</v>
          </cell>
        </row>
        <row r="249">
          <cell r="A249" t="str">
            <v>EUR_EURIBOR_EOD</v>
          </cell>
          <cell r="C249">
            <v>45589</v>
          </cell>
          <cell r="E249">
            <v>7.2722868832924099E-3</v>
          </cell>
        </row>
        <row r="250">
          <cell r="A250" t="str">
            <v>EUR_EURIBOR_EOD</v>
          </cell>
          <cell r="C250">
            <v>45954</v>
          </cell>
          <cell r="E250">
            <v>8.3678101901441398E-3</v>
          </cell>
        </row>
        <row r="251">
          <cell r="A251" t="str">
            <v>EUR_EURIBOR_EOD</v>
          </cell>
          <cell r="C251">
            <v>46684</v>
          </cell>
          <cell r="E251">
            <v>1.0269533565890601E-2</v>
          </cell>
        </row>
        <row r="252">
          <cell r="A252" t="str">
            <v>EUR_EURIBOR_EOD</v>
          </cell>
          <cell r="C252">
            <v>47779</v>
          </cell>
          <cell r="E252">
            <v>1.23454697522625E-2</v>
          </cell>
        </row>
        <row r="253">
          <cell r="A253" t="str">
            <v>EUR_EURIBOR_EOD</v>
          </cell>
          <cell r="C253">
            <v>49604</v>
          </cell>
          <cell r="E253">
            <v>1.4189216169006201E-2</v>
          </cell>
        </row>
        <row r="254">
          <cell r="A254" t="str">
            <v>EUR_EURIBOR_EOD</v>
          </cell>
          <cell r="C254">
            <v>51429</v>
          </cell>
          <cell r="E254">
            <v>1.46494625352699E-2</v>
          </cell>
        </row>
        <row r="255">
          <cell r="A255" t="str">
            <v>EUR_EURIBOR_EOD</v>
          </cell>
          <cell r="C255">
            <v>53254</v>
          </cell>
          <cell r="E255">
            <v>1.47623422582679E-2</v>
          </cell>
        </row>
        <row r="256">
          <cell r="A256" t="str">
            <v>EUR_EURIBOR_EOD</v>
          </cell>
          <cell r="C256">
            <v>55079</v>
          </cell>
          <cell r="E256">
            <v>1.47704199701838E-2</v>
          </cell>
        </row>
        <row r="257">
          <cell r="A257" t="str">
            <v>EUR_EURIBOR_EOD</v>
          </cell>
          <cell r="C257">
            <v>56904</v>
          </cell>
          <cell r="E257">
            <v>1.4777872448046099E-2</v>
          </cell>
        </row>
        <row r="258">
          <cell r="A258" t="str">
            <v>EUR_EURIBOR_EOD</v>
          </cell>
          <cell r="C258">
            <v>58729</v>
          </cell>
          <cell r="E258">
            <v>1.4459620052970201E-2</v>
          </cell>
        </row>
        <row r="259">
          <cell r="A259" t="str">
            <v>EUR_EURIBOR_EOD</v>
          </cell>
          <cell r="C259">
            <v>60554</v>
          </cell>
          <cell r="E259">
            <v>1.4139211861713699E-2</v>
          </cell>
        </row>
        <row r="260">
          <cell r="A260" t="str">
            <v>EUR_EURIBOR_EOD</v>
          </cell>
          <cell r="C260">
            <v>62379</v>
          </cell>
          <cell r="E260">
            <v>1.38622816811135E-2</v>
          </cell>
        </row>
        <row r="261">
          <cell r="A261" t="str">
            <v>EUR_EURIBOR_EOD</v>
          </cell>
          <cell r="C261">
            <v>64204</v>
          </cell>
          <cell r="E261">
            <v>1.35857118155188E-2</v>
          </cell>
        </row>
        <row r="262">
          <cell r="A262" t="str">
            <v>GBP_LIBOR_EOD</v>
          </cell>
          <cell r="C262">
            <v>42305</v>
          </cell>
          <cell r="E262">
            <v>4.82496810900557E-3</v>
          </cell>
        </row>
        <row r="263">
          <cell r="A263" t="str">
            <v>GBP_LIBOR_EOD</v>
          </cell>
          <cell r="C263">
            <v>42311</v>
          </cell>
          <cell r="E263">
            <v>4.8528741673604103E-3</v>
          </cell>
        </row>
        <row r="264">
          <cell r="A264" t="str">
            <v>GBP_LIBOR_EOD</v>
          </cell>
          <cell r="C264">
            <v>42334</v>
          </cell>
          <cell r="E264">
            <v>5.0532976391793501E-3</v>
          </cell>
        </row>
        <row r="265">
          <cell r="A265" t="str">
            <v>GBP_LIBOR_EOD</v>
          </cell>
          <cell r="C265">
            <v>42364</v>
          </cell>
          <cell r="E265">
            <v>5.2306665637862401E-3</v>
          </cell>
        </row>
        <row r="266">
          <cell r="A266" t="str">
            <v>GBP_LIBOR_EOD</v>
          </cell>
          <cell r="C266">
            <v>42395</v>
          </cell>
          <cell r="E266">
            <v>5.4109527940985804E-3</v>
          </cell>
        </row>
        <row r="267">
          <cell r="A267" t="str">
            <v>GBP_LIBOR_EOD</v>
          </cell>
          <cell r="C267">
            <v>42486</v>
          </cell>
          <cell r="E267">
            <v>5.8044639132879099E-3</v>
          </cell>
        </row>
        <row r="268">
          <cell r="A268" t="str">
            <v>GBP_LIBOR_EOD</v>
          </cell>
          <cell r="C268">
            <v>42577</v>
          </cell>
          <cell r="E268">
            <v>6.0339150109306799E-3</v>
          </cell>
        </row>
        <row r="269">
          <cell r="A269" t="str">
            <v>GBP_LIBOR_EOD</v>
          </cell>
          <cell r="C269">
            <v>42669</v>
          </cell>
          <cell r="E269">
            <v>6.2927337123655199E-3</v>
          </cell>
        </row>
        <row r="270">
          <cell r="A270" t="str">
            <v>GBP_LIBOR_EOD</v>
          </cell>
          <cell r="C270">
            <v>42851</v>
          </cell>
          <cell r="E270">
            <v>6.9932733003204104E-3</v>
          </cell>
        </row>
        <row r="271">
          <cell r="A271" t="str">
            <v>GBP_LIBOR_EOD</v>
          </cell>
          <cell r="C271">
            <v>43034</v>
          </cell>
          <cell r="E271">
            <v>7.7968336323787097E-3</v>
          </cell>
        </row>
        <row r="272">
          <cell r="A272" t="str">
            <v>GBP_LIBOR_EOD</v>
          </cell>
          <cell r="C272">
            <v>43399</v>
          </cell>
          <cell r="E272">
            <v>1.0768633372153899E-2</v>
          </cell>
        </row>
        <row r="273">
          <cell r="A273" t="str">
            <v>GBP_LIBOR_EOD</v>
          </cell>
          <cell r="C273">
            <v>43764</v>
          </cell>
          <cell r="E273">
            <v>1.2332020604300701E-2</v>
          </cell>
        </row>
        <row r="274">
          <cell r="A274" t="str">
            <v>GBP_LIBOR_EOD</v>
          </cell>
          <cell r="C274">
            <v>44129</v>
          </cell>
          <cell r="E274">
            <v>1.37311285985777E-2</v>
          </cell>
        </row>
        <row r="275">
          <cell r="A275" t="str">
            <v>GBP_LIBOR_EOD</v>
          </cell>
          <cell r="C275">
            <v>44494</v>
          </cell>
          <cell r="E275">
            <v>1.49432213928143E-2</v>
          </cell>
        </row>
        <row r="276">
          <cell r="A276" t="str">
            <v>GBP_LIBOR_EOD</v>
          </cell>
          <cell r="C276">
            <v>44859</v>
          </cell>
          <cell r="E276">
            <v>1.5939370861961798E-2</v>
          </cell>
        </row>
        <row r="277">
          <cell r="A277" t="str">
            <v>GBP_LIBOR_EOD</v>
          </cell>
          <cell r="C277">
            <v>45224</v>
          </cell>
          <cell r="E277">
            <v>1.6773438662535702E-2</v>
          </cell>
        </row>
        <row r="278">
          <cell r="A278" t="str">
            <v>GBP_LIBOR_EOD</v>
          </cell>
          <cell r="C278">
            <v>45589</v>
          </cell>
          <cell r="E278">
            <v>1.74814995996211E-2</v>
          </cell>
        </row>
        <row r="279">
          <cell r="A279" t="str">
            <v>GBP_LIBOR_EOD</v>
          </cell>
          <cell r="C279">
            <v>45954</v>
          </cell>
          <cell r="E279">
            <v>1.8115172972146099E-2</v>
          </cell>
        </row>
        <row r="280">
          <cell r="A280" t="str">
            <v>GBP_LIBOR_EOD</v>
          </cell>
          <cell r="C280">
            <v>46684</v>
          </cell>
          <cell r="E280">
            <v>1.91893681973671E-2</v>
          </cell>
        </row>
        <row r="281">
          <cell r="A281" t="str">
            <v>GBP_LIBOR_EOD</v>
          </cell>
          <cell r="C281">
            <v>47779</v>
          </cell>
          <cell r="E281">
            <v>2.02825936303331E-2</v>
          </cell>
        </row>
        <row r="282">
          <cell r="A282" t="str">
            <v>GBP_LIBOR_EOD</v>
          </cell>
          <cell r="C282">
            <v>49604</v>
          </cell>
          <cell r="E282">
            <v>2.10243557148341E-2</v>
          </cell>
        </row>
        <row r="283">
          <cell r="A283" t="str">
            <v>GBP_LIBOR_EOD</v>
          </cell>
          <cell r="C283">
            <v>51429</v>
          </cell>
          <cell r="E283">
            <v>2.1026036601911199E-2</v>
          </cell>
        </row>
        <row r="284">
          <cell r="A284" t="str">
            <v>GBP_LIBOR_EOD</v>
          </cell>
          <cell r="C284">
            <v>53254</v>
          </cell>
          <cell r="E284">
            <v>2.0874341769787998E-2</v>
          </cell>
        </row>
        <row r="285">
          <cell r="A285" t="str">
            <v>GBP_LIBOR_EOD</v>
          </cell>
          <cell r="C285">
            <v>55079</v>
          </cell>
          <cell r="E285">
            <v>2.0443580440158801E-2</v>
          </cell>
        </row>
        <row r="286">
          <cell r="A286" t="str">
            <v>GBP_LIBOR_EOD</v>
          </cell>
          <cell r="C286">
            <v>56904</v>
          </cell>
          <cell r="E286">
            <v>2.0011593704072801E-2</v>
          </cell>
        </row>
        <row r="287">
          <cell r="A287" t="str">
            <v>GBP_LIBOR_EOD</v>
          </cell>
          <cell r="C287">
            <v>58729</v>
          </cell>
          <cell r="E287">
            <v>1.9759833910645501E-2</v>
          </cell>
        </row>
        <row r="288">
          <cell r="A288" t="str">
            <v>GBP_LIBOR_EOD</v>
          </cell>
          <cell r="C288">
            <v>60554</v>
          </cell>
          <cell r="E288">
            <v>1.9509067103128299E-2</v>
          </cell>
        </row>
        <row r="289">
          <cell r="A289" t="str">
            <v>GBP_LIBOR_EOD</v>
          </cell>
          <cell r="C289">
            <v>62379</v>
          </cell>
          <cell r="E289">
            <v>1.95301742691701E-2</v>
          </cell>
        </row>
        <row r="290">
          <cell r="A290" t="str">
            <v>GBP_LIBOR_EOD</v>
          </cell>
          <cell r="C290">
            <v>64204</v>
          </cell>
          <cell r="E290">
            <v>1.95532319659272E-2</v>
          </cell>
        </row>
        <row r="291">
          <cell r="A291" t="str">
            <v>GBP_SONIA_EOD</v>
          </cell>
          <cell r="C291">
            <v>42305</v>
          </cell>
          <cell r="E291">
            <v>4.6329705965802402E-3</v>
          </cell>
        </row>
        <row r="292">
          <cell r="A292" t="str">
            <v>GBP_SONIA_EOD</v>
          </cell>
          <cell r="C292">
            <v>42311</v>
          </cell>
          <cell r="E292">
            <v>4.6047966665268497E-3</v>
          </cell>
        </row>
        <row r="293">
          <cell r="A293" t="str">
            <v>GBP_SONIA_EOD</v>
          </cell>
          <cell r="C293">
            <v>42318</v>
          </cell>
          <cell r="E293">
            <v>4.6260895512541403E-3</v>
          </cell>
        </row>
        <row r="294">
          <cell r="A294" t="str">
            <v>GBP_SONIA_EOD</v>
          </cell>
          <cell r="C294">
            <v>42325</v>
          </cell>
          <cell r="E294">
            <v>4.6306178124955397E-3</v>
          </cell>
        </row>
        <row r="295">
          <cell r="A295" t="str">
            <v>GBP_SONIA_EOD</v>
          </cell>
          <cell r="C295">
            <v>42334</v>
          </cell>
          <cell r="E295">
            <v>4.6364398626630599E-3</v>
          </cell>
        </row>
        <row r="296">
          <cell r="A296" t="str">
            <v>GBP_SONIA_EOD</v>
          </cell>
          <cell r="C296">
            <v>42364</v>
          </cell>
          <cell r="E296">
            <v>4.6072560056863703E-3</v>
          </cell>
        </row>
        <row r="297">
          <cell r="A297" t="str">
            <v>GBP_SONIA_EOD</v>
          </cell>
          <cell r="C297">
            <v>42395</v>
          </cell>
          <cell r="E297">
            <v>4.5810556310641902E-3</v>
          </cell>
        </row>
        <row r="298">
          <cell r="A298" t="str">
            <v>GBP_SONIA_EOD</v>
          </cell>
          <cell r="C298">
            <v>42425</v>
          </cell>
          <cell r="E298">
            <v>4.6377444281572398E-3</v>
          </cell>
        </row>
        <row r="299">
          <cell r="A299" t="str">
            <v>GBP_SONIA_EOD</v>
          </cell>
          <cell r="C299">
            <v>42456</v>
          </cell>
          <cell r="E299">
            <v>4.68897820037737E-3</v>
          </cell>
        </row>
        <row r="300">
          <cell r="A300" t="str">
            <v>GBP_SONIA_EOD</v>
          </cell>
          <cell r="C300">
            <v>42486</v>
          </cell>
          <cell r="E300">
            <v>4.7303932827409802E-3</v>
          </cell>
        </row>
        <row r="301">
          <cell r="A301" t="str">
            <v>GBP_SONIA_EOD</v>
          </cell>
          <cell r="C301">
            <v>42516</v>
          </cell>
          <cell r="E301">
            <v>4.7819606252231198E-3</v>
          </cell>
        </row>
        <row r="302">
          <cell r="A302" t="str">
            <v>GBP_SONIA_EOD</v>
          </cell>
          <cell r="C302">
            <v>42547</v>
          </cell>
          <cell r="E302">
            <v>4.8235687540389201E-3</v>
          </cell>
        </row>
        <row r="303">
          <cell r="A303" t="str">
            <v>GBP_SONIA_EOD</v>
          </cell>
          <cell r="C303">
            <v>42577</v>
          </cell>
          <cell r="E303">
            <v>4.8730952748076298E-3</v>
          </cell>
        </row>
        <row r="304">
          <cell r="A304" t="str">
            <v>GBP_SONIA_EOD</v>
          </cell>
          <cell r="C304">
            <v>42608</v>
          </cell>
          <cell r="E304">
            <v>4.9171137200855596E-3</v>
          </cell>
        </row>
        <row r="305">
          <cell r="A305" t="str">
            <v>GBP_SONIA_EOD</v>
          </cell>
          <cell r="C305">
            <v>42638</v>
          </cell>
          <cell r="E305">
            <v>5.0332804381810099E-3</v>
          </cell>
        </row>
        <row r="306">
          <cell r="A306" t="str">
            <v>GBP_SONIA_EOD</v>
          </cell>
          <cell r="C306">
            <v>42669</v>
          </cell>
          <cell r="E306">
            <v>5.1016855589147503E-3</v>
          </cell>
        </row>
        <row r="307">
          <cell r="A307" t="str">
            <v>GBP_SONIA_EOD</v>
          </cell>
          <cell r="C307">
            <v>42760</v>
          </cell>
          <cell r="E307">
            <v>5.3553677706222099E-3</v>
          </cell>
        </row>
        <row r="308">
          <cell r="A308" t="str">
            <v>GBP_SONIA_EOD</v>
          </cell>
          <cell r="C308">
            <v>42851</v>
          </cell>
          <cell r="E308">
            <v>5.65325024045224E-3</v>
          </cell>
        </row>
        <row r="309">
          <cell r="A309" t="str">
            <v>GBP_SONIA_EOD</v>
          </cell>
          <cell r="C309">
            <v>42942</v>
          </cell>
          <cell r="E309">
            <v>5.9748672568915202E-3</v>
          </cell>
        </row>
        <row r="310">
          <cell r="A310" t="str">
            <v>GBP_SONIA_EOD</v>
          </cell>
          <cell r="C310">
            <v>43034</v>
          </cell>
          <cell r="E310">
            <v>6.3299445407043404E-3</v>
          </cell>
        </row>
        <row r="311">
          <cell r="A311" t="str">
            <v>GBP_SONIA_EOD</v>
          </cell>
          <cell r="C311">
            <v>43399</v>
          </cell>
          <cell r="E311">
            <v>7.7195575242102101E-3</v>
          </cell>
        </row>
        <row r="312">
          <cell r="A312" t="str">
            <v>GBP_SONIA_EOD</v>
          </cell>
          <cell r="C312">
            <v>43764</v>
          </cell>
          <cell r="E312">
            <v>9.1185739986393999E-3</v>
          </cell>
        </row>
        <row r="313">
          <cell r="A313" t="str">
            <v>GBP_SONIA_EOD</v>
          </cell>
          <cell r="C313">
            <v>44129</v>
          </cell>
          <cell r="E313">
            <v>1.0438030892251499E-2</v>
          </cell>
        </row>
        <row r="314">
          <cell r="A314" t="str">
            <v>GBP_SONIA_EOD</v>
          </cell>
          <cell r="C314">
            <v>44494</v>
          </cell>
          <cell r="E314">
            <v>1.16205765900714E-2</v>
          </cell>
        </row>
        <row r="315">
          <cell r="A315" t="str">
            <v>GBP_SONIA_EOD</v>
          </cell>
          <cell r="C315">
            <v>44859</v>
          </cell>
          <cell r="E315">
            <v>1.26260912476028E-2</v>
          </cell>
        </row>
        <row r="316">
          <cell r="A316" t="str">
            <v>GBP_SONIA_EOD</v>
          </cell>
          <cell r="C316">
            <v>45224</v>
          </cell>
          <cell r="E316">
            <v>1.3469869966382299E-2</v>
          </cell>
        </row>
        <row r="317">
          <cell r="A317" t="str">
            <v>GBP_SONIA_EOD</v>
          </cell>
          <cell r="C317">
            <v>45589</v>
          </cell>
          <cell r="E317">
            <v>1.4240470740056301E-2</v>
          </cell>
        </row>
        <row r="318">
          <cell r="A318" t="str">
            <v>GBP_SONIA_EOD</v>
          </cell>
          <cell r="C318">
            <v>45954</v>
          </cell>
          <cell r="E318">
            <v>1.49244888420884E-2</v>
          </cell>
        </row>
        <row r="319">
          <cell r="A319" t="str">
            <v>GBP_SONIA_EOD</v>
          </cell>
          <cell r="C319">
            <v>46684</v>
          </cell>
          <cell r="E319">
            <v>1.6182172745559598E-2</v>
          </cell>
        </row>
        <row r="320">
          <cell r="A320" t="str">
            <v>GBP_SONIA_EOD</v>
          </cell>
          <cell r="C320">
            <v>47779</v>
          </cell>
          <cell r="E320">
            <v>1.75608182744122E-2</v>
          </cell>
        </row>
        <row r="321">
          <cell r="A321" t="str">
            <v>GBP_SONIA_EOD</v>
          </cell>
          <cell r="C321">
            <v>49604</v>
          </cell>
          <cell r="E321">
            <v>1.8704001086356E-2</v>
          </cell>
        </row>
        <row r="322">
          <cell r="A322" t="str">
            <v>GBP_SONIA_EOD</v>
          </cell>
          <cell r="C322">
            <v>51429</v>
          </cell>
          <cell r="E322">
            <v>1.8976669396289302E-2</v>
          </cell>
        </row>
        <row r="323">
          <cell r="A323" t="str">
            <v>GBP_SONIA_EOD</v>
          </cell>
          <cell r="C323">
            <v>53254</v>
          </cell>
          <cell r="E323">
            <v>1.9012739677987601E-2</v>
          </cell>
        </row>
        <row r="324">
          <cell r="A324" t="str">
            <v>GBP_SONIA_EOD</v>
          </cell>
          <cell r="C324">
            <v>55079</v>
          </cell>
          <cell r="E324">
            <v>1.8719743786934001E-2</v>
          </cell>
        </row>
        <row r="325">
          <cell r="A325" t="str">
            <v>GBP_SONIA_EOD</v>
          </cell>
          <cell r="C325">
            <v>56904</v>
          </cell>
          <cell r="E325">
            <v>1.8425304152759E-2</v>
          </cell>
        </row>
        <row r="326">
          <cell r="A326" t="str">
            <v>GBP_SONIA_EOD</v>
          </cell>
          <cell r="C326">
            <v>58729</v>
          </cell>
          <cell r="E326">
            <v>1.8263988428471802E-2</v>
          </cell>
        </row>
        <row r="327">
          <cell r="A327" t="str">
            <v>GBP_SONIA_EOD</v>
          </cell>
          <cell r="C327">
            <v>60554</v>
          </cell>
          <cell r="E327">
            <v>1.8103406169252802E-2</v>
          </cell>
        </row>
        <row r="328">
          <cell r="A328" t="str">
            <v>GBP_SONIA_EOD</v>
          </cell>
          <cell r="C328">
            <v>62379</v>
          </cell>
          <cell r="E328">
            <v>1.8177607820992901E-2</v>
          </cell>
        </row>
        <row r="329">
          <cell r="A329" t="str">
            <v>GBP_SONIA_EOD</v>
          </cell>
          <cell r="C329">
            <v>64204</v>
          </cell>
          <cell r="E329">
            <v>1.8253493904765199E-2</v>
          </cell>
        </row>
        <row r="330">
          <cell r="A330" t="str">
            <v>HKD_HIBOR_EOD</v>
          </cell>
          <cell r="C330">
            <v>42305</v>
          </cell>
          <cell r="E330">
            <v>4.5709971378360002E-4</v>
          </cell>
        </row>
        <row r="331">
          <cell r="A331" t="str">
            <v>HKD_HIBOR_EOD</v>
          </cell>
          <cell r="C331">
            <v>42311</v>
          </cell>
          <cell r="E331">
            <v>9.0069222087946004E-4</v>
          </cell>
        </row>
        <row r="332">
          <cell r="A332" t="str">
            <v>HKD_HIBOR_EOD</v>
          </cell>
          <cell r="C332">
            <v>42334</v>
          </cell>
          <cell r="E332">
            <v>2.1152916978031998E-3</v>
          </cell>
        </row>
        <row r="333">
          <cell r="A333" t="str">
            <v>HKD_HIBOR_EOD</v>
          </cell>
          <cell r="C333">
            <v>42364</v>
          </cell>
          <cell r="E333">
            <v>3.0126538531646701E-3</v>
          </cell>
        </row>
        <row r="334">
          <cell r="A334" t="str">
            <v>HKD_HIBOR_EOD</v>
          </cell>
          <cell r="C334">
            <v>42395</v>
          </cell>
          <cell r="E334">
            <v>3.8125680510689899E-3</v>
          </cell>
        </row>
        <row r="335">
          <cell r="A335" t="str">
            <v>HKD_HIBOR_EOD</v>
          </cell>
          <cell r="C335">
            <v>42486</v>
          </cell>
          <cell r="E335">
            <v>5.4742517054144103E-3</v>
          </cell>
        </row>
        <row r="336">
          <cell r="A336" t="str">
            <v>HKD_HIBOR_EOD</v>
          </cell>
          <cell r="C336">
            <v>42577</v>
          </cell>
          <cell r="E336">
            <v>5.39619233584293E-3</v>
          </cell>
        </row>
        <row r="337">
          <cell r="A337" t="str">
            <v>HKD_HIBOR_EOD</v>
          </cell>
          <cell r="C337">
            <v>42669</v>
          </cell>
          <cell r="E337">
            <v>5.2978153488215602E-3</v>
          </cell>
        </row>
        <row r="338">
          <cell r="A338" t="str">
            <v>HKD_HIBOR_EOD</v>
          </cell>
          <cell r="C338">
            <v>42851</v>
          </cell>
          <cell r="E338">
            <v>6.4404553231651096E-3</v>
          </cell>
        </row>
        <row r="339">
          <cell r="A339" t="str">
            <v>HKD_HIBOR_EOD</v>
          </cell>
          <cell r="C339">
            <v>43034</v>
          </cell>
          <cell r="E339">
            <v>7.5968022842912899E-3</v>
          </cell>
        </row>
        <row r="340">
          <cell r="A340" t="str">
            <v>HKD_HIBOR_EOD</v>
          </cell>
          <cell r="C340">
            <v>43399</v>
          </cell>
          <cell r="E340">
            <v>9.6010862602902893E-3</v>
          </cell>
        </row>
        <row r="341">
          <cell r="A341" t="str">
            <v>HKD_HIBOR_EOD</v>
          </cell>
          <cell r="C341">
            <v>43764</v>
          </cell>
          <cell r="E341">
            <v>1.1507974203242601E-2</v>
          </cell>
        </row>
        <row r="342">
          <cell r="A342" t="str">
            <v>HKD_HIBOR_EOD</v>
          </cell>
          <cell r="C342">
            <v>44129</v>
          </cell>
          <cell r="E342">
            <v>1.29634887537356E-2</v>
          </cell>
        </row>
        <row r="343">
          <cell r="A343" t="str">
            <v>HKD_HIBOR_EOD</v>
          </cell>
          <cell r="C343">
            <v>44494</v>
          </cell>
          <cell r="E343">
            <v>1.42357372061127E-2</v>
          </cell>
        </row>
        <row r="344">
          <cell r="A344" t="str">
            <v>HKD_HIBOR_EOD</v>
          </cell>
          <cell r="C344">
            <v>44859</v>
          </cell>
          <cell r="E344">
            <v>1.55069896055885E-2</v>
          </cell>
        </row>
        <row r="345">
          <cell r="A345" t="str">
            <v>HKD_HIBOR_EOD</v>
          </cell>
          <cell r="C345">
            <v>45224</v>
          </cell>
          <cell r="E345">
            <v>1.6398844438042699E-2</v>
          </cell>
        </row>
        <row r="346">
          <cell r="A346" t="str">
            <v>HKD_HIBOR_EOD</v>
          </cell>
          <cell r="C346">
            <v>45589</v>
          </cell>
          <cell r="E346">
            <v>1.7288608925775099E-2</v>
          </cell>
        </row>
        <row r="347">
          <cell r="A347" t="str">
            <v>HKD_HIBOR_EOD</v>
          </cell>
          <cell r="C347">
            <v>45954</v>
          </cell>
          <cell r="E347">
            <v>1.81783734135075E-2</v>
          </cell>
        </row>
        <row r="348">
          <cell r="A348" t="str">
            <v>HUF_BUBOR_EOD</v>
          </cell>
          <cell r="C348">
            <v>42305</v>
          </cell>
          <cell r="E348">
            <v>8.9221131745613799E-3</v>
          </cell>
        </row>
        <row r="349">
          <cell r="A349" t="str">
            <v>HUF_BUBOR_EOD</v>
          </cell>
          <cell r="C349">
            <v>42311</v>
          </cell>
          <cell r="E349">
            <v>1.1286989166743E-2</v>
          </cell>
        </row>
        <row r="350">
          <cell r="A350" t="str">
            <v>HUF_BUBOR_EOD</v>
          </cell>
          <cell r="C350">
            <v>42334</v>
          </cell>
          <cell r="E350">
            <v>1.32128166412388E-2</v>
          </cell>
        </row>
        <row r="351">
          <cell r="A351" t="str">
            <v>HUF_BUBOR_EOD</v>
          </cell>
          <cell r="C351">
            <v>42364</v>
          </cell>
          <cell r="E351">
            <v>1.35085011770514E-2</v>
          </cell>
        </row>
        <row r="352">
          <cell r="A352" t="str">
            <v>HUF_BUBOR_EOD</v>
          </cell>
          <cell r="C352">
            <v>42395</v>
          </cell>
          <cell r="E352">
            <v>1.35589915783826E-2</v>
          </cell>
        </row>
        <row r="353">
          <cell r="A353" t="str">
            <v>HUF_BUBOR_EOD</v>
          </cell>
          <cell r="C353">
            <v>42486</v>
          </cell>
          <cell r="E353">
            <v>1.3130463024662999E-2</v>
          </cell>
        </row>
        <row r="354">
          <cell r="A354" t="str">
            <v>HUF_BUBOR_EOD</v>
          </cell>
          <cell r="C354">
            <v>42577</v>
          </cell>
          <cell r="E354">
            <v>1.2903932422142401E-2</v>
          </cell>
        </row>
        <row r="355">
          <cell r="A355" t="str">
            <v>HUF_BUBOR_EOD</v>
          </cell>
          <cell r="C355">
            <v>42669</v>
          </cell>
          <cell r="E355">
            <v>1.2825508421328201E-2</v>
          </cell>
        </row>
        <row r="356">
          <cell r="A356" t="str">
            <v>HUF_BUBOR_EOD</v>
          </cell>
          <cell r="C356">
            <v>42851</v>
          </cell>
          <cell r="E356">
            <v>1.3082653416392901E-2</v>
          </cell>
        </row>
        <row r="357">
          <cell r="A357" t="str">
            <v>HUF_BUBOR_EOD</v>
          </cell>
          <cell r="C357">
            <v>43034</v>
          </cell>
          <cell r="E357">
            <v>1.33457109221392E-2</v>
          </cell>
        </row>
        <row r="358">
          <cell r="A358" t="str">
            <v>HUF_BUBOR_EOD</v>
          </cell>
          <cell r="C358">
            <v>43399</v>
          </cell>
          <cell r="E358">
            <v>1.4047878761971999E-2</v>
          </cell>
        </row>
        <row r="359">
          <cell r="A359" t="str">
            <v>HUF_BUBOR_EOD</v>
          </cell>
          <cell r="C359">
            <v>43764</v>
          </cell>
          <cell r="E359">
            <v>1.5402439712476901E-2</v>
          </cell>
        </row>
        <row r="360">
          <cell r="A360" t="str">
            <v>HUF_BUBOR_EOD</v>
          </cell>
          <cell r="C360">
            <v>44129</v>
          </cell>
          <cell r="E360">
            <v>1.7424996496198601E-2</v>
          </cell>
        </row>
        <row r="361">
          <cell r="A361" t="str">
            <v>HUF_BUBOR_EOD</v>
          </cell>
          <cell r="C361">
            <v>44494</v>
          </cell>
          <cell r="E361">
            <v>1.9686039425764201E-2</v>
          </cell>
        </row>
        <row r="362">
          <cell r="A362" t="str">
            <v>HUF_BUBOR_EOD</v>
          </cell>
          <cell r="C362">
            <v>44859</v>
          </cell>
          <cell r="E362">
            <v>2.1934896153470902E-2</v>
          </cell>
        </row>
        <row r="363">
          <cell r="A363" t="str">
            <v>HUF_BUBOR_EOD</v>
          </cell>
          <cell r="C363">
            <v>45224</v>
          </cell>
          <cell r="E363">
            <v>2.38266320265575E-2</v>
          </cell>
        </row>
        <row r="364">
          <cell r="A364" t="str">
            <v>HUF_BUBOR_EOD</v>
          </cell>
          <cell r="C364">
            <v>45589</v>
          </cell>
          <cell r="E364">
            <v>2.5431726799501099E-2</v>
          </cell>
        </row>
        <row r="365">
          <cell r="A365" t="str">
            <v>HUF_BUBOR_EOD</v>
          </cell>
          <cell r="C365">
            <v>45954</v>
          </cell>
          <cell r="E365">
            <v>2.6727514978416501E-2</v>
          </cell>
        </row>
        <row r="366">
          <cell r="A366" t="str">
            <v>JPY_LIBOR_EOD</v>
          </cell>
          <cell r="C366">
            <v>42305</v>
          </cell>
          <cell r="E366">
            <v>2.6797073493107999E-4</v>
          </cell>
        </row>
        <row r="367">
          <cell r="A367" t="str">
            <v>JPY_LIBOR_EOD</v>
          </cell>
          <cell r="C367">
            <v>42311</v>
          </cell>
          <cell r="E367">
            <v>3.0013303255388998E-4</v>
          </cell>
        </row>
        <row r="368">
          <cell r="A368" t="str">
            <v>JPY_LIBOR_EOD</v>
          </cell>
          <cell r="C368">
            <v>42334</v>
          </cell>
          <cell r="E368">
            <v>3.8394233023162998E-4</v>
          </cell>
        </row>
        <row r="369">
          <cell r="A369" t="str">
            <v>JPY_LIBOR_EOD</v>
          </cell>
          <cell r="C369">
            <v>42364</v>
          </cell>
          <cell r="E369">
            <v>6.4597618763707996E-4</v>
          </cell>
        </row>
        <row r="370">
          <cell r="A370" t="str">
            <v>JPY_LIBOR_EOD</v>
          </cell>
          <cell r="C370">
            <v>42395</v>
          </cell>
          <cell r="E370">
            <v>8.0657078193988995E-4</v>
          </cell>
        </row>
        <row r="371">
          <cell r="A371" t="str">
            <v>JPY_LIBOR_EOD</v>
          </cell>
          <cell r="C371">
            <v>42486</v>
          </cell>
          <cell r="E371">
            <v>1.20585584892593E-3</v>
          </cell>
        </row>
        <row r="372">
          <cell r="A372" t="str">
            <v>JPY_LIBOR_EOD</v>
          </cell>
          <cell r="C372">
            <v>42577</v>
          </cell>
          <cell r="E372">
            <v>1.1639422373666999E-3</v>
          </cell>
        </row>
        <row r="373">
          <cell r="A373" t="str">
            <v>JPY_LIBOR_EOD</v>
          </cell>
          <cell r="C373">
            <v>42669</v>
          </cell>
          <cell r="E373">
            <v>1.11156731908539E-3</v>
          </cell>
        </row>
        <row r="374">
          <cell r="A374" t="str">
            <v>JPY_LIBOR_EOD</v>
          </cell>
          <cell r="C374">
            <v>42851</v>
          </cell>
          <cell r="E374">
            <v>1.0668479417612999E-3</v>
          </cell>
        </row>
        <row r="375">
          <cell r="A375" t="str">
            <v>JPY_LIBOR_EOD</v>
          </cell>
          <cell r="C375">
            <v>43034</v>
          </cell>
          <cell r="E375">
            <v>1.0235556065610501E-3</v>
          </cell>
        </row>
        <row r="376">
          <cell r="A376" t="str">
            <v>JPY_LIBOR_EOD</v>
          </cell>
          <cell r="C376">
            <v>43399</v>
          </cell>
          <cell r="E376">
            <v>1.08605814391086E-3</v>
          </cell>
        </row>
        <row r="377">
          <cell r="A377" t="str">
            <v>JPY_LIBOR_EOD</v>
          </cell>
          <cell r="C377">
            <v>43764</v>
          </cell>
          <cell r="E377">
            <v>1.3464768477528101E-3</v>
          </cell>
        </row>
        <row r="378">
          <cell r="A378" t="str">
            <v>JPY_LIBOR_EOD</v>
          </cell>
          <cell r="C378">
            <v>44129</v>
          </cell>
          <cell r="E378">
            <v>1.7700336829879E-3</v>
          </cell>
        </row>
        <row r="379">
          <cell r="A379" t="str">
            <v>JPY_LIBOR_EOD</v>
          </cell>
          <cell r="C379">
            <v>44494</v>
          </cell>
          <cell r="E379">
            <v>2.2964030112434101E-3</v>
          </cell>
        </row>
        <row r="380">
          <cell r="A380" t="str">
            <v>JPY_LIBOR_EOD</v>
          </cell>
          <cell r="C380">
            <v>44859</v>
          </cell>
          <cell r="E380">
            <v>2.8721971341369901E-3</v>
          </cell>
        </row>
        <row r="381">
          <cell r="A381" t="str">
            <v>JPY_LIBOR_EOD</v>
          </cell>
          <cell r="C381">
            <v>45224</v>
          </cell>
          <cell r="E381">
            <v>3.4935944898367801E-3</v>
          </cell>
        </row>
        <row r="382">
          <cell r="A382" t="str">
            <v>JPY_LIBOR_EOD</v>
          </cell>
          <cell r="C382">
            <v>45589</v>
          </cell>
          <cell r="E382">
            <v>4.1403719868315101E-3</v>
          </cell>
        </row>
        <row r="383">
          <cell r="A383" t="str">
            <v>JPY_LIBOR_EOD</v>
          </cell>
          <cell r="C383">
            <v>45954</v>
          </cell>
          <cell r="E383">
            <v>4.8285590366604902E-3</v>
          </cell>
        </row>
        <row r="384">
          <cell r="A384" t="str">
            <v>JPY_LIBOR_EOD</v>
          </cell>
          <cell r="C384">
            <v>46684</v>
          </cell>
          <cell r="E384">
            <v>6.2463961426185597E-3</v>
          </cell>
        </row>
        <row r="385">
          <cell r="A385" t="str">
            <v>JPY_LIBOR_EOD</v>
          </cell>
          <cell r="C385">
            <v>47779</v>
          </cell>
          <cell r="E385">
            <v>8.4433163731939594E-3</v>
          </cell>
        </row>
        <row r="386">
          <cell r="A386" t="str">
            <v>JPY_LIBOR_EOD</v>
          </cell>
          <cell r="C386">
            <v>49604</v>
          </cell>
          <cell r="E386">
            <v>1.13621764084275E-2</v>
          </cell>
        </row>
        <row r="387">
          <cell r="A387" t="str">
            <v>JPY_LIBOR_EOD</v>
          </cell>
          <cell r="C387">
            <v>51429</v>
          </cell>
          <cell r="E387">
            <v>1.2975931889039E-2</v>
          </cell>
        </row>
        <row r="388">
          <cell r="A388" t="str">
            <v>JPY_LIBOR_EOD</v>
          </cell>
          <cell r="C388">
            <v>53254</v>
          </cell>
          <cell r="E388">
            <v>1.3858885251991301E-2</v>
          </cell>
        </row>
        <row r="389">
          <cell r="A389" t="str">
            <v>JPY_LIBOR_EOD</v>
          </cell>
          <cell r="C389">
            <v>56904</v>
          </cell>
          <cell r="E389">
            <v>1.5341210243880099E-2</v>
          </cell>
        </row>
        <row r="390">
          <cell r="A390" t="str">
            <v>JPY_TONA_EOD</v>
          </cell>
          <cell r="C390">
            <v>42305</v>
          </cell>
          <cell r="E390">
            <v>7.5999920875011E-4</v>
          </cell>
        </row>
        <row r="391">
          <cell r="A391" t="str">
            <v>JPY_TONA_EOD</v>
          </cell>
          <cell r="C391">
            <v>42311</v>
          </cell>
          <cell r="E391">
            <v>7.0580286609406003E-4</v>
          </cell>
        </row>
        <row r="392">
          <cell r="A392" t="str">
            <v>JPY_TONA_EOD</v>
          </cell>
          <cell r="C392">
            <v>42318</v>
          </cell>
          <cell r="E392">
            <v>6.7734715624227001E-4</v>
          </cell>
        </row>
        <row r="393">
          <cell r="A393" t="str">
            <v>JPY_TONA_EOD</v>
          </cell>
          <cell r="C393">
            <v>42325</v>
          </cell>
          <cell r="E393">
            <v>6.7198904193370998E-4</v>
          </cell>
        </row>
        <row r="394">
          <cell r="A394" t="str">
            <v>JPY_TONA_EOD</v>
          </cell>
          <cell r="C394">
            <v>42334</v>
          </cell>
          <cell r="E394">
            <v>6.9166223873408004E-4</v>
          </cell>
        </row>
        <row r="395">
          <cell r="A395" t="str">
            <v>JPY_TONA_EOD</v>
          </cell>
          <cell r="C395">
            <v>42364</v>
          </cell>
          <cell r="E395">
            <v>6.9660156012171998E-4</v>
          </cell>
        </row>
        <row r="396">
          <cell r="A396" t="str">
            <v>JPY_TONA_EOD</v>
          </cell>
          <cell r="C396">
            <v>42395</v>
          </cell>
          <cell r="E396">
            <v>6.6533817190339995E-4</v>
          </cell>
        </row>
        <row r="397">
          <cell r="A397" t="str">
            <v>JPY_TONA_EOD</v>
          </cell>
          <cell r="C397">
            <v>42425</v>
          </cell>
          <cell r="E397">
            <v>6.6363324494436E-4</v>
          </cell>
        </row>
        <row r="398">
          <cell r="A398" t="str">
            <v>JPY_TONA_EOD</v>
          </cell>
          <cell r="C398">
            <v>42456</v>
          </cell>
          <cell r="E398">
            <v>6.3153464613906998E-4</v>
          </cell>
        </row>
        <row r="399">
          <cell r="A399" t="str">
            <v>JPY_TONA_EOD</v>
          </cell>
          <cell r="C399">
            <v>42486</v>
          </cell>
          <cell r="E399">
            <v>6.3523090552466998E-4</v>
          </cell>
        </row>
        <row r="400">
          <cell r="A400" t="str">
            <v>JPY_TONA_EOD</v>
          </cell>
          <cell r="C400">
            <v>42516</v>
          </cell>
          <cell r="E400">
            <v>6.0566307141644003E-4</v>
          </cell>
        </row>
        <row r="401">
          <cell r="A401" t="str">
            <v>JPY_TONA_EOD</v>
          </cell>
          <cell r="C401">
            <v>42547</v>
          </cell>
          <cell r="E401">
            <v>5.9546337115668E-4</v>
          </cell>
        </row>
        <row r="402">
          <cell r="A402" t="str">
            <v>JPY_TONA_EOD</v>
          </cell>
          <cell r="C402">
            <v>42577</v>
          </cell>
          <cell r="E402">
            <v>5.8364918653563004E-4</v>
          </cell>
        </row>
        <row r="403">
          <cell r="A403" t="str">
            <v>JPY_TONA_EOD</v>
          </cell>
          <cell r="C403">
            <v>42608</v>
          </cell>
          <cell r="E403">
            <v>5.5425870513913997E-4</v>
          </cell>
        </row>
        <row r="404">
          <cell r="A404" t="str">
            <v>JPY_TONA_EOD</v>
          </cell>
          <cell r="C404">
            <v>42638</v>
          </cell>
          <cell r="E404">
            <v>5.4246828390770003E-4</v>
          </cell>
        </row>
        <row r="405">
          <cell r="A405" t="str">
            <v>JPY_TONA_EOD</v>
          </cell>
          <cell r="C405">
            <v>42669</v>
          </cell>
          <cell r="E405">
            <v>5.2328130148305999E-4</v>
          </cell>
        </row>
        <row r="406">
          <cell r="A406" t="str">
            <v>JPY_TONA_EOD</v>
          </cell>
          <cell r="C406">
            <v>42760</v>
          </cell>
          <cell r="E406">
            <v>4.7862863542662997E-4</v>
          </cell>
        </row>
        <row r="407">
          <cell r="A407" t="str">
            <v>JPY_TONA_EOD</v>
          </cell>
          <cell r="C407">
            <v>42851</v>
          </cell>
          <cell r="E407">
            <v>4.3488489129119999E-4</v>
          </cell>
        </row>
        <row r="408">
          <cell r="A408" t="str">
            <v>JPY_TONA_EOD</v>
          </cell>
          <cell r="C408">
            <v>42942</v>
          </cell>
          <cell r="E408">
            <v>3.9572187432352002E-4</v>
          </cell>
        </row>
        <row r="409">
          <cell r="A409" t="str">
            <v>JPY_TONA_EOD</v>
          </cell>
          <cell r="C409">
            <v>43034</v>
          </cell>
          <cell r="E409">
            <v>3.5623256340457001E-4</v>
          </cell>
        </row>
        <row r="410">
          <cell r="A410" t="str">
            <v>JPY_TONA_EOD</v>
          </cell>
          <cell r="C410">
            <v>43399</v>
          </cell>
          <cell r="E410">
            <v>3.5137715150020002E-4</v>
          </cell>
        </row>
        <row r="411">
          <cell r="A411" t="str">
            <v>JPY_TONA_EOD</v>
          </cell>
          <cell r="C411">
            <v>43764</v>
          </cell>
          <cell r="E411">
            <v>5.4865357032149995E-4</v>
          </cell>
        </row>
        <row r="412">
          <cell r="A412" t="str">
            <v>JPY_TONA_EOD</v>
          </cell>
          <cell r="C412">
            <v>44129</v>
          </cell>
          <cell r="E412">
            <v>9.0917343367336999E-4</v>
          </cell>
        </row>
        <row r="413">
          <cell r="A413" t="str">
            <v>JPY_TONA_EOD</v>
          </cell>
          <cell r="C413">
            <v>44494</v>
          </cell>
          <cell r="E413">
            <v>1.37101126166237E-3</v>
          </cell>
        </row>
        <row r="414">
          <cell r="A414" t="str">
            <v>JPY_TONA_EOD</v>
          </cell>
          <cell r="C414">
            <v>44859</v>
          </cell>
          <cell r="E414">
            <v>1.8801180026479199E-3</v>
          </cell>
        </row>
        <row r="415">
          <cell r="A415" t="str">
            <v>JPY_TONA_EOD</v>
          </cell>
          <cell r="C415">
            <v>45224</v>
          </cell>
          <cell r="E415">
            <v>2.42301691294811E-3</v>
          </cell>
        </row>
        <row r="416">
          <cell r="A416" t="str">
            <v>JPY_TONA_EOD</v>
          </cell>
          <cell r="C416">
            <v>45589</v>
          </cell>
          <cell r="E416">
            <v>2.98458765562567E-3</v>
          </cell>
        </row>
        <row r="417">
          <cell r="A417" t="str">
            <v>JPY_TONA_EOD</v>
          </cell>
          <cell r="C417">
            <v>45954</v>
          </cell>
          <cell r="E417">
            <v>3.5978633086356199E-3</v>
          </cell>
        </row>
        <row r="418">
          <cell r="A418" t="str">
            <v>JPY_TONA_EOD</v>
          </cell>
          <cell r="C418">
            <v>46684</v>
          </cell>
          <cell r="E418">
            <v>4.9000436445911302E-3</v>
          </cell>
        </row>
        <row r="419">
          <cell r="A419" t="str">
            <v>JPY_TONA_EOD</v>
          </cell>
          <cell r="C419">
            <v>47779</v>
          </cell>
          <cell r="E419">
            <v>7.0744354401353999E-3</v>
          </cell>
        </row>
        <row r="420">
          <cell r="A420" t="str">
            <v>JPY_TONA_EOD</v>
          </cell>
          <cell r="C420">
            <v>49604</v>
          </cell>
          <cell r="E420">
            <v>9.9767866605362104E-3</v>
          </cell>
        </row>
        <row r="421">
          <cell r="A421" t="str">
            <v>JPY_TONA_EOD</v>
          </cell>
          <cell r="C421">
            <v>51429</v>
          </cell>
          <cell r="E421">
            <v>1.1574429210892599E-2</v>
          </cell>
        </row>
        <row r="422">
          <cell r="A422" t="str">
            <v>JPY_TONA_EOD</v>
          </cell>
          <cell r="C422">
            <v>53254</v>
          </cell>
          <cell r="E422">
            <v>1.24493195664923E-2</v>
          </cell>
        </row>
        <row r="423">
          <cell r="A423" t="str">
            <v>JPY_TONA_EOD</v>
          </cell>
          <cell r="C423">
            <v>55079</v>
          </cell>
          <cell r="E423">
            <v>1.31695310920837E-2</v>
          </cell>
        </row>
        <row r="424">
          <cell r="A424" t="str">
            <v>JPY_TONA_EOD</v>
          </cell>
          <cell r="C424">
            <v>56904</v>
          </cell>
          <cell r="E424">
            <v>1.3888826223322199E-2</v>
          </cell>
        </row>
        <row r="425">
          <cell r="A425" t="str">
            <v>JPY_TONA_EOD</v>
          </cell>
          <cell r="C425">
            <v>58729</v>
          </cell>
          <cell r="E425">
            <v>1.3893555835143999E-2</v>
          </cell>
        </row>
        <row r="426">
          <cell r="A426" t="str">
            <v>JPY_TONA_EOD</v>
          </cell>
          <cell r="C426">
            <v>60554</v>
          </cell>
          <cell r="E426">
            <v>1.3893555835143999E-2</v>
          </cell>
        </row>
        <row r="427">
          <cell r="A427" t="str">
            <v>MXN_TIIE_EOD</v>
          </cell>
          <cell r="C427">
            <v>42305</v>
          </cell>
          <cell r="E427">
            <v>3.39211052862168E-2</v>
          </cell>
        </row>
        <row r="428">
          <cell r="A428" t="str">
            <v>MXN_TIIE_EOD</v>
          </cell>
          <cell r="C428">
            <v>42311</v>
          </cell>
          <cell r="E428">
            <v>3.39211052862168E-2</v>
          </cell>
        </row>
        <row r="429">
          <cell r="A429" t="str">
            <v>MXN_TIIE_EOD</v>
          </cell>
          <cell r="C429">
            <v>42334</v>
          </cell>
          <cell r="E429">
            <v>3.39211052862168E-2</v>
          </cell>
        </row>
        <row r="430">
          <cell r="A430" t="str">
            <v>MXN_TIIE_EOD</v>
          </cell>
          <cell r="C430">
            <v>42364</v>
          </cell>
          <cell r="E430">
            <v>3.39211052862168E-2</v>
          </cell>
        </row>
        <row r="431">
          <cell r="A431" t="str">
            <v>MXN_TIIE_EOD</v>
          </cell>
          <cell r="C431">
            <v>42395</v>
          </cell>
          <cell r="E431">
            <v>3.3971598159829398E-2</v>
          </cell>
        </row>
        <row r="432">
          <cell r="A432" t="str">
            <v>MXN_TIIE_EOD</v>
          </cell>
          <cell r="C432">
            <v>42486</v>
          </cell>
          <cell r="E432">
            <v>3.48167402610381E-2</v>
          </cell>
        </row>
        <row r="433">
          <cell r="A433" t="str">
            <v>MXN_TIIE_EOD</v>
          </cell>
          <cell r="C433">
            <v>42577</v>
          </cell>
          <cell r="E433">
            <v>3.6139317294863797E-2</v>
          </cell>
        </row>
        <row r="434">
          <cell r="A434" t="str">
            <v>MXN_TIIE_EOD</v>
          </cell>
          <cell r="C434">
            <v>42669</v>
          </cell>
          <cell r="E434">
            <v>3.7481574152743301E-2</v>
          </cell>
        </row>
        <row r="435">
          <cell r="A435" t="str">
            <v>MXN_TIIE_EOD</v>
          </cell>
          <cell r="C435">
            <v>42851</v>
          </cell>
          <cell r="E435">
            <v>3.97532429787174E-2</v>
          </cell>
        </row>
        <row r="436">
          <cell r="A436" t="str">
            <v>MXN_TIIE_EOD</v>
          </cell>
          <cell r="C436">
            <v>43034</v>
          </cell>
          <cell r="E436">
            <v>4.2036116614741097E-2</v>
          </cell>
        </row>
        <row r="437">
          <cell r="A437" t="str">
            <v>MXN_TIIE_EOD</v>
          </cell>
          <cell r="C437">
            <v>43399</v>
          </cell>
          <cell r="E437">
            <v>4.6125533787999599E-2</v>
          </cell>
        </row>
        <row r="438">
          <cell r="A438" t="str">
            <v>MXN_TIIE_EOD</v>
          </cell>
          <cell r="C438">
            <v>43764</v>
          </cell>
          <cell r="E438">
            <v>5.0148606560485497E-2</v>
          </cell>
        </row>
        <row r="439">
          <cell r="A439" t="str">
            <v>MXN_TIIE_EOD</v>
          </cell>
          <cell r="C439">
            <v>44129</v>
          </cell>
          <cell r="E439">
            <v>5.3575836345587803E-2</v>
          </cell>
        </row>
        <row r="440">
          <cell r="A440" t="str">
            <v>MXN_TIIE_EOD</v>
          </cell>
          <cell r="C440">
            <v>44494</v>
          </cell>
          <cell r="E440">
            <v>5.66726723190977E-2</v>
          </cell>
        </row>
        <row r="441">
          <cell r="A441" t="str">
            <v>MXN_TIIE_EOD</v>
          </cell>
          <cell r="C441">
            <v>44859</v>
          </cell>
          <cell r="E441">
            <v>5.9747578565409097E-2</v>
          </cell>
        </row>
        <row r="442">
          <cell r="A442" t="str">
            <v>MXN_TIIE_EOD</v>
          </cell>
          <cell r="C442">
            <v>45224</v>
          </cell>
          <cell r="E442">
            <v>6.1510356134338903E-2</v>
          </cell>
        </row>
        <row r="443">
          <cell r="A443" t="str">
            <v>MXN_TIIE_EOD</v>
          </cell>
          <cell r="C443">
            <v>45589</v>
          </cell>
          <cell r="E443">
            <v>6.3273133703268605E-2</v>
          </cell>
        </row>
        <row r="444">
          <cell r="A444" t="str">
            <v>MXN_TIIE_EOD</v>
          </cell>
          <cell r="C444">
            <v>45954</v>
          </cell>
          <cell r="E444">
            <v>6.5022375996347997E-2</v>
          </cell>
        </row>
        <row r="445">
          <cell r="A445" t="str">
            <v>MXN_TIIE_EOD</v>
          </cell>
          <cell r="C445">
            <v>46684</v>
          </cell>
          <cell r="E445">
            <v>6.7450069870781199E-2</v>
          </cell>
        </row>
        <row r="446">
          <cell r="A446" t="str">
            <v>MXN_TIIE_EOD</v>
          </cell>
          <cell r="C446">
            <v>47779</v>
          </cell>
          <cell r="E446">
            <v>7.10731431835991E-2</v>
          </cell>
        </row>
        <row r="447">
          <cell r="A447" t="str">
            <v>MXN_TIIE_EOD</v>
          </cell>
          <cell r="C447">
            <v>49604</v>
          </cell>
          <cell r="E447">
            <v>7.4719094915773498E-2</v>
          </cell>
        </row>
        <row r="448">
          <cell r="A448" t="str">
            <v>NOK_NIBOR_EOD</v>
          </cell>
          <cell r="C448">
            <v>42305</v>
          </cell>
          <cell r="E448">
            <v>7.6040874577066398E-3</v>
          </cell>
        </row>
        <row r="449">
          <cell r="A449" t="str">
            <v>NOK_NIBOR_EOD</v>
          </cell>
          <cell r="C449">
            <v>42311</v>
          </cell>
          <cell r="E449">
            <v>8.7301805017030495E-3</v>
          </cell>
        </row>
        <row r="450">
          <cell r="A450" t="str">
            <v>NOK_NIBOR_EOD</v>
          </cell>
          <cell r="C450">
            <v>42334</v>
          </cell>
          <cell r="E450">
            <v>9.8567560723472804E-3</v>
          </cell>
        </row>
        <row r="451">
          <cell r="A451" t="str">
            <v>NOK_NIBOR_EOD</v>
          </cell>
          <cell r="C451">
            <v>42364</v>
          </cell>
          <cell r="E451">
            <v>9.9753231985584296E-3</v>
          </cell>
        </row>
        <row r="452">
          <cell r="A452" t="str">
            <v>NOK_NIBOR_EOD</v>
          </cell>
          <cell r="C452">
            <v>42395</v>
          </cell>
          <cell r="E452">
            <v>9.9631364648304008E-3</v>
          </cell>
        </row>
        <row r="453">
          <cell r="A453" t="str">
            <v>NOK_NIBOR_EOD</v>
          </cell>
          <cell r="C453">
            <v>42486</v>
          </cell>
          <cell r="E453">
            <v>9.6629119954703795E-3</v>
          </cell>
        </row>
        <row r="454">
          <cell r="A454" t="str">
            <v>NOK_NIBOR_EOD</v>
          </cell>
          <cell r="C454">
            <v>42577</v>
          </cell>
          <cell r="E454">
            <v>9.1065190808675093E-3</v>
          </cell>
        </row>
        <row r="455">
          <cell r="A455" t="str">
            <v>NOK_NIBOR_EOD</v>
          </cell>
          <cell r="C455">
            <v>42669</v>
          </cell>
          <cell r="E455">
            <v>8.6995291999551593E-3</v>
          </cell>
        </row>
        <row r="456">
          <cell r="A456" t="str">
            <v>NOK_NIBOR_EOD</v>
          </cell>
          <cell r="C456">
            <v>42851</v>
          </cell>
          <cell r="E456">
            <v>8.8615575412404907E-3</v>
          </cell>
        </row>
        <row r="457">
          <cell r="A457" t="str">
            <v>NOK_NIBOR_EOD</v>
          </cell>
          <cell r="C457">
            <v>43034</v>
          </cell>
          <cell r="E457">
            <v>9.3505263928942307E-3</v>
          </cell>
        </row>
        <row r="458">
          <cell r="A458" t="str">
            <v>NOK_NIBOR_EOD</v>
          </cell>
          <cell r="C458">
            <v>43399</v>
          </cell>
          <cell r="E458">
            <v>9.9163237144803493E-3</v>
          </cell>
        </row>
        <row r="459">
          <cell r="A459" t="str">
            <v>NOK_NIBOR_EOD</v>
          </cell>
          <cell r="C459">
            <v>43764</v>
          </cell>
          <cell r="E459">
            <v>1.1100103481049201E-2</v>
          </cell>
        </row>
        <row r="460">
          <cell r="A460" t="str">
            <v>NOK_NIBOR_EOD</v>
          </cell>
          <cell r="C460">
            <v>44129</v>
          </cell>
          <cell r="E460">
            <v>1.2568748780026199E-2</v>
          </cell>
        </row>
        <row r="461">
          <cell r="A461" t="str">
            <v>NOK_NIBOR_EOD</v>
          </cell>
          <cell r="C461">
            <v>44494</v>
          </cell>
          <cell r="E461">
            <v>1.4048844302142699E-2</v>
          </cell>
        </row>
        <row r="462">
          <cell r="A462" t="str">
            <v>NOK_NIBOR_EOD</v>
          </cell>
          <cell r="C462">
            <v>44859</v>
          </cell>
          <cell r="E462">
            <v>1.5437323341180101E-2</v>
          </cell>
        </row>
        <row r="463">
          <cell r="A463" t="str">
            <v>NOK_NIBOR_EOD</v>
          </cell>
          <cell r="C463">
            <v>45224</v>
          </cell>
          <cell r="E463">
            <v>1.66168091118735E-2</v>
          </cell>
        </row>
        <row r="464">
          <cell r="A464" t="str">
            <v>NOK_NIBOR_EOD</v>
          </cell>
          <cell r="C464">
            <v>45589</v>
          </cell>
          <cell r="E464">
            <v>1.7772484647821499E-2</v>
          </cell>
        </row>
        <row r="465">
          <cell r="A465" t="str">
            <v>NOK_NIBOR_EOD</v>
          </cell>
          <cell r="C465">
            <v>45954</v>
          </cell>
          <cell r="E465">
            <v>1.8632721502327899E-2</v>
          </cell>
        </row>
        <row r="466">
          <cell r="A466" t="str">
            <v>NOK_NIBOR_EOD</v>
          </cell>
          <cell r="C466">
            <v>46684</v>
          </cell>
          <cell r="E466">
            <v>1.98978312065624E-2</v>
          </cell>
        </row>
        <row r="467">
          <cell r="A467" t="str">
            <v>NOK_NIBOR_EOD</v>
          </cell>
          <cell r="C467">
            <v>47779</v>
          </cell>
          <cell r="E467">
            <v>2.0824544700978401E-2</v>
          </cell>
        </row>
        <row r="468">
          <cell r="A468" t="str">
            <v>NOK_NIBOR_EOD</v>
          </cell>
          <cell r="C468">
            <v>49604</v>
          </cell>
          <cell r="E468">
            <v>2.1496874657142E-2</v>
          </cell>
        </row>
        <row r="469">
          <cell r="A469" t="str">
            <v>NOK_NIBOR_EOD</v>
          </cell>
          <cell r="C469">
            <v>51429</v>
          </cell>
          <cell r="E469">
            <v>2.1805590689614698E-2</v>
          </cell>
        </row>
        <row r="470">
          <cell r="A470" t="str">
            <v>NOK_NIBOR_EOD</v>
          </cell>
          <cell r="C470">
            <v>53254</v>
          </cell>
          <cell r="E470">
            <v>2.16599430768127E-2</v>
          </cell>
        </row>
        <row r="471">
          <cell r="A471" t="str">
            <v>NZD_BKBM_EOD</v>
          </cell>
          <cell r="C471">
            <v>42305</v>
          </cell>
          <cell r="E471">
            <v>2.74989640931033E-2</v>
          </cell>
        </row>
        <row r="472">
          <cell r="A472" t="str">
            <v>NZD_BKBM_EOD</v>
          </cell>
          <cell r="C472">
            <v>42311</v>
          </cell>
          <cell r="E472">
            <v>2.7722629092198501E-2</v>
          </cell>
        </row>
        <row r="473">
          <cell r="A473" t="str">
            <v>NZD_BKBM_EOD</v>
          </cell>
          <cell r="C473">
            <v>42334</v>
          </cell>
          <cell r="E473">
            <v>2.8578009157966201E-2</v>
          </cell>
        </row>
        <row r="474">
          <cell r="A474" t="str">
            <v>NZD_BKBM_EOD</v>
          </cell>
          <cell r="C474">
            <v>42364</v>
          </cell>
          <cell r="E474">
            <v>2.8585366477736501E-2</v>
          </cell>
        </row>
        <row r="475">
          <cell r="A475" t="str">
            <v>NZD_BKBM_EOD</v>
          </cell>
          <cell r="C475">
            <v>42395</v>
          </cell>
          <cell r="E475">
            <v>2.8553919780592001E-2</v>
          </cell>
        </row>
        <row r="476">
          <cell r="A476" t="str">
            <v>NZD_BKBM_EOD</v>
          </cell>
          <cell r="C476">
            <v>42486</v>
          </cell>
          <cell r="E476">
            <v>2.8252343660168398E-2</v>
          </cell>
        </row>
        <row r="477">
          <cell r="A477" t="str">
            <v>NZD_BKBM_EOD</v>
          </cell>
          <cell r="C477">
            <v>42577</v>
          </cell>
          <cell r="E477">
            <v>2.7816820000125302E-2</v>
          </cell>
        </row>
        <row r="478">
          <cell r="A478" t="str">
            <v>NZD_BKBM_EOD</v>
          </cell>
          <cell r="C478">
            <v>42669</v>
          </cell>
          <cell r="E478">
            <v>2.7375031841283301E-2</v>
          </cell>
        </row>
        <row r="479">
          <cell r="A479" t="str">
            <v>NZD_BKBM_EOD</v>
          </cell>
          <cell r="C479">
            <v>42851</v>
          </cell>
          <cell r="E479">
            <v>2.73544667829238E-2</v>
          </cell>
        </row>
        <row r="480">
          <cell r="A480" t="str">
            <v>NZD_BKBM_EOD</v>
          </cell>
          <cell r="C480">
            <v>43034</v>
          </cell>
          <cell r="E480">
            <v>2.73385295928282E-2</v>
          </cell>
        </row>
        <row r="481">
          <cell r="A481" t="str">
            <v>NZD_BKBM_EOD</v>
          </cell>
          <cell r="C481">
            <v>43399</v>
          </cell>
          <cell r="E481">
            <v>2.8014271370484799E-2</v>
          </cell>
        </row>
        <row r="482">
          <cell r="A482" t="str">
            <v>NZD_BKBM_EOD</v>
          </cell>
          <cell r="C482">
            <v>43764</v>
          </cell>
          <cell r="E482">
            <v>2.90697483227026E-2</v>
          </cell>
        </row>
        <row r="483">
          <cell r="A483" t="str">
            <v>NZD_BKBM_EOD</v>
          </cell>
          <cell r="C483">
            <v>44129</v>
          </cell>
          <cell r="E483">
            <v>3.0341329422105701E-2</v>
          </cell>
        </row>
        <row r="484">
          <cell r="A484" t="str">
            <v>NZD_BKBM_EOD</v>
          </cell>
          <cell r="C484">
            <v>44494</v>
          </cell>
          <cell r="E484">
            <v>3.1578132338028503E-2</v>
          </cell>
        </row>
        <row r="485">
          <cell r="A485" t="str">
            <v>NZD_BKBM_EOD</v>
          </cell>
          <cell r="C485">
            <v>44859</v>
          </cell>
          <cell r="E485">
            <v>3.2814733914252103E-2</v>
          </cell>
        </row>
        <row r="486">
          <cell r="A486" t="str">
            <v>NZD_BKBM_EOD</v>
          </cell>
          <cell r="C486">
            <v>45224</v>
          </cell>
          <cell r="E486">
            <v>3.3697086994462201E-2</v>
          </cell>
        </row>
        <row r="487">
          <cell r="A487" t="str">
            <v>NZD_BKBM_EOD</v>
          </cell>
          <cell r="C487">
            <v>45589</v>
          </cell>
          <cell r="E487">
            <v>3.4577488292325202E-2</v>
          </cell>
        </row>
        <row r="488">
          <cell r="A488" t="str">
            <v>NZD_BKBM_EOD</v>
          </cell>
          <cell r="C488">
            <v>45954</v>
          </cell>
          <cell r="E488">
            <v>3.5457889590188203E-2</v>
          </cell>
        </row>
        <row r="489">
          <cell r="A489" t="str">
            <v>NZD_BKBM_EOD</v>
          </cell>
          <cell r="C489">
            <v>46684</v>
          </cell>
          <cell r="E489">
            <v>3.6878243777970901E-2</v>
          </cell>
        </row>
        <row r="490">
          <cell r="A490" t="str">
            <v>NZD_BKBM_EOD</v>
          </cell>
          <cell r="C490">
            <v>47779</v>
          </cell>
          <cell r="E490">
            <v>3.83848333779198E-2</v>
          </cell>
        </row>
        <row r="491">
          <cell r="A491" t="str">
            <v>NZD_BKBM_EOD</v>
          </cell>
          <cell r="C491">
            <v>49604</v>
          </cell>
          <cell r="E491">
            <v>3.9881639095972497E-2</v>
          </cell>
        </row>
        <row r="492">
          <cell r="A492" t="str">
            <v>PLN_WIBOR_EOD</v>
          </cell>
          <cell r="C492">
            <v>42305</v>
          </cell>
          <cell r="E492">
            <v>1.30997649234229E-2</v>
          </cell>
        </row>
        <row r="493">
          <cell r="A493" t="str">
            <v>PLN_WIBOR_EOD</v>
          </cell>
          <cell r="C493">
            <v>42311</v>
          </cell>
          <cell r="E493">
            <v>1.48651627882572E-2</v>
          </cell>
        </row>
        <row r="494">
          <cell r="A494" t="str">
            <v>PLN_WIBOR_EOD</v>
          </cell>
          <cell r="C494">
            <v>42334</v>
          </cell>
          <cell r="E494">
            <v>1.6330403003526402E-2</v>
          </cell>
        </row>
        <row r="495">
          <cell r="A495" t="str">
            <v>PLN_WIBOR_EOD</v>
          </cell>
          <cell r="C495">
            <v>42364</v>
          </cell>
          <cell r="E495">
            <v>1.68203467525531E-2</v>
          </cell>
        </row>
        <row r="496">
          <cell r="A496" t="str">
            <v>PLN_WIBOR_EOD</v>
          </cell>
          <cell r="C496">
            <v>42395</v>
          </cell>
          <cell r="E496">
            <v>1.7145309526101198E-2</v>
          </cell>
        </row>
        <row r="497">
          <cell r="A497" t="str">
            <v>PLN_WIBOR_EOD</v>
          </cell>
          <cell r="C497">
            <v>42486</v>
          </cell>
          <cell r="E497">
            <v>1.68284649870587E-2</v>
          </cell>
        </row>
        <row r="498">
          <cell r="A498" t="str">
            <v>PLN_WIBOR_EOD</v>
          </cell>
          <cell r="C498">
            <v>42577</v>
          </cell>
          <cell r="E498">
            <v>1.60577367584884E-2</v>
          </cell>
        </row>
        <row r="499">
          <cell r="A499" t="str">
            <v>PLN_WIBOR_EOD</v>
          </cell>
          <cell r="C499">
            <v>42669</v>
          </cell>
          <cell r="E499">
            <v>1.5443584919925601E-2</v>
          </cell>
        </row>
        <row r="500">
          <cell r="A500" t="str">
            <v>PLN_WIBOR_EOD</v>
          </cell>
          <cell r="C500">
            <v>42851</v>
          </cell>
          <cell r="E500">
            <v>1.5234590379059399E-2</v>
          </cell>
        </row>
        <row r="501">
          <cell r="A501" t="str">
            <v>PLN_WIBOR_EOD</v>
          </cell>
          <cell r="C501">
            <v>43034</v>
          </cell>
          <cell r="E501">
            <v>1.50526810854704E-2</v>
          </cell>
        </row>
        <row r="502">
          <cell r="A502" t="str">
            <v>PLN_WIBOR_EOD</v>
          </cell>
          <cell r="C502">
            <v>43399</v>
          </cell>
          <cell r="E502">
            <v>1.5668349231430699E-2</v>
          </cell>
        </row>
        <row r="503">
          <cell r="A503" t="str">
            <v>PLN_WIBOR_EOD</v>
          </cell>
          <cell r="C503">
            <v>43764</v>
          </cell>
          <cell r="E503">
            <v>1.6700372304397301E-2</v>
          </cell>
        </row>
        <row r="504">
          <cell r="A504" t="str">
            <v>PLN_WIBOR_EOD</v>
          </cell>
          <cell r="C504">
            <v>44129</v>
          </cell>
          <cell r="E504">
            <v>1.7940827719692E-2</v>
          </cell>
        </row>
        <row r="505">
          <cell r="A505" t="str">
            <v>PLN_WIBOR_EOD</v>
          </cell>
          <cell r="C505">
            <v>44494</v>
          </cell>
          <cell r="E505">
            <v>1.9272275681615499E-2</v>
          </cell>
        </row>
        <row r="506">
          <cell r="A506" t="str">
            <v>PLN_WIBOR_EOD</v>
          </cell>
          <cell r="C506">
            <v>44859</v>
          </cell>
          <cell r="E506">
            <v>2.0526082466355001E-2</v>
          </cell>
        </row>
        <row r="507">
          <cell r="A507" t="str">
            <v>PLN_WIBOR_EOD</v>
          </cell>
          <cell r="C507">
            <v>45224</v>
          </cell>
          <cell r="E507">
            <v>2.16111689153635E-2</v>
          </cell>
        </row>
        <row r="508">
          <cell r="A508" t="str">
            <v>PLN_WIBOR_EOD</v>
          </cell>
          <cell r="C508">
            <v>45589</v>
          </cell>
          <cell r="E508">
            <v>2.2528979849567601E-2</v>
          </cell>
        </row>
        <row r="509">
          <cell r="A509" t="str">
            <v>PLN_WIBOR_EOD</v>
          </cell>
          <cell r="C509">
            <v>45954</v>
          </cell>
          <cell r="E509">
            <v>2.3171370617841601E-2</v>
          </cell>
        </row>
        <row r="510">
          <cell r="A510" t="str">
            <v>PLN_WIBOR_EOD</v>
          </cell>
          <cell r="C510">
            <v>46684</v>
          </cell>
          <cell r="E510">
            <v>2.42260377509321E-2</v>
          </cell>
        </row>
        <row r="511">
          <cell r="A511" t="str">
            <v>PLN_WIBOR_EOD</v>
          </cell>
          <cell r="C511">
            <v>47779</v>
          </cell>
          <cell r="E511">
            <v>2.51428622609518E-2</v>
          </cell>
        </row>
        <row r="512">
          <cell r="A512" t="str">
            <v>PLN_WIBOR_EOD</v>
          </cell>
          <cell r="C512">
            <v>49604</v>
          </cell>
          <cell r="E512">
            <v>2.5394422253916402E-2</v>
          </cell>
        </row>
        <row r="513">
          <cell r="A513" t="str">
            <v>PLN_WIBOR_EOD</v>
          </cell>
          <cell r="C513">
            <v>51429</v>
          </cell>
          <cell r="E513">
            <v>2.4991905357760399E-2</v>
          </cell>
        </row>
        <row r="514">
          <cell r="A514" t="str">
            <v>PLN_WIBOR_EOD</v>
          </cell>
          <cell r="C514">
            <v>53254</v>
          </cell>
          <cell r="E514">
            <v>2.4160491538606801E-2</v>
          </cell>
        </row>
        <row r="515">
          <cell r="A515" t="str">
            <v>SEK_STIBOR_EOD</v>
          </cell>
          <cell r="C515">
            <v>42305</v>
          </cell>
          <cell r="E515">
            <v>-3.8730761044133998E-3</v>
          </cell>
        </row>
        <row r="516">
          <cell r="A516" t="str">
            <v>SEK_STIBOR_EOD</v>
          </cell>
          <cell r="C516">
            <v>42311</v>
          </cell>
          <cell r="E516">
            <v>-3.8506120748939801E-3</v>
          </cell>
        </row>
        <row r="517">
          <cell r="A517" t="str">
            <v>SEK_STIBOR_EOD</v>
          </cell>
          <cell r="C517">
            <v>42334</v>
          </cell>
          <cell r="E517">
            <v>-4.16523390445142E-3</v>
          </cell>
        </row>
        <row r="518">
          <cell r="A518" t="str">
            <v>SEK_STIBOR_EOD</v>
          </cell>
          <cell r="C518">
            <v>42364</v>
          </cell>
          <cell r="E518">
            <v>-4.1148098380464999E-3</v>
          </cell>
        </row>
        <row r="519">
          <cell r="A519" t="str">
            <v>SEK_STIBOR_EOD</v>
          </cell>
          <cell r="C519">
            <v>42395</v>
          </cell>
          <cell r="E519">
            <v>-3.98119557072041E-3</v>
          </cell>
        </row>
        <row r="520">
          <cell r="A520" t="str">
            <v>SEK_STIBOR_EOD</v>
          </cell>
          <cell r="C520">
            <v>42486</v>
          </cell>
          <cell r="E520">
            <v>-3.7365703417516602E-3</v>
          </cell>
        </row>
        <row r="521">
          <cell r="A521" t="str">
            <v>SEK_STIBOR_EOD</v>
          </cell>
          <cell r="C521">
            <v>42577</v>
          </cell>
          <cell r="E521">
            <v>-3.6760253268839599E-3</v>
          </cell>
        </row>
        <row r="522">
          <cell r="A522" t="str">
            <v>SEK_STIBOR_EOD</v>
          </cell>
          <cell r="C522">
            <v>42669</v>
          </cell>
          <cell r="E522">
            <v>-3.5956902863129398E-3</v>
          </cell>
        </row>
        <row r="523">
          <cell r="A523" t="str">
            <v>SEK_STIBOR_EOD</v>
          </cell>
          <cell r="C523">
            <v>42851</v>
          </cell>
          <cell r="E523">
            <v>-3.2184551766394902E-3</v>
          </cell>
        </row>
        <row r="524">
          <cell r="A524" t="str">
            <v>SEK_STIBOR_EOD</v>
          </cell>
          <cell r="C524">
            <v>43034</v>
          </cell>
          <cell r="E524">
            <v>-2.5761299855266498E-3</v>
          </cell>
        </row>
        <row r="525">
          <cell r="A525" t="str">
            <v>SEK_STIBOR_EOD</v>
          </cell>
          <cell r="C525">
            <v>43399</v>
          </cell>
          <cell r="E525">
            <v>-7.3938751779406998E-4</v>
          </cell>
        </row>
        <row r="526">
          <cell r="A526" t="str">
            <v>SEK_STIBOR_EOD</v>
          </cell>
          <cell r="C526">
            <v>43764</v>
          </cell>
          <cell r="E526">
            <v>1.37618229846653E-3</v>
          </cell>
        </row>
        <row r="527">
          <cell r="A527" t="str">
            <v>SEK_STIBOR_EOD</v>
          </cell>
          <cell r="C527">
            <v>44129</v>
          </cell>
          <cell r="E527">
            <v>3.7528432749932799E-3</v>
          </cell>
        </row>
        <row r="528">
          <cell r="A528" t="str">
            <v>SEK_STIBOR_EOD</v>
          </cell>
          <cell r="C528">
            <v>44494</v>
          </cell>
          <cell r="E528">
            <v>6.0799201932415798E-3</v>
          </cell>
        </row>
        <row r="529">
          <cell r="A529" t="str">
            <v>SEK_STIBOR_EOD</v>
          </cell>
          <cell r="C529">
            <v>44859</v>
          </cell>
          <cell r="E529">
            <v>8.1768028525817608E-3</v>
          </cell>
        </row>
        <row r="530">
          <cell r="A530" t="str">
            <v>SEK_STIBOR_EOD</v>
          </cell>
          <cell r="C530">
            <v>45224</v>
          </cell>
          <cell r="E530">
            <v>9.9886834103118105E-3</v>
          </cell>
        </row>
        <row r="531">
          <cell r="A531" t="str">
            <v>SEK_STIBOR_EOD</v>
          </cell>
          <cell r="C531">
            <v>45589</v>
          </cell>
          <cell r="E531">
            <v>1.15506404051068E-2</v>
          </cell>
        </row>
        <row r="532">
          <cell r="A532" t="str">
            <v>SEK_STIBOR_EOD</v>
          </cell>
          <cell r="C532">
            <v>45954</v>
          </cell>
          <cell r="E532">
            <v>1.2894335294488799E-2</v>
          </cell>
        </row>
        <row r="533">
          <cell r="A533" t="str">
            <v>SEK_STIBOR_EOD</v>
          </cell>
          <cell r="C533">
            <v>46684</v>
          </cell>
          <cell r="E533">
            <v>1.5276969269324699E-2</v>
          </cell>
        </row>
        <row r="534">
          <cell r="A534" t="str">
            <v>SEK_STIBOR_EOD</v>
          </cell>
          <cell r="C534">
            <v>47779</v>
          </cell>
          <cell r="E534">
            <v>1.7990404021829401E-2</v>
          </cell>
        </row>
        <row r="535">
          <cell r="A535" t="str">
            <v>SEK_STIBOR_EOD</v>
          </cell>
          <cell r="C535">
            <v>49604</v>
          </cell>
          <cell r="E535">
            <v>2.0560371037252501E-2</v>
          </cell>
        </row>
        <row r="536">
          <cell r="A536" t="str">
            <v>SEK_STIBOR_EOD</v>
          </cell>
          <cell r="C536">
            <v>51429</v>
          </cell>
          <cell r="E536">
            <v>2.16300213768796E-2</v>
          </cell>
        </row>
        <row r="537">
          <cell r="A537" t="str">
            <v>SEK_STIBOR_EOD</v>
          </cell>
          <cell r="C537">
            <v>53254</v>
          </cell>
          <cell r="E537">
            <v>2.1760593519187198E-2</v>
          </cell>
        </row>
        <row r="538">
          <cell r="A538" t="str">
            <v>SGD_SOR_EOD</v>
          </cell>
          <cell r="C538">
            <v>42305</v>
          </cell>
          <cell r="E538">
            <v>9.7016710639997606E-3</v>
          </cell>
        </row>
        <row r="539">
          <cell r="A539" t="str">
            <v>SGD_SOR_EOD</v>
          </cell>
          <cell r="C539">
            <v>42311</v>
          </cell>
          <cell r="E539">
            <v>1.00971760672057E-2</v>
          </cell>
        </row>
        <row r="540">
          <cell r="A540" t="str">
            <v>SGD_SOR_EOD</v>
          </cell>
          <cell r="C540">
            <v>42334</v>
          </cell>
          <cell r="E540">
            <v>1.2602007482666299E-2</v>
          </cell>
        </row>
        <row r="541">
          <cell r="A541" t="str">
            <v>SGD_SOR_EOD</v>
          </cell>
          <cell r="C541">
            <v>42364</v>
          </cell>
          <cell r="E541">
            <v>1.30177871881858E-2</v>
          </cell>
        </row>
        <row r="542">
          <cell r="A542" t="str">
            <v>SGD_SOR_EOD</v>
          </cell>
          <cell r="C542">
            <v>42395</v>
          </cell>
          <cell r="E542">
            <v>1.2922900686053901E-2</v>
          </cell>
        </row>
        <row r="543">
          <cell r="A543" t="str">
            <v>SGD_SOR_EOD</v>
          </cell>
          <cell r="C543">
            <v>42486</v>
          </cell>
          <cell r="E543">
            <v>1.41990967312736E-2</v>
          </cell>
        </row>
        <row r="544">
          <cell r="A544" t="str">
            <v>SGD_SOR_EOD</v>
          </cell>
          <cell r="C544">
            <v>42577</v>
          </cell>
          <cell r="E544">
            <v>1.44295402280191E-2</v>
          </cell>
        </row>
        <row r="545">
          <cell r="A545" t="str">
            <v>SGD_SOR_EOD</v>
          </cell>
          <cell r="C545">
            <v>42669</v>
          </cell>
          <cell r="E545">
            <v>1.46246255792289E-2</v>
          </cell>
        </row>
        <row r="546">
          <cell r="A546" t="str">
            <v>SGD_SOR_EOD</v>
          </cell>
          <cell r="C546">
            <v>42851</v>
          </cell>
          <cell r="E546">
            <v>1.5860940388487801E-2</v>
          </cell>
        </row>
        <row r="547">
          <cell r="A547" t="str">
            <v>SGD_SOR_EOD</v>
          </cell>
          <cell r="C547">
            <v>43034</v>
          </cell>
          <cell r="E547">
            <v>1.71282023040077E-2</v>
          </cell>
        </row>
        <row r="548">
          <cell r="A548" t="str">
            <v>SGD_SOR_EOD</v>
          </cell>
          <cell r="C548">
            <v>43399</v>
          </cell>
          <cell r="E548">
            <v>1.9283860830810299E-2</v>
          </cell>
        </row>
        <row r="549">
          <cell r="A549" t="str">
            <v>SGD_SOR_EOD</v>
          </cell>
          <cell r="C549">
            <v>43764</v>
          </cell>
          <cell r="E549">
            <v>2.1220269905788201E-2</v>
          </cell>
        </row>
        <row r="550">
          <cell r="A550" t="str">
            <v>SGD_SOR_EOD</v>
          </cell>
          <cell r="C550">
            <v>44129</v>
          </cell>
          <cell r="E550">
            <v>2.26045484612316E-2</v>
          </cell>
        </row>
        <row r="551">
          <cell r="A551" t="str">
            <v>SGD_SOR_EOD</v>
          </cell>
          <cell r="C551">
            <v>44494</v>
          </cell>
          <cell r="E551">
            <v>2.39331524846822E-2</v>
          </cell>
        </row>
        <row r="552">
          <cell r="A552" t="str">
            <v>SGD_SOR_EOD</v>
          </cell>
          <cell r="C552">
            <v>44859</v>
          </cell>
          <cell r="E552">
            <v>2.5261190152016E-2</v>
          </cell>
        </row>
        <row r="553">
          <cell r="A553" t="str">
            <v>SGD_SOR_EOD</v>
          </cell>
          <cell r="C553">
            <v>45224</v>
          </cell>
          <cell r="E553">
            <v>2.61243498996102E-2</v>
          </cell>
        </row>
        <row r="554">
          <cell r="A554" t="str">
            <v>SGD_SOR_EOD</v>
          </cell>
          <cell r="C554">
            <v>45589</v>
          </cell>
          <cell r="E554">
            <v>2.6979740099799299E-2</v>
          </cell>
        </row>
        <row r="555">
          <cell r="A555" t="str">
            <v>SGD_SOR_EOD</v>
          </cell>
          <cell r="C555">
            <v>45954</v>
          </cell>
          <cell r="E555">
            <v>2.7835130299988301E-2</v>
          </cell>
        </row>
        <row r="556">
          <cell r="A556" t="str">
            <v>USD_FEDFUND_EOD</v>
          </cell>
          <cell r="C556">
            <v>42305</v>
          </cell>
          <cell r="E556">
            <v>1.2166646389013701E-3</v>
          </cell>
        </row>
        <row r="557">
          <cell r="A557" t="str">
            <v>USD_FEDFUND_EOD</v>
          </cell>
          <cell r="C557">
            <v>42311</v>
          </cell>
          <cell r="E557">
            <v>1.1701890193514201E-3</v>
          </cell>
        </row>
        <row r="558">
          <cell r="A558" t="str">
            <v>USD_FEDFUND_EOD</v>
          </cell>
          <cell r="C558">
            <v>42318</v>
          </cell>
          <cell r="E558">
            <v>1.2202356853150799E-3</v>
          </cell>
        </row>
        <row r="559">
          <cell r="A559" t="str">
            <v>USD_FEDFUND_EOD</v>
          </cell>
          <cell r="C559">
            <v>42325</v>
          </cell>
          <cell r="E559">
            <v>1.28005038944915E-3</v>
          </cell>
        </row>
        <row r="560">
          <cell r="A560" t="str">
            <v>USD_FEDFUND_EOD</v>
          </cell>
          <cell r="C560">
            <v>42334</v>
          </cell>
          <cell r="E560">
            <v>1.3299956911106601E-3</v>
          </cell>
        </row>
        <row r="561">
          <cell r="A561" t="str">
            <v>USD_FEDFUND_EOD</v>
          </cell>
          <cell r="C561">
            <v>42364</v>
          </cell>
          <cell r="E561">
            <v>1.50388152859916E-3</v>
          </cell>
        </row>
        <row r="562">
          <cell r="A562" t="str">
            <v>USD_FEDFUND_EOD</v>
          </cell>
          <cell r="C562">
            <v>42395</v>
          </cell>
          <cell r="E562">
            <v>1.685020373516E-3</v>
          </cell>
        </row>
        <row r="563">
          <cell r="A563" t="str">
            <v>USD_FEDFUND_EOD</v>
          </cell>
          <cell r="C563">
            <v>42425</v>
          </cell>
          <cell r="E563">
            <v>1.8653697512057801E-3</v>
          </cell>
        </row>
        <row r="564">
          <cell r="A564" t="str">
            <v>USD_FEDFUND_EOD</v>
          </cell>
          <cell r="C564">
            <v>42456</v>
          </cell>
          <cell r="E564">
            <v>2.04604720687629E-3</v>
          </cell>
        </row>
        <row r="565">
          <cell r="A565" t="str">
            <v>USD_FEDFUND_EOD</v>
          </cell>
          <cell r="C565">
            <v>42486</v>
          </cell>
          <cell r="E565">
            <v>2.2028083793718201E-3</v>
          </cell>
        </row>
        <row r="566">
          <cell r="A566" t="str">
            <v>USD_FEDFUND_EOD</v>
          </cell>
          <cell r="C566">
            <v>42516</v>
          </cell>
          <cell r="E566">
            <v>2.35666367786569E-3</v>
          </cell>
        </row>
        <row r="567">
          <cell r="A567" t="str">
            <v>USD_FEDFUND_EOD</v>
          </cell>
          <cell r="C567">
            <v>42547</v>
          </cell>
          <cell r="E567">
            <v>2.50143634865619E-3</v>
          </cell>
        </row>
        <row r="568">
          <cell r="A568" t="str">
            <v>USD_FEDFUND_EOD</v>
          </cell>
          <cell r="C568">
            <v>42577</v>
          </cell>
          <cell r="E568">
            <v>2.6723289589128799E-3</v>
          </cell>
        </row>
        <row r="569">
          <cell r="A569" t="str">
            <v>USD_FEDFUND_EOD</v>
          </cell>
          <cell r="C569">
            <v>42608</v>
          </cell>
          <cell r="E569">
            <v>2.8118976022723299E-3</v>
          </cell>
        </row>
        <row r="570">
          <cell r="A570" t="str">
            <v>USD_FEDFUND_EOD</v>
          </cell>
          <cell r="C570">
            <v>42638</v>
          </cell>
          <cell r="E570">
            <v>2.9787367304272899E-3</v>
          </cell>
        </row>
        <row r="571">
          <cell r="A571" t="str">
            <v>USD_FEDFUND_EOD</v>
          </cell>
          <cell r="C571">
            <v>42669</v>
          </cell>
          <cell r="E571">
            <v>3.1185855453765999E-3</v>
          </cell>
        </row>
        <row r="572">
          <cell r="A572" t="str">
            <v>USD_FEDFUND_EOD</v>
          </cell>
          <cell r="C572">
            <v>42760</v>
          </cell>
          <cell r="E572">
            <v>3.6772763849205301E-3</v>
          </cell>
        </row>
        <row r="573">
          <cell r="A573" t="str">
            <v>USD_FEDFUND_EOD</v>
          </cell>
          <cell r="C573">
            <v>42851</v>
          </cell>
          <cell r="E573">
            <v>4.2455091505897704E-3</v>
          </cell>
        </row>
        <row r="574">
          <cell r="A574" t="str">
            <v>USD_FEDFUND_EOD</v>
          </cell>
          <cell r="C574">
            <v>42942</v>
          </cell>
          <cell r="E574">
            <v>4.7990592153768601E-3</v>
          </cell>
        </row>
        <row r="575">
          <cell r="A575" t="str">
            <v>USD_FEDFUND_EOD</v>
          </cell>
          <cell r="C575">
            <v>43034</v>
          </cell>
          <cell r="E575">
            <v>5.3583586737685502E-3</v>
          </cell>
        </row>
        <row r="576">
          <cell r="A576" t="str">
            <v>USD_FEDFUND_EOD</v>
          </cell>
          <cell r="C576">
            <v>43399</v>
          </cell>
          <cell r="E576">
            <v>7.5479265330142204E-3</v>
          </cell>
        </row>
        <row r="577">
          <cell r="A577" t="str">
            <v>USD_FEDFUND_EOD</v>
          </cell>
          <cell r="C577">
            <v>43764</v>
          </cell>
          <cell r="E577">
            <v>9.5529586218586395E-3</v>
          </cell>
        </row>
        <row r="578">
          <cell r="A578" t="str">
            <v>USD_FEDFUND_EOD</v>
          </cell>
          <cell r="C578">
            <v>44129</v>
          </cell>
          <cell r="E578">
            <v>1.1386932376099E-2</v>
          </cell>
        </row>
        <row r="579">
          <cell r="A579" t="str">
            <v>USD_FEDFUND_EOD</v>
          </cell>
          <cell r="C579">
            <v>44494</v>
          </cell>
          <cell r="E579">
            <v>1.3035286210245099E-2</v>
          </cell>
        </row>
        <row r="580">
          <cell r="A580" t="str">
            <v>USD_FEDFUND_EOD</v>
          </cell>
          <cell r="C580">
            <v>44859</v>
          </cell>
          <cell r="E580">
            <v>1.44358651376765E-2</v>
          </cell>
        </row>
        <row r="581">
          <cell r="A581" t="str">
            <v>USD_FEDFUND_EOD</v>
          </cell>
          <cell r="C581">
            <v>45224</v>
          </cell>
          <cell r="E581">
            <v>1.5653371647522299E-2</v>
          </cell>
        </row>
        <row r="582">
          <cell r="A582" t="str">
            <v>USD_FEDFUND_EOD</v>
          </cell>
          <cell r="C582">
            <v>45589</v>
          </cell>
          <cell r="E582">
            <v>1.66500305173088E-2</v>
          </cell>
        </row>
        <row r="583">
          <cell r="A583" t="str">
            <v>USD_FEDFUND_EOD</v>
          </cell>
          <cell r="C583">
            <v>45954</v>
          </cell>
          <cell r="E583">
            <v>1.75436980195703E-2</v>
          </cell>
        </row>
        <row r="584">
          <cell r="A584" t="str">
            <v>USD_FEDFUND_EOD</v>
          </cell>
          <cell r="C584">
            <v>46684</v>
          </cell>
          <cell r="E584">
            <v>1.8994324651591E-2</v>
          </cell>
        </row>
        <row r="585">
          <cell r="A585" t="str">
            <v>USD_FEDFUND_EOD</v>
          </cell>
          <cell r="C585">
            <v>47779</v>
          </cell>
          <cell r="E585">
            <v>2.0483657256217001E-2</v>
          </cell>
        </row>
        <row r="586">
          <cell r="A586" t="str">
            <v>USD_FEDFUND_EOD</v>
          </cell>
          <cell r="C586">
            <v>49604</v>
          </cell>
          <cell r="E586">
            <v>2.1928967121579601E-2</v>
          </cell>
        </row>
        <row r="587">
          <cell r="A587" t="str">
            <v>USD_FEDFUND_EOD</v>
          </cell>
          <cell r="C587">
            <v>51429</v>
          </cell>
          <cell r="E587">
            <v>2.2600343677897601E-2</v>
          </cell>
        </row>
        <row r="588">
          <cell r="A588" t="str">
            <v>USD_FEDFUND_EOD</v>
          </cell>
          <cell r="C588">
            <v>53254</v>
          </cell>
          <cell r="E588">
            <v>2.2998508576845801E-2</v>
          </cell>
        </row>
        <row r="589">
          <cell r="A589" t="str">
            <v>USD_FEDFUND_EOD</v>
          </cell>
          <cell r="C589">
            <v>55079</v>
          </cell>
          <cell r="E589">
            <v>2.3007688146043499E-2</v>
          </cell>
        </row>
        <row r="590">
          <cell r="A590" t="str">
            <v>USD_FEDFUND_EOD</v>
          </cell>
          <cell r="C590">
            <v>56904</v>
          </cell>
          <cell r="E590">
            <v>2.30145170503472E-2</v>
          </cell>
        </row>
        <row r="591">
          <cell r="A591" t="str">
            <v>USD_FEDFUND_EOD</v>
          </cell>
          <cell r="C591">
            <v>58729</v>
          </cell>
          <cell r="E591">
            <v>2.28005537218797E-2</v>
          </cell>
        </row>
        <row r="592">
          <cell r="A592" t="str">
            <v>USD_FEDFUND_EOD</v>
          </cell>
          <cell r="C592">
            <v>60554</v>
          </cell>
          <cell r="E592">
            <v>2.2585128999703798E-2</v>
          </cell>
        </row>
        <row r="593">
          <cell r="A593" t="str">
            <v>USD_LIBOR_EOD</v>
          </cell>
          <cell r="C593">
            <v>42305</v>
          </cell>
          <cell r="E593">
            <v>1.3332614538472301E-3</v>
          </cell>
        </row>
        <row r="594">
          <cell r="A594" t="str">
            <v>USD_LIBOR_EOD</v>
          </cell>
          <cell r="C594">
            <v>42311</v>
          </cell>
          <cell r="E594">
            <v>1.45322687288915E-3</v>
          </cell>
        </row>
        <row r="595">
          <cell r="A595" t="str">
            <v>USD_LIBOR_EOD</v>
          </cell>
          <cell r="C595">
            <v>42334</v>
          </cell>
          <cell r="E595">
            <v>1.83493543468612E-3</v>
          </cell>
        </row>
        <row r="596">
          <cell r="A596" t="str">
            <v>USD_LIBOR_EOD</v>
          </cell>
          <cell r="C596">
            <v>42364</v>
          </cell>
          <cell r="E596">
            <v>2.21277521728657E-3</v>
          </cell>
        </row>
        <row r="597">
          <cell r="A597" t="str">
            <v>USD_LIBOR_EOD</v>
          </cell>
          <cell r="C597">
            <v>42395</v>
          </cell>
          <cell r="E597">
            <v>2.5874860626973698E-3</v>
          </cell>
        </row>
        <row r="598">
          <cell r="A598" t="str">
            <v>USD_LIBOR_EOD</v>
          </cell>
          <cell r="C598">
            <v>42486</v>
          </cell>
          <cell r="E598">
            <v>3.4758565925120501E-3</v>
          </cell>
        </row>
        <row r="599">
          <cell r="A599" t="str">
            <v>USD_LIBOR_EOD</v>
          </cell>
          <cell r="C599">
            <v>42577</v>
          </cell>
          <cell r="E599">
            <v>4.0860684873755297E-3</v>
          </cell>
        </row>
        <row r="600">
          <cell r="A600" t="str">
            <v>USD_LIBOR_EOD</v>
          </cell>
          <cell r="C600">
            <v>42669</v>
          </cell>
          <cell r="E600">
            <v>4.6846825129958402E-3</v>
          </cell>
        </row>
        <row r="601">
          <cell r="A601" t="str">
            <v>USD_LIBOR_EOD</v>
          </cell>
          <cell r="C601">
            <v>42851</v>
          </cell>
          <cell r="E601">
            <v>5.9522792796539896E-3</v>
          </cell>
        </row>
        <row r="602">
          <cell r="A602" t="str">
            <v>USD_LIBOR_EOD</v>
          </cell>
          <cell r="C602">
            <v>43034</v>
          </cell>
          <cell r="E602">
            <v>7.2269517697168698E-3</v>
          </cell>
        </row>
        <row r="603">
          <cell r="A603" t="str">
            <v>USD_LIBOR_EOD</v>
          </cell>
          <cell r="C603">
            <v>43399</v>
          </cell>
          <cell r="E603">
            <v>9.6575099615823293E-3</v>
          </cell>
        </row>
        <row r="604">
          <cell r="A604" t="str">
            <v>USD_LIBOR_EOD</v>
          </cell>
          <cell r="C604">
            <v>43764</v>
          </cell>
          <cell r="E604">
            <v>1.1772885791425399E-2</v>
          </cell>
        </row>
        <row r="605">
          <cell r="A605" t="str">
            <v>USD_LIBOR_EOD</v>
          </cell>
          <cell r="C605">
            <v>44129</v>
          </cell>
          <cell r="E605">
            <v>1.3686448586912399E-2</v>
          </cell>
        </row>
        <row r="606">
          <cell r="A606" t="str">
            <v>USD_LIBOR_EOD</v>
          </cell>
          <cell r="C606">
            <v>44494</v>
          </cell>
          <cell r="E606">
            <v>1.53830889063023E-2</v>
          </cell>
        </row>
        <row r="607">
          <cell r="A607" t="str">
            <v>USD_LIBOR_EOD</v>
          </cell>
          <cell r="C607">
            <v>44859</v>
          </cell>
          <cell r="E607">
            <v>1.6834484489103699E-2</v>
          </cell>
        </row>
        <row r="608">
          <cell r="A608" t="str">
            <v>USD_LIBOR_EOD</v>
          </cell>
          <cell r="C608">
            <v>45224</v>
          </cell>
          <cell r="E608">
            <v>1.8073954419465601E-2</v>
          </cell>
        </row>
        <row r="609">
          <cell r="A609" t="str">
            <v>USD_LIBOR_EOD</v>
          </cell>
          <cell r="C609">
            <v>45589</v>
          </cell>
          <cell r="E609">
            <v>1.9091979384591298E-2</v>
          </cell>
        </row>
        <row r="610">
          <cell r="A610" t="str">
            <v>USD_LIBOR_EOD</v>
          </cell>
          <cell r="C610">
            <v>45954</v>
          </cell>
          <cell r="E610">
            <v>2.0007580128916201E-2</v>
          </cell>
        </row>
        <row r="611">
          <cell r="A611" t="str">
            <v>USD_LIBOR_EOD</v>
          </cell>
          <cell r="C611">
            <v>46684</v>
          </cell>
          <cell r="E611">
            <v>2.1478018813714399E-2</v>
          </cell>
        </row>
        <row r="612">
          <cell r="A612" t="str">
            <v>USD_LIBOR_EOD</v>
          </cell>
          <cell r="C612">
            <v>47779</v>
          </cell>
          <cell r="E612">
            <v>2.2991384626850901E-2</v>
          </cell>
        </row>
        <row r="613">
          <cell r="A613" t="str">
            <v>USD_LIBOR_EOD</v>
          </cell>
          <cell r="C613">
            <v>49604</v>
          </cell>
          <cell r="E613">
            <v>2.4477005431992001E-2</v>
          </cell>
        </row>
        <row r="614">
          <cell r="A614" t="str">
            <v>USD_LIBOR_EOD</v>
          </cell>
          <cell r="C614">
            <v>51429</v>
          </cell>
          <cell r="E614">
            <v>2.5165797637233499E-2</v>
          </cell>
        </row>
        <row r="615">
          <cell r="A615" t="str">
            <v>USD_LIBOR_EOD</v>
          </cell>
          <cell r="C615">
            <v>53254</v>
          </cell>
          <cell r="E615">
            <v>2.5582842464799301E-2</v>
          </cell>
        </row>
        <row r="616">
          <cell r="A616" t="str">
            <v>USD_LIBOR_EOD</v>
          </cell>
          <cell r="C616">
            <v>55079</v>
          </cell>
          <cell r="E616">
            <v>2.5581749637196501E-2</v>
          </cell>
        </row>
        <row r="617">
          <cell r="A617" t="str">
            <v>USD_LIBOR_EOD</v>
          </cell>
          <cell r="C617">
            <v>56904</v>
          </cell>
          <cell r="E617">
            <v>2.55781293198863E-2</v>
          </cell>
        </row>
        <row r="618">
          <cell r="A618" t="str">
            <v>USD_LIBOR_EOD</v>
          </cell>
          <cell r="C618">
            <v>58729</v>
          </cell>
          <cell r="E618">
            <v>2.5344787598461802E-2</v>
          </cell>
        </row>
        <row r="619">
          <cell r="A619" t="str">
            <v>USD_LIBOR_EOD</v>
          </cell>
          <cell r="C619">
            <v>60554</v>
          </cell>
          <cell r="E619">
            <v>2.5109925382360301E-2</v>
          </cell>
        </row>
        <row r="620">
          <cell r="A620" t="str">
            <v>ZAR_JIBAR_EOD</v>
          </cell>
          <cell r="C620">
            <v>42305</v>
          </cell>
          <cell r="E620">
            <v>5.7795423989927798E-2</v>
          </cell>
        </row>
        <row r="621">
          <cell r="A621" t="str">
            <v>ZAR_JIBAR_EOD</v>
          </cell>
          <cell r="C621">
            <v>42311</v>
          </cell>
          <cell r="E621">
            <v>5.8473201703814301E-2</v>
          </cell>
        </row>
        <row r="622">
          <cell r="A622" t="str">
            <v>ZAR_JIBAR_EOD</v>
          </cell>
          <cell r="C622">
            <v>42334</v>
          </cell>
          <cell r="E622">
            <v>6.1058422255105702E-2</v>
          </cell>
        </row>
        <row r="623">
          <cell r="A623" t="str">
            <v>ZAR_JIBAR_EOD</v>
          </cell>
          <cell r="C623">
            <v>42364</v>
          </cell>
          <cell r="E623">
            <v>6.1819712302423301E-2</v>
          </cell>
        </row>
        <row r="624">
          <cell r="A624" t="str">
            <v>ZAR_JIBAR_EOD</v>
          </cell>
          <cell r="C624">
            <v>42395</v>
          </cell>
          <cell r="E624">
            <v>6.2559801811825605E-2</v>
          </cell>
        </row>
        <row r="625">
          <cell r="A625" t="str">
            <v>ZAR_JIBAR_EOD</v>
          </cell>
          <cell r="C625">
            <v>42486</v>
          </cell>
          <cell r="E625">
            <v>6.3171089819844303E-2</v>
          </cell>
        </row>
        <row r="626">
          <cell r="A626" t="str">
            <v>ZAR_JIBAR_EOD</v>
          </cell>
          <cell r="C626">
            <v>42577</v>
          </cell>
          <cell r="E626">
            <v>6.4244481663785505E-2</v>
          </cell>
        </row>
        <row r="627">
          <cell r="A627" t="str">
            <v>ZAR_JIBAR_EOD</v>
          </cell>
          <cell r="C627">
            <v>42669</v>
          </cell>
          <cell r="E627">
            <v>6.5415410715590996E-2</v>
          </cell>
        </row>
        <row r="628">
          <cell r="A628" t="str">
            <v>ZAR_JIBAR_EOD</v>
          </cell>
          <cell r="C628">
            <v>42851</v>
          </cell>
          <cell r="E628">
            <v>6.7285747955793104E-2</v>
          </cell>
        </row>
        <row r="629">
          <cell r="A629" t="str">
            <v>ZAR_JIBAR_EOD</v>
          </cell>
          <cell r="C629">
            <v>43034</v>
          </cell>
          <cell r="E629">
            <v>6.91638747419797E-2</v>
          </cell>
        </row>
        <row r="630">
          <cell r="A630" t="str">
            <v>ZAR_JIBAR_EOD</v>
          </cell>
          <cell r="C630">
            <v>43399</v>
          </cell>
          <cell r="E630">
            <v>7.22015423390613E-2</v>
          </cell>
        </row>
        <row r="631">
          <cell r="A631" t="str">
            <v>ZAR_JIBAR_EOD</v>
          </cell>
          <cell r="C631">
            <v>43764</v>
          </cell>
          <cell r="E631">
            <v>7.4595109551398406E-2</v>
          </cell>
        </row>
        <row r="632">
          <cell r="A632" t="str">
            <v>ZAR_JIBAR_EOD</v>
          </cell>
          <cell r="C632">
            <v>44129</v>
          </cell>
          <cell r="E632">
            <v>7.6692303201872494E-2</v>
          </cell>
        </row>
        <row r="633">
          <cell r="A633" t="str">
            <v>ZAR_JIBAR_EOD</v>
          </cell>
          <cell r="C633">
            <v>44494</v>
          </cell>
          <cell r="E633">
            <v>7.8511993321993906E-2</v>
          </cell>
        </row>
        <row r="634">
          <cell r="A634" t="str">
            <v>ZAR_JIBAR_EOD</v>
          </cell>
          <cell r="C634">
            <v>44859</v>
          </cell>
          <cell r="E634">
            <v>8.0062430276136007E-2</v>
          </cell>
        </row>
        <row r="635">
          <cell r="A635" t="str">
            <v>ZAR_JIBAR_EOD</v>
          </cell>
          <cell r="C635">
            <v>45224</v>
          </cell>
          <cell r="E635">
            <v>8.1473851763911198E-2</v>
          </cell>
        </row>
        <row r="636">
          <cell r="A636" t="str">
            <v>ZAR_JIBAR_EOD</v>
          </cell>
          <cell r="C636">
            <v>45589</v>
          </cell>
          <cell r="E636">
            <v>8.2681642657818105E-2</v>
          </cell>
        </row>
        <row r="637">
          <cell r="A637" t="str">
            <v>ZAR_JIBAR_EOD</v>
          </cell>
          <cell r="C637">
            <v>45954</v>
          </cell>
          <cell r="E637">
            <v>8.3798449888984203E-2</v>
          </cell>
        </row>
        <row r="638">
          <cell r="A638" t="str">
            <v>ZAR_JIBAR_EOD</v>
          </cell>
          <cell r="C638">
            <v>46684</v>
          </cell>
          <cell r="E638">
            <v>8.5768178847762805E-2</v>
          </cell>
        </row>
        <row r="639">
          <cell r="A639" t="str">
            <v>ZAR_JIBAR_EOD</v>
          </cell>
          <cell r="C639">
            <v>47779</v>
          </cell>
          <cell r="E639">
            <v>8.7891750860324205E-2</v>
          </cell>
        </row>
        <row r="640">
          <cell r="A640" t="str">
            <v>ZAR_JIBAR_EOD</v>
          </cell>
          <cell r="C640">
            <v>49604</v>
          </cell>
          <cell r="E640">
            <v>8.8015832962049997E-2</v>
          </cell>
        </row>
        <row r="641">
          <cell r="A641" t="str">
            <v>ZAR_JIBAR_EOD</v>
          </cell>
          <cell r="C641">
            <v>51429</v>
          </cell>
          <cell r="E641">
            <v>8.6310030381173006E-2</v>
          </cell>
        </row>
        <row r="642">
          <cell r="A642" t="str">
            <v>ZAR_JIBAR_EOD</v>
          </cell>
          <cell r="C642">
            <v>53254</v>
          </cell>
          <cell r="E642">
            <v>8.2256744833304002E-2</v>
          </cell>
        </row>
      </sheetData>
      <sheetData sheetId="11">
        <row r="2">
          <cell r="A2" t="str">
            <v>AUD_AONIA_EOD</v>
          </cell>
          <cell r="C2">
            <v>42305</v>
          </cell>
          <cell r="E2">
            <v>1.99994520748366E-2</v>
          </cell>
        </row>
        <row r="3">
          <cell r="A3" t="str">
            <v>AUD_AONIA_EOD</v>
          </cell>
          <cell r="C3">
            <v>42312</v>
          </cell>
          <cell r="E3">
            <v>1.9830389642924499E-2</v>
          </cell>
        </row>
        <row r="4">
          <cell r="A4" t="str">
            <v>AUD_AONIA_EOD</v>
          </cell>
          <cell r="C4">
            <v>42338</v>
          </cell>
          <cell r="E4">
            <v>1.94447369997412E-2</v>
          </cell>
        </row>
        <row r="5">
          <cell r="A5" t="str">
            <v>AUD_AONIA_EOD</v>
          </cell>
          <cell r="C5">
            <v>42367</v>
          </cell>
          <cell r="E5">
            <v>1.9031533479477499E-2</v>
          </cell>
        </row>
        <row r="6">
          <cell r="A6" t="str">
            <v>AUD_AONIA_EOD</v>
          </cell>
          <cell r="C6">
            <v>42397</v>
          </cell>
          <cell r="E6">
            <v>1.8855121835827701E-2</v>
          </cell>
        </row>
        <row r="7">
          <cell r="A7" t="str">
            <v>AUD_AONIA_EOD</v>
          </cell>
          <cell r="C7">
            <v>42429</v>
          </cell>
          <cell r="E7">
            <v>1.85137132468805E-2</v>
          </cell>
        </row>
        <row r="8">
          <cell r="A8" t="str">
            <v>AUD_AONIA_EOD</v>
          </cell>
          <cell r="C8">
            <v>42458</v>
          </cell>
          <cell r="E8">
            <v>1.8244121336772699E-2</v>
          </cell>
        </row>
        <row r="9">
          <cell r="A9" t="str">
            <v>AUD_AONIA_EOD</v>
          </cell>
          <cell r="C9">
            <v>42488</v>
          </cell>
          <cell r="E9">
            <v>1.8011884936660699E-2</v>
          </cell>
        </row>
        <row r="10">
          <cell r="A10" t="str">
            <v>AUD_AONIA_EOD</v>
          </cell>
          <cell r="C10">
            <v>42579</v>
          </cell>
          <cell r="E10">
            <v>1.75061844149084E-2</v>
          </cell>
        </row>
        <row r="11">
          <cell r="A11" t="str">
            <v>AUD_AONIA_EOD</v>
          </cell>
          <cell r="C11">
            <v>42671</v>
          </cell>
          <cell r="E11">
            <v>1.71545164141493E-2</v>
          </cell>
        </row>
        <row r="12">
          <cell r="A12" t="str">
            <v>AUD_AONIA_EOD</v>
          </cell>
          <cell r="C12">
            <v>42853</v>
          </cell>
          <cell r="E12">
            <v>1.7046237066780601E-2</v>
          </cell>
        </row>
        <row r="13">
          <cell r="A13" t="str">
            <v>AUD_AONIA_EOD</v>
          </cell>
          <cell r="C13">
            <v>43038</v>
          </cell>
          <cell r="E13">
            <v>1.7287804979631699E-2</v>
          </cell>
        </row>
        <row r="14">
          <cell r="A14" t="str">
            <v>AUD_AONIA_EOD</v>
          </cell>
          <cell r="C14">
            <v>43402</v>
          </cell>
          <cell r="E14">
            <v>1.8136785595937299E-2</v>
          </cell>
        </row>
        <row r="15">
          <cell r="A15" t="str">
            <v>AUD_AONIA_EOD</v>
          </cell>
          <cell r="C15">
            <v>43766</v>
          </cell>
          <cell r="E15">
            <v>1.9241598785943899E-2</v>
          </cell>
        </row>
        <row r="16">
          <cell r="A16" t="str">
            <v>AUD_AONIA_EOD</v>
          </cell>
          <cell r="C16">
            <v>44132</v>
          </cell>
          <cell r="E16">
            <v>2.0642636227191001E-2</v>
          </cell>
        </row>
        <row r="17">
          <cell r="A17" t="str">
            <v>AUD_AONIA_EOD</v>
          </cell>
          <cell r="C17">
            <v>44862</v>
          </cell>
          <cell r="E17">
            <v>2.33884754657658E-2</v>
          </cell>
        </row>
        <row r="18">
          <cell r="A18" t="str">
            <v>AUD_AONIA_EOD</v>
          </cell>
          <cell r="C18">
            <v>45958</v>
          </cell>
          <cell r="E18">
            <v>2.64419456005115E-2</v>
          </cell>
        </row>
        <row r="19">
          <cell r="A19" t="str">
            <v>AUD_AONIA_EOD</v>
          </cell>
          <cell r="C19">
            <v>46688</v>
          </cell>
          <cell r="E19">
            <v>2.8071038083257099E-2</v>
          </cell>
        </row>
        <row r="20">
          <cell r="A20" t="str">
            <v>AUD_AONIA_EOD</v>
          </cell>
          <cell r="C20">
            <v>47784</v>
          </cell>
          <cell r="E20">
            <v>2.9746565407129801E-2</v>
          </cell>
        </row>
        <row r="21">
          <cell r="A21" t="str">
            <v>AUD_AONIA_EOD</v>
          </cell>
          <cell r="C21">
            <v>49611</v>
          </cell>
          <cell r="E21">
            <v>3.1246387659962599E-2</v>
          </cell>
        </row>
        <row r="22">
          <cell r="A22" t="str">
            <v>AUD_AONIA_EOD</v>
          </cell>
          <cell r="C22">
            <v>51438</v>
          </cell>
          <cell r="E22">
            <v>3.1622883115055601E-2</v>
          </cell>
        </row>
        <row r="23">
          <cell r="A23" t="str">
            <v>AUD_AONIA_EOD</v>
          </cell>
          <cell r="C23">
            <v>53265</v>
          </cell>
          <cell r="E23">
            <v>3.1121824159264001E-2</v>
          </cell>
        </row>
        <row r="24">
          <cell r="A24" t="str">
            <v>AUD_AONIA_EOD</v>
          </cell>
          <cell r="C24">
            <v>56915</v>
          </cell>
          <cell r="E24">
            <v>3.02306958798811E-2</v>
          </cell>
        </row>
        <row r="25">
          <cell r="A25" t="str">
            <v>AUD_BBSW_3M_EOD</v>
          </cell>
          <cell r="C25">
            <v>42396</v>
          </cell>
          <cell r="E25">
            <v>2.1375314019163601E-2</v>
          </cell>
        </row>
        <row r="26">
          <cell r="A26" t="str">
            <v>AUD_BBSW_3M_EOD</v>
          </cell>
          <cell r="C26">
            <v>42439</v>
          </cell>
          <cell r="E26">
            <v>2.0545913649414899E-2</v>
          </cell>
        </row>
        <row r="27">
          <cell r="A27" t="str">
            <v>AUD_BBSW_3M_EOD</v>
          </cell>
          <cell r="C27">
            <v>42530</v>
          </cell>
          <cell r="E27">
            <v>1.9938442274874599E-2</v>
          </cell>
        </row>
        <row r="28">
          <cell r="A28" t="str">
            <v>AUD_BBSW_3M_EOD</v>
          </cell>
          <cell r="C28">
            <v>42621</v>
          </cell>
          <cell r="E28">
            <v>1.9474002021909499E-2</v>
          </cell>
        </row>
        <row r="29">
          <cell r="A29" t="str">
            <v>AUD_BBSW_3M_EOD</v>
          </cell>
          <cell r="C29">
            <v>42712</v>
          </cell>
          <cell r="E29">
            <v>1.9211187683227101E-2</v>
          </cell>
        </row>
        <row r="30">
          <cell r="A30" t="str">
            <v>AUD_BBSW_3M_EOD</v>
          </cell>
          <cell r="C30">
            <v>42803</v>
          </cell>
          <cell r="E30">
            <v>1.9111034609479001E-2</v>
          </cell>
        </row>
        <row r="31">
          <cell r="A31" t="str">
            <v>AUD_BBSW_3M_EOD</v>
          </cell>
          <cell r="C31">
            <v>42894</v>
          </cell>
          <cell r="E31">
            <v>1.9128053662627899E-2</v>
          </cell>
        </row>
        <row r="32">
          <cell r="A32" t="str">
            <v>AUD_BBSW_3M_EOD</v>
          </cell>
          <cell r="C32">
            <v>43035</v>
          </cell>
          <cell r="E32">
            <v>1.95701303409378E-2</v>
          </cell>
        </row>
        <row r="33">
          <cell r="A33" t="str">
            <v>AUD_BBSW_3M_EOD</v>
          </cell>
          <cell r="C33">
            <v>43402</v>
          </cell>
          <cell r="E33">
            <v>2.0323351176356599E-2</v>
          </cell>
        </row>
        <row r="34">
          <cell r="A34" t="str">
            <v>AUD_BBSW_3M_EOD</v>
          </cell>
          <cell r="C34">
            <v>43766</v>
          </cell>
          <cell r="E34">
            <v>2.1402484420396099E-2</v>
          </cell>
        </row>
        <row r="35">
          <cell r="A35" t="str">
            <v>AUD_BBSW_3M_EOD</v>
          </cell>
          <cell r="C35">
            <v>44131</v>
          </cell>
          <cell r="E35">
            <v>2.2752058968250902E-2</v>
          </cell>
        </row>
        <row r="36">
          <cell r="A36" t="str">
            <v>AUD_BBSW_3M_EOD</v>
          </cell>
          <cell r="C36">
            <v>44861</v>
          </cell>
          <cell r="E36">
            <v>2.5419169454372899E-2</v>
          </cell>
        </row>
        <row r="37">
          <cell r="A37" t="str">
            <v>AUD_BBSW_3M_EOD</v>
          </cell>
          <cell r="C37">
            <v>45957</v>
          </cell>
          <cell r="E37">
            <v>2.8474256185600101E-2</v>
          </cell>
        </row>
        <row r="38">
          <cell r="A38" t="str">
            <v>AUD_BBSW_3M_EOD</v>
          </cell>
          <cell r="C38">
            <v>46687</v>
          </cell>
          <cell r="E38">
            <v>3.0074310591470699E-2</v>
          </cell>
        </row>
        <row r="39">
          <cell r="A39" t="str">
            <v>AUD_BBSW_3M_EOD</v>
          </cell>
          <cell r="C39">
            <v>47784</v>
          </cell>
          <cell r="E39">
            <v>3.1750997426618702E-2</v>
          </cell>
        </row>
        <row r="40">
          <cell r="A40" t="str">
            <v>AUD_BBSW_3M_EOD</v>
          </cell>
          <cell r="C40">
            <v>49611</v>
          </cell>
          <cell r="E40">
            <v>3.32842718111157E-2</v>
          </cell>
        </row>
        <row r="41">
          <cell r="A41" t="str">
            <v>AUD_BBSW_3M_EOD</v>
          </cell>
          <cell r="C41">
            <v>51438</v>
          </cell>
          <cell r="E41">
            <v>3.3659731062378503E-2</v>
          </cell>
        </row>
        <row r="42">
          <cell r="A42" t="str">
            <v>AUD_BBSW_3M_EOD</v>
          </cell>
          <cell r="C42">
            <v>53262</v>
          </cell>
          <cell r="E42">
            <v>3.3158554557497298E-2</v>
          </cell>
        </row>
        <row r="43">
          <cell r="A43" t="str">
            <v>AUD_BBSW_3M_EOD</v>
          </cell>
          <cell r="C43">
            <v>56914</v>
          </cell>
          <cell r="E43">
            <v>3.2266895025843803E-2</v>
          </cell>
        </row>
        <row r="44">
          <cell r="A44" t="str">
            <v>AUD_BBSW_6M_EOD</v>
          </cell>
          <cell r="C44">
            <v>42487</v>
          </cell>
          <cell r="E44">
            <v>2.2077361609720299E-2</v>
          </cell>
        </row>
        <row r="45">
          <cell r="A45" t="str">
            <v>AUD_BBSW_6M_EOD</v>
          </cell>
          <cell r="C45">
            <v>42670</v>
          </cell>
          <cell r="E45">
            <v>2.09678397874732E-2</v>
          </cell>
        </row>
        <row r="46">
          <cell r="A46" t="str">
            <v>AUD_BBSW_6M_EOD</v>
          </cell>
          <cell r="C46">
            <v>43035</v>
          </cell>
          <cell r="E46">
            <v>2.09905601249737E-2</v>
          </cell>
        </row>
        <row r="47">
          <cell r="A47" t="str">
            <v>AUD_BBSW_6M_EOD</v>
          </cell>
          <cell r="C47">
            <v>43402</v>
          </cell>
          <cell r="E47">
            <v>2.1640612983522399E-2</v>
          </cell>
        </row>
        <row r="48">
          <cell r="A48" t="str">
            <v>AUD_BBSW_6M_EOD</v>
          </cell>
          <cell r="C48">
            <v>43766</v>
          </cell>
          <cell r="E48">
            <v>2.2599614643956899E-2</v>
          </cell>
        </row>
        <row r="49">
          <cell r="A49" t="str">
            <v>AUD_BBSW_6M_EOD</v>
          </cell>
          <cell r="C49">
            <v>44131</v>
          </cell>
          <cell r="E49">
            <v>2.3838878437496502E-2</v>
          </cell>
        </row>
        <row r="50">
          <cell r="A50" t="str">
            <v>AUD_BBSW_6M_EOD</v>
          </cell>
          <cell r="C50">
            <v>44861</v>
          </cell>
          <cell r="E50">
            <v>2.6333653887693501E-2</v>
          </cell>
        </row>
        <row r="51">
          <cell r="A51" t="str">
            <v>AUD_BBSW_6M_EOD</v>
          </cell>
          <cell r="C51">
            <v>45957</v>
          </cell>
          <cell r="E51">
            <v>2.9221322271682899E-2</v>
          </cell>
        </row>
        <row r="52">
          <cell r="A52" t="str">
            <v>AUD_BBSW_6M_EOD</v>
          </cell>
          <cell r="C52">
            <v>46687</v>
          </cell>
          <cell r="E52">
            <v>3.0683701136603701E-2</v>
          </cell>
        </row>
        <row r="53">
          <cell r="A53" t="str">
            <v>AUD_BBSW_6M_EOD</v>
          </cell>
          <cell r="C53">
            <v>47784</v>
          </cell>
          <cell r="E53">
            <v>3.2204211691607698E-2</v>
          </cell>
        </row>
        <row r="54">
          <cell r="A54" t="str">
            <v>AUD_BBSW_6M_EOD</v>
          </cell>
          <cell r="C54">
            <v>49611</v>
          </cell>
          <cell r="E54">
            <v>3.3559131936204502E-2</v>
          </cell>
        </row>
        <row r="55">
          <cell r="A55" t="str">
            <v>AUD_BBSW_6M_EOD</v>
          </cell>
          <cell r="C55">
            <v>51438</v>
          </cell>
          <cell r="E55">
            <v>3.38420495738435E-2</v>
          </cell>
        </row>
        <row r="56">
          <cell r="A56" t="str">
            <v>AUD_BBSW_6M_EOD</v>
          </cell>
          <cell r="C56">
            <v>53262</v>
          </cell>
          <cell r="E56">
            <v>3.3284736441281097E-2</v>
          </cell>
        </row>
        <row r="57">
          <cell r="A57" t="str">
            <v>AUD_BBSW_6M_EOD</v>
          </cell>
          <cell r="C57">
            <v>56914</v>
          </cell>
          <cell r="E57">
            <v>3.2429860330348503E-2</v>
          </cell>
        </row>
        <row r="58">
          <cell r="A58" t="str">
            <v>AUD_BBSW_EOD</v>
          </cell>
          <cell r="C58">
            <v>42305</v>
          </cell>
          <cell r="E58">
            <v>1.99994520748366E-2</v>
          </cell>
        </row>
        <row r="59">
          <cell r="A59" t="str">
            <v>AUD_BBSW_EOD</v>
          </cell>
          <cell r="C59">
            <v>42311</v>
          </cell>
          <cell r="E59">
            <v>2.0086130779154599E-2</v>
          </cell>
        </row>
        <row r="60">
          <cell r="A60" t="str">
            <v>AUD_BBSW_EOD</v>
          </cell>
          <cell r="C60">
            <v>42335</v>
          </cell>
          <cell r="E60">
            <v>2.04322612524705E-2</v>
          </cell>
        </row>
        <row r="61">
          <cell r="A61" t="str">
            <v>AUD_BBSW_EOD</v>
          </cell>
          <cell r="C61">
            <v>42439</v>
          </cell>
          <cell r="E61">
            <v>2.0230321112340001E-2</v>
          </cell>
        </row>
        <row r="62">
          <cell r="A62" t="str">
            <v>AUD_BBSW_EOD</v>
          </cell>
          <cell r="C62">
            <v>42530</v>
          </cell>
          <cell r="E62">
            <v>1.97499246089375E-2</v>
          </cell>
        </row>
        <row r="63">
          <cell r="A63" t="str">
            <v>AUD_BBSW_EOD</v>
          </cell>
          <cell r="C63">
            <v>42621</v>
          </cell>
          <cell r="E63">
            <v>1.93396014147467E-2</v>
          </cell>
        </row>
        <row r="64">
          <cell r="A64" t="str">
            <v>AUD_BBSW_EOD</v>
          </cell>
          <cell r="C64">
            <v>42712</v>
          </cell>
          <cell r="E64">
            <v>1.9106763682064699E-2</v>
          </cell>
        </row>
        <row r="65">
          <cell r="A65" t="str">
            <v>AUD_BBSW_EOD</v>
          </cell>
          <cell r="C65">
            <v>42803</v>
          </cell>
          <cell r="E65">
            <v>1.9025653862978598E-2</v>
          </cell>
        </row>
        <row r="66">
          <cell r="A66" t="str">
            <v>AUD_BBSW_EOD</v>
          </cell>
          <cell r="C66">
            <v>42894</v>
          </cell>
          <cell r="E66">
            <v>1.9055841810927301E-2</v>
          </cell>
        </row>
        <row r="67">
          <cell r="A67" t="str">
            <v>AUD_BBSW_EOD</v>
          </cell>
          <cell r="C67">
            <v>43035</v>
          </cell>
          <cell r="E67">
            <v>1.9572873995725298E-2</v>
          </cell>
        </row>
        <row r="68">
          <cell r="A68" t="str">
            <v>AUD_BBSW_EOD</v>
          </cell>
          <cell r="C68">
            <v>43402</v>
          </cell>
          <cell r="E68">
            <v>2.0327703717283301E-2</v>
          </cell>
        </row>
        <row r="69">
          <cell r="A69" t="str">
            <v>AUD_BBSW_EOD</v>
          </cell>
          <cell r="C69">
            <v>43766</v>
          </cell>
          <cell r="E69">
            <v>2.2660269239209399E-2</v>
          </cell>
        </row>
        <row r="70">
          <cell r="A70" t="str">
            <v>AUD_BBSW_EOD</v>
          </cell>
          <cell r="C70">
            <v>44131</v>
          </cell>
          <cell r="E70">
            <v>2.3898035665901901E-2</v>
          </cell>
        </row>
        <row r="71">
          <cell r="A71" t="str">
            <v>AUD_BBSW_EOD</v>
          </cell>
          <cell r="C71">
            <v>44861</v>
          </cell>
          <cell r="E71">
            <v>2.63981846564104E-2</v>
          </cell>
        </row>
        <row r="72">
          <cell r="A72" t="str">
            <v>AUD_BBSW_EOD</v>
          </cell>
          <cell r="C72">
            <v>45957</v>
          </cell>
          <cell r="E72">
            <v>2.9299257979054201E-2</v>
          </cell>
        </row>
        <row r="73">
          <cell r="A73" t="str">
            <v>AUD_BBSW_EOD</v>
          </cell>
          <cell r="C73">
            <v>46687</v>
          </cell>
          <cell r="E73">
            <v>3.0770452491534098E-2</v>
          </cell>
        </row>
        <row r="74">
          <cell r="A74" t="str">
            <v>AUD_BBSW_EOD</v>
          </cell>
          <cell r="C74">
            <v>47784</v>
          </cell>
          <cell r="E74">
            <v>3.2299476673730003E-2</v>
          </cell>
        </row>
        <row r="75">
          <cell r="A75" t="str">
            <v>AUD_BBSW_EOD</v>
          </cell>
          <cell r="C75">
            <v>49611</v>
          </cell>
          <cell r="E75">
            <v>3.3661241713872303E-2</v>
          </cell>
        </row>
        <row r="76">
          <cell r="A76" t="str">
            <v>AUD_BBSW_EOD</v>
          </cell>
          <cell r="C76">
            <v>51438</v>
          </cell>
          <cell r="E76">
            <v>3.3935962960443197E-2</v>
          </cell>
        </row>
        <row r="77">
          <cell r="A77" t="str">
            <v>AUD_BBSW_EOD</v>
          </cell>
          <cell r="C77">
            <v>53262</v>
          </cell>
          <cell r="E77">
            <v>3.3350274004164002E-2</v>
          </cell>
        </row>
        <row r="78">
          <cell r="A78" t="str">
            <v>AUD_BBSW_EOD</v>
          </cell>
          <cell r="C78">
            <v>56914</v>
          </cell>
          <cell r="E78">
            <v>3.24501187296629E-2</v>
          </cell>
        </row>
        <row r="79">
          <cell r="A79" t="str">
            <v>CAD_CDOR_1M_EOD</v>
          </cell>
          <cell r="C79">
            <v>42335</v>
          </cell>
          <cell r="E79">
            <v>8.1471806194539798E-3</v>
          </cell>
        </row>
        <row r="80">
          <cell r="A80" t="str">
            <v>CAD_CDOR_1M_EOD</v>
          </cell>
          <cell r="C80">
            <v>42367</v>
          </cell>
          <cell r="E80">
            <v>7.9745093354528507E-3</v>
          </cell>
        </row>
        <row r="81">
          <cell r="A81" t="str">
            <v>CAD_CDOR_1M_EOD</v>
          </cell>
          <cell r="C81">
            <v>42396</v>
          </cell>
          <cell r="E81">
            <v>7.8552947140742898E-3</v>
          </cell>
        </row>
        <row r="82">
          <cell r="A82" t="str">
            <v>CAD_CDOR_1M_EOD</v>
          </cell>
          <cell r="C82">
            <v>42487</v>
          </cell>
          <cell r="E82">
            <v>7.4560520572195003E-3</v>
          </cell>
        </row>
        <row r="83">
          <cell r="A83" t="str">
            <v>CAD_CDOR_1M_EOD</v>
          </cell>
          <cell r="C83">
            <v>42578</v>
          </cell>
          <cell r="E83">
            <v>7.3287401235632597E-3</v>
          </cell>
        </row>
        <row r="84">
          <cell r="A84" t="str">
            <v>CAD_CDOR_1M_EOD</v>
          </cell>
          <cell r="C84">
            <v>42670</v>
          </cell>
          <cell r="E84">
            <v>7.3064679209747596E-3</v>
          </cell>
        </row>
        <row r="85">
          <cell r="A85" t="str">
            <v>CAD_CDOR_1M_EOD</v>
          </cell>
          <cell r="C85">
            <v>43035</v>
          </cell>
          <cell r="E85">
            <v>7.3457561635839799E-3</v>
          </cell>
        </row>
        <row r="86">
          <cell r="A86" t="str">
            <v>CAD_CDOR_1M_EOD</v>
          </cell>
          <cell r="C86">
            <v>43402</v>
          </cell>
          <cell r="E86">
            <v>8.0740944341618492E-3</v>
          </cell>
        </row>
        <row r="87">
          <cell r="A87" t="str">
            <v>CAD_CDOR_1M_EOD</v>
          </cell>
          <cell r="C87">
            <v>43766</v>
          </cell>
          <cell r="E87">
            <v>9.0095675936288106E-3</v>
          </cell>
        </row>
        <row r="88">
          <cell r="A88" t="str">
            <v>CAD_CDOR_1M_EOD</v>
          </cell>
          <cell r="C88">
            <v>44131</v>
          </cell>
          <cell r="E88">
            <v>1.02780705805623E-2</v>
          </cell>
        </row>
        <row r="89">
          <cell r="A89" t="str">
            <v>CAD_CDOR_1M_EOD</v>
          </cell>
          <cell r="C89">
            <v>44496</v>
          </cell>
          <cell r="E89">
            <v>1.1878445717213601E-2</v>
          </cell>
        </row>
        <row r="90">
          <cell r="A90" t="str">
            <v>CAD_CDOR_1M_EOD</v>
          </cell>
          <cell r="C90">
            <v>44861</v>
          </cell>
          <cell r="E90">
            <v>1.3508590895126101E-2</v>
          </cell>
        </row>
        <row r="91">
          <cell r="A91" t="str">
            <v>CAD_CDOR_1M_EOD</v>
          </cell>
          <cell r="C91">
            <v>45226</v>
          </cell>
          <cell r="E91">
            <v>1.5081572854568201E-2</v>
          </cell>
        </row>
        <row r="92">
          <cell r="A92" t="str">
            <v>CAD_CDOR_1M_EOD</v>
          </cell>
          <cell r="C92">
            <v>45593</v>
          </cell>
          <cell r="E92">
            <v>1.6538943717296601E-2</v>
          </cell>
        </row>
        <row r="93">
          <cell r="A93" t="str">
            <v>CAD_CDOR_1M_EOD</v>
          </cell>
          <cell r="C93">
            <v>45957</v>
          </cell>
          <cell r="E93">
            <v>1.7834897393169801E-2</v>
          </cell>
        </row>
        <row r="94">
          <cell r="A94" t="str">
            <v>CAD_CDOR_1M_EOD</v>
          </cell>
          <cell r="C94">
            <v>46687</v>
          </cell>
          <cell r="E94">
            <v>2.0187442349260201E-2</v>
          </cell>
        </row>
        <row r="95">
          <cell r="A95" t="str">
            <v>CAD_CDOR_1M_EOD</v>
          </cell>
          <cell r="C95">
            <v>47784</v>
          </cell>
          <cell r="E95">
            <v>2.2655992349453799E-2</v>
          </cell>
        </row>
        <row r="96">
          <cell r="A96" t="str">
            <v>CAD_CDOR_1M_EOD</v>
          </cell>
          <cell r="C96">
            <v>49611</v>
          </cell>
          <cell r="E96">
            <v>2.4296147117482899E-2</v>
          </cell>
        </row>
        <row r="97">
          <cell r="A97" t="str">
            <v>CAD_CDOR_1M_EOD</v>
          </cell>
          <cell r="C97">
            <v>51438</v>
          </cell>
          <cell r="E97">
            <v>2.4496301781245199E-2</v>
          </cell>
        </row>
        <row r="98">
          <cell r="A98" t="str">
            <v>CAD_CDOR_1M_EOD</v>
          </cell>
          <cell r="C98">
            <v>53262</v>
          </cell>
          <cell r="E98">
            <v>2.4626042554366699E-2</v>
          </cell>
        </row>
        <row r="99">
          <cell r="A99" t="str">
            <v>CAD_CDOR_3M_EOD</v>
          </cell>
          <cell r="C99">
            <v>42396</v>
          </cell>
          <cell r="E99">
            <v>8.1416403917111795E-3</v>
          </cell>
        </row>
        <row r="100">
          <cell r="A100" t="str">
            <v>CAD_CDOR_3M_EOD</v>
          </cell>
          <cell r="C100">
            <v>42443</v>
          </cell>
          <cell r="E100">
            <v>7.9450344730938195E-3</v>
          </cell>
        </row>
        <row r="101">
          <cell r="A101" t="str">
            <v>CAD_CDOR_3M_EOD</v>
          </cell>
          <cell r="C101">
            <v>42534</v>
          </cell>
          <cell r="E101">
            <v>7.7049427839641299E-3</v>
          </cell>
        </row>
        <row r="102">
          <cell r="A102" t="str">
            <v>CAD_CDOR_3M_EOD</v>
          </cell>
          <cell r="C102">
            <v>42632</v>
          </cell>
          <cell r="E102">
            <v>7.5190210619696003E-3</v>
          </cell>
        </row>
        <row r="103">
          <cell r="A103" t="str">
            <v>CAD_CDOR_3M_EOD</v>
          </cell>
          <cell r="C103">
            <v>42723</v>
          </cell>
          <cell r="E103">
            <v>7.4550536539605E-3</v>
          </cell>
        </row>
        <row r="104">
          <cell r="A104" t="str">
            <v>CAD_CDOR_3M_EOD</v>
          </cell>
          <cell r="C104">
            <v>43035</v>
          </cell>
          <cell r="E104">
            <v>7.7430295648046E-3</v>
          </cell>
        </row>
        <row r="105">
          <cell r="A105" t="str">
            <v>CAD_CDOR_3M_EOD</v>
          </cell>
          <cell r="C105">
            <v>43402</v>
          </cell>
          <cell r="E105">
            <v>8.5564208624871307E-3</v>
          </cell>
        </row>
        <row r="106">
          <cell r="A106" t="str">
            <v>CAD_CDOR_3M_EOD</v>
          </cell>
          <cell r="C106">
            <v>43766</v>
          </cell>
          <cell r="E106">
            <v>9.5858786746465304E-3</v>
          </cell>
        </row>
        <row r="107">
          <cell r="A107" t="str">
            <v>CAD_CDOR_3M_EOD</v>
          </cell>
          <cell r="C107">
            <v>44131</v>
          </cell>
          <cell r="E107">
            <v>1.0943374666234599E-2</v>
          </cell>
        </row>
        <row r="108">
          <cell r="A108" t="str">
            <v>CAD_CDOR_3M_EOD</v>
          </cell>
          <cell r="C108">
            <v>44496</v>
          </cell>
          <cell r="E108">
            <v>1.2517972830211201E-2</v>
          </cell>
        </row>
        <row r="109">
          <cell r="A109" t="str">
            <v>CAD_CDOR_3M_EOD</v>
          </cell>
          <cell r="C109">
            <v>44861</v>
          </cell>
          <cell r="E109">
            <v>1.41508359532073E-2</v>
          </cell>
        </row>
        <row r="110">
          <cell r="A110" t="str">
            <v>CAD_CDOR_3M_EOD</v>
          </cell>
          <cell r="C110">
            <v>45226</v>
          </cell>
          <cell r="E110">
            <v>1.5689767998260402E-2</v>
          </cell>
        </row>
        <row r="111">
          <cell r="A111" t="str">
            <v>CAD_CDOR_3M_EOD</v>
          </cell>
          <cell r="C111">
            <v>45593</v>
          </cell>
          <cell r="E111">
            <v>1.7102964068299E-2</v>
          </cell>
        </row>
        <row r="112">
          <cell r="A112" t="str">
            <v>CAD_CDOR_3M_EOD</v>
          </cell>
          <cell r="C112">
            <v>45957</v>
          </cell>
          <cell r="E112">
            <v>1.8351558043170901E-2</v>
          </cell>
        </row>
        <row r="113">
          <cell r="A113" t="str">
            <v>CAD_CDOR_3M_EOD</v>
          </cell>
          <cell r="C113">
            <v>46687</v>
          </cell>
          <cell r="E113">
            <v>2.0657891204929699E-2</v>
          </cell>
        </row>
        <row r="114">
          <cell r="A114" t="str">
            <v>CAD_CDOR_3M_EOD</v>
          </cell>
          <cell r="C114">
            <v>47784</v>
          </cell>
          <cell r="E114">
            <v>2.3060131062712801E-2</v>
          </cell>
        </row>
        <row r="115">
          <cell r="A115" t="str">
            <v>CAD_CDOR_3M_EOD</v>
          </cell>
          <cell r="C115">
            <v>49611</v>
          </cell>
          <cell r="E115">
            <v>2.46028682173676E-2</v>
          </cell>
        </row>
        <row r="116">
          <cell r="A116" t="str">
            <v>CAD_CDOR_3M_EOD</v>
          </cell>
          <cell r="C116">
            <v>51438</v>
          </cell>
          <cell r="E116">
            <v>2.47876171140172E-2</v>
          </cell>
        </row>
        <row r="117">
          <cell r="A117" t="str">
            <v>CAD_CDOR_3M_EOD</v>
          </cell>
          <cell r="C117">
            <v>53262</v>
          </cell>
          <cell r="E117">
            <v>2.4770240454394101E-2</v>
          </cell>
        </row>
        <row r="118">
          <cell r="A118" t="str">
            <v>CAD_CDOR_EOD</v>
          </cell>
          <cell r="C118">
            <v>42305</v>
          </cell>
          <cell r="E118">
            <v>5.0969644121259096E-3</v>
          </cell>
        </row>
        <row r="119">
          <cell r="A119" t="str">
            <v>CAD_CDOR_EOD</v>
          </cell>
          <cell r="C119">
            <v>42311</v>
          </cell>
          <cell r="E119">
            <v>5.7072876435034304E-3</v>
          </cell>
        </row>
        <row r="120">
          <cell r="A120" t="str">
            <v>CAD_CDOR_EOD</v>
          </cell>
          <cell r="C120">
            <v>42335</v>
          </cell>
          <cell r="E120">
            <v>8.1471806194541099E-3</v>
          </cell>
        </row>
        <row r="121">
          <cell r="A121" t="str">
            <v>CAD_CDOR_EOD</v>
          </cell>
          <cell r="C121">
            <v>42443</v>
          </cell>
          <cell r="E121">
            <v>7.9354380575669906E-3</v>
          </cell>
        </row>
        <row r="122">
          <cell r="A122" t="str">
            <v>CAD_CDOR_EOD</v>
          </cell>
          <cell r="C122">
            <v>42534</v>
          </cell>
          <cell r="E122">
            <v>7.6991432111032003E-3</v>
          </cell>
        </row>
        <row r="123">
          <cell r="A123" t="str">
            <v>CAD_CDOR_EOD</v>
          </cell>
          <cell r="C123">
            <v>42632</v>
          </cell>
          <cell r="E123">
            <v>7.5149542883195001E-3</v>
          </cell>
        </row>
        <row r="124">
          <cell r="A124" t="str">
            <v>CAD_CDOR_EOD</v>
          </cell>
          <cell r="C124">
            <v>42723</v>
          </cell>
          <cell r="E124">
            <v>7.4518701175450199E-3</v>
          </cell>
        </row>
        <row r="125">
          <cell r="A125" t="str">
            <v>CAD_CDOR_EOD</v>
          </cell>
          <cell r="C125">
            <v>43035</v>
          </cell>
          <cell r="E125">
            <v>7.7433857967484703E-3</v>
          </cell>
        </row>
        <row r="126">
          <cell r="A126" t="str">
            <v>CAD_CDOR_EOD</v>
          </cell>
          <cell r="C126">
            <v>43402</v>
          </cell>
          <cell r="E126">
            <v>8.5595823034345792E-3</v>
          </cell>
        </row>
        <row r="127">
          <cell r="A127" t="str">
            <v>CAD_CDOR_EOD</v>
          </cell>
          <cell r="C127">
            <v>43766</v>
          </cell>
          <cell r="E127">
            <v>9.5939163324851792E-3</v>
          </cell>
        </row>
        <row r="128">
          <cell r="A128" t="str">
            <v>CAD_CDOR_EOD</v>
          </cell>
          <cell r="C128">
            <v>44131</v>
          </cell>
          <cell r="E128">
            <v>1.09578469544158E-2</v>
          </cell>
        </row>
        <row r="129">
          <cell r="A129" t="str">
            <v>CAD_CDOR_EOD</v>
          </cell>
          <cell r="C129">
            <v>44496</v>
          </cell>
          <cell r="E129">
            <v>1.25413026456041E-2</v>
          </cell>
        </row>
        <row r="130">
          <cell r="A130" t="str">
            <v>CAD_CDOR_EOD</v>
          </cell>
          <cell r="C130">
            <v>44861</v>
          </cell>
          <cell r="E130">
            <v>1.41851344763775E-2</v>
          </cell>
        </row>
        <row r="131">
          <cell r="A131" t="str">
            <v>CAD_CDOR_EOD</v>
          </cell>
          <cell r="C131">
            <v>45226</v>
          </cell>
          <cell r="E131">
            <v>1.5736919931487101E-2</v>
          </cell>
        </row>
        <row r="132">
          <cell r="A132" t="str">
            <v>CAD_CDOR_EOD</v>
          </cell>
          <cell r="C132">
            <v>45593</v>
          </cell>
          <cell r="E132">
            <v>1.7163098032917101E-2</v>
          </cell>
        </row>
        <row r="133">
          <cell r="A133" t="str">
            <v>CAD_CDOR_EOD</v>
          </cell>
          <cell r="C133">
            <v>45957</v>
          </cell>
          <cell r="E133">
            <v>1.8422928336698501E-2</v>
          </cell>
        </row>
        <row r="134">
          <cell r="A134" t="str">
            <v>CAD_CDOR_EOD</v>
          </cell>
          <cell r="C134">
            <v>46687</v>
          </cell>
          <cell r="E134">
            <v>2.0752830786979998E-2</v>
          </cell>
        </row>
        <row r="135">
          <cell r="A135" t="str">
            <v>CAD_CDOR_EOD</v>
          </cell>
          <cell r="C135">
            <v>47784</v>
          </cell>
          <cell r="E135">
            <v>2.31817507191691E-2</v>
          </cell>
        </row>
        <row r="136">
          <cell r="A136" t="str">
            <v>CAD_CDOR_EOD</v>
          </cell>
          <cell r="C136">
            <v>49611</v>
          </cell>
          <cell r="E136">
            <v>2.47366258823838E-2</v>
          </cell>
        </row>
        <row r="137">
          <cell r="A137" t="str">
            <v>CAD_CDOR_EOD</v>
          </cell>
          <cell r="C137">
            <v>51438</v>
          </cell>
          <cell r="E137">
            <v>2.4907055762241101E-2</v>
          </cell>
        </row>
        <row r="138">
          <cell r="A138" t="str">
            <v>CAD_CDOR_EOD</v>
          </cell>
          <cell r="C138">
            <v>53262</v>
          </cell>
          <cell r="E138">
            <v>2.4874782148656301E-2</v>
          </cell>
        </row>
        <row r="139">
          <cell r="A139" t="str">
            <v>CAD_CORRA_EOD</v>
          </cell>
          <cell r="C139">
            <v>42305</v>
          </cell>
          <cell r="E139">
            <v>5.0969644121259096E-3</v>
          </cell>
        </row>
        <row r="140">
          <cell r="A140" t="str">
            <v>CAD_CORRA_EOD</v>
          </cell>
          <cell r="C140">
            <v>42312</v>
          </cell>
          <cell r="E140">
            <v>5.0119108046497197E-3</v>
          </cell>
        </row>
        <row r="141">
          <cell r="A141" t="str">
            <v>CAD_CORRA_EOD</v>
          </cell>
          <cell r="C141">
            <v>42338</v>
          </cell>
          <cell r="E141">
            <v>5.0017553272718902E-3</v>
          </cell>
        </row>
        <row r="142">
          <cell r="A142" t="str">
            <v>CAD_CORRA_EOD</v>
          </cell>
          <cell r="C142">
            <v>42367</v>
          </cell>
          <cell r="E142">
            <v>4.9437305720921197E-3</v>
          </cell>
        </row>
        <row r="143">
          <cell r="A143" t="str">
            <v>CAD_CORRA_EOD</v>
          </cell>
          <cell r="C143">
            <v>42397</v>
          </cell>
          <cell r="E143">
            <v>4.8991269782529701E-3</v>
          </cell>
        </row>
        <row r="144">
          <cell r="A144" t="str">
            <v>CAD_CORRA_EOD</v>
          </cell>
          <cell r="C144">
            <v>42429</v>
          </cell>
          <cell r="E144">
            <v>4.8331608650830802E-3</v>
          </cell>
        </row>
        <row r="145">
          <cell r="A145" t="str">
            <v>CAD_CORRA_EOD</v>
          </cell>
          <cell r="C145">
            <v>42457</v>
          </cell>
          <cell r="E145">
            <v>4.7823089920883896E-3</v>
          </cell>
        </row>
        <row r="146">
          <cell r="A146" t="str">
            <v>CAD_CORRA_EOD</v>
          </cell>
          <cell r="C146">
            <v>42488</v>
          </cell>
          <cell r="E146">
            <v>4.7131955704434996E-3</v>
          </cell>
        </row>
        <row r="147">
          <cell r="A147" t="str">
            <v>CAD_CORRA_EOD</v>
          </cell>
          <cell r="C147">
            <v>42520</v>
          </cell>
          <cell r="E147">
            <v>4.6407787783711496E-3</v>
          </cell>
        </row>
        <row r="148">
          <cell r="A148" t="str">
            <v>CAD_CORRA_EOD</v>
          </cell>
          <cell r="C148">
            <v>42549</v>
          </cell>
          <cell r="E148">
            <v>4.5801059904746599E-3</v>
          </cell>
        </row>
        <row r="149">
          <cell r="A149" t="str">
            <v>CAD_CORRA_EOD</v>
          </cell>
          <cell r="C149">
            <v>42579</v>
          </cell>
          <cell r="E149">
            <v>4.5343345178855401E-3</v>
          </cell>
        </row>
        <row r="150">
          <cell r="A150" t="str">
            <v>CAD_CORRA_EOD</v>
          </cell>
          <cell r="C150">
            <v>42611</v>
          </cell>
          <cell r="E150">
            <v>4.49846999400157E-3</v>
          </cell>
        </row>
        <row r="151">
          <cell r="A151" t="str">
            <v>CAD_CORRA_EOD</v>
          </cell>
          <cell r="C151">
            <v>42641</v>
          </cell>
          <cell r="E151">
            <v>4.4726455292302099E-3</v>
          </cell>
        </row>
        <row r="152">
          <cell r="A152" t="str">
            <v>CAD_CORRA_EOD</v>
          </cell>
          <cell r="C152">
            <v>42671</v>
          </cell>
          <cell r="E152">
            <v>4.4468550903860697E-3</v>
          </cell>
        </row>
        <row r="153">
          <cell r="A153" t="str">
            <v>CAD_CORRA_EOD</v>
          </cell>
          <cell r="C153">
            <v>42853</v>
          </cell>
          <cell r="E153">
            <v>4.5006706934807399E-3</v>
          </cell>
        </row>
        <row r="154">
          <cell r="A154" t="str">
            <v>CAD_CORRA_EOD</v>
          </cell>
          <cell r="C154">
            <v>43038</v>
          </cell>
          <cell r="E154">
            <v>4.7656342421137504E-3</v>
          </cell>
        </row>
        <row r="155">
          <cell r="A155" t="str">
            <v>CAD_CORRA_EOD</v>
          </cell>
          <cell r="C155">
            <v>43402</v>
          </cell>
          <cell r="E155">
            <v>5.7009386828188301E-3</v>
          </cell>
        </row>
        <row r="156">
          <cell r="A156" t="str">
            <v>CAD_CORRA_EOD</v>
          </cell>
          <cell r="C156">
            <v>43766</v>
          </cell>
          <cell r="E156">
            <v>6.7447402691348203E-3</v>
          </cell>
        </row>
        <row r="157">
          <cell r="A157" t="str">
            <v>CAD_CORRA_EOD</v>
          </cell>
          <cell r="C157">
            <v>44132</v>
          </cell>
          <cell r="E157">
            <v>8.0991094140517098E-3</v>
          </cell>
        </row>
        <row r="158">
          <cell r="A158" t="str">
            <v>CAD_CORRA_EOD</v>
          </cell>
          <cell r="C158">
            <v>44862</v>
          </cell>
          <cell r="E158">
            <v>1.1330694860856199E-2</v>
          </cell>
        </row>
        <row r="159">
          <cell r="A159" t="str">
            <v>CAD_CORRA_EOD</v>
          </cell>
          <cell r="C159">
            <v>45958</v>
          </cell>
          <cell r="E159">
            <v>1.55555996586511E-2</v>
          </cell>
        </row>
        <row r="160">
          <cell r="A160" t="str">
            <v>CAD_CORRA_EOD</v>
          </cell>
          <cell r="C160">
            <v>46688</v>
          </cell>
          <cell r="E160">
            <v>1.7891473139507699E-2</v>
          </cell>
        </row>
        <row r="161">
          <cell r="A161" t="str">
            <v>CAD_CORRA_EOD</v>
          </cell>
          <cell r="C161">
            <v>47784</v>
          </cell>
          <cell r="E161">
            <v>2.0308800898406799E-2</v>
          </cell>
        </row>
        <row r="162">
          <cell r="A162" t="str">
            <v>CAD_CORRA_EOD</v>
          </cell>
          <cell r="C162">
            <v>49611</v>
          </cell>
          <cell r="E162">
            <v>2.1867176203180801E-2</v>
          </cell>
        </row>
        <row r="163">
          <cell r="A163" t="str">
            <v>CAD_CORRA_EOD</v>
          </cell>
          <cell r="C163">
            <v>53265</v>
          </cell>
          <cell r="E163">
            <v>2.2068990343085401E-2</v>
          </cell>
        </row>
        <row r="164">
          <cell r="A164" t="str">
            <v>CHF_LIBOR_12M_EOD</v>
          </cell>
          <cell r="C164">
            <v>42674</v>
          </cell>
          <cell r="E164">
            <v>-6.1122670322967098E-3</v>
          </cell>
        </row>
        <row r="165">
          <cell r="A165" t="str">
            <v>CHF_LIBOR_12M_EOD</v>
          </cell>
          <cell r="C165">
            <v>43038</v>
          </cell>
          <cell r="E165">
            <v>-6.79198089234344E-3</v>
          </cell>
        </row>
        <row r="166">
          <cell r="A166" t="str">
            <v>CHF_LIBOR_12M_EOD</v>
          </cell>
          <cell r="C166">
            <v>43402</v>
          </cell>
          <cell r="E166">
            <v>-6.4370553981485503E-3</v>
          </cell>
        </row>
        <row r="167">
          <cell r="A167" t="str">
            <v>CHF_LIBOR_12M_EOD</v>
          </cell>
          <cell r="C167">
            <v>43767</v>
          </cell>
          <cell r="E167">
            <v>-5.5383453431954001E-3</v>
          </cell>
        </row>
        <row r="168">
          <cell r="A168" t="str">
            <v>CHF_LIBOR_12M_EOD</v>
          </cell>
          <cell r="C168">
            <v>44133</v>
          </cell>
          <cell r="E168">
            <v>-4.38067703610104E-3</v>
          </cell>
        </row>
        <row r="169">
          <cell r="A169" t="str">
            <v>CHF_LIBOR_12M_EOD</v>
          </cell>
          <cell r="C169">
            <v>44498</v>
          </cell>
          <cell r="E169">
            <v>-2.9679440358465802E-3</v>
          </cell>
        </row>
        <row r="170">
          <cell r="A170" t="str">
            <v>CHF_LIBOR_12M_EOD</v>
          </cell>
          <cell r="C170">
            <v>44865</v>
          </cell>
          <cell r="E170">
            <v>-1.62740360966357E-3</v>
          </cell>
        </row>
        <row r="171">
          <cell r="A171" t="str">
            <v>CHF_LIBOR_12M_EOD</v>
          </cell>
          <cell r="C171">
            <v>45229</v>
          </cell>
          <cell r="E171">
            <v>-4.0919124018058001E-4</v>
          </cell>
        </row>
        <row r="172">
          <cell r="A172" t="str">
            <v>CHF_LIBOR_12M_EOD</v>
          </cell>
          <cell r="C172">
            <v>45594</v>
          </cell>
          <cell r="E172">
            <v>6.7475906922090996E-4</v>
          </cell>
        </row>
        <row r="173">
          <cell r="A173" t="str">
            <v>CHF_LIBOR_12M_EOD</v>
          </cell>
          <cell r="C173">
            <v>45959</v>
          </cell>
          <cell r="E173">
            <v>1.57187451641001E-3</v>
          </cell>
        </row>
        <row r="174">
          <cell r="A174" t="str">
            <v>CHF_LIBOR_12M_EOD</v>
          </cell>
          <cell r="C174">
            <v>46689</v>
          </cell>
          <cell r="E174">
            <v>3.12336447533365E-3</v>
          </cell>
        </row>
        <row r="175">
          <cell r="A175" t="str">
            <v>CHF_LIBOR_12M_EOD</v>
          </cell>
          <cell r="C175">
            <v>47785</v>
          </cell>
          <cell r="E175">
            <v>4.8259748131693403E-3</v>
          </cell>
        </row>
        <row r="176">
          <cell r="A176" t="str">
            <v>CHF_LIBOR_12M_EOD</v>
          </cell>
          <cell r="C176">
            <v>49611</v>
          </cell>
          <cell r="E176">
            <v>6.7644490288532901E-3</v>
          </cell>
        </row>
        <row r="177">
          <cell r="A177" t="str">
            <v>CHF_LIBOR_12M_EOD</v>
          </cell>
          <cell r="C177">
            <v>51438</v>
          </cell>
          <cell r="E177">
            <v>7.8436080249170495E-3</v>
          </cell>
        </row>
        <row r="178">
          <cell r="A178" t="str">
            <v>CHF_LIBOR_12M_EOD</v>
          </cell>
          <cell r="C178">
            <v>53265</v>
          </cell>
          <cell r="E178">
            <v>8.2718098315550798E-3</v>
          </cell>
        </row>
        <row r="179">
          <cell r="A179" t="str">
            <v>CHF_LIBOR_12M_EOD</v>
          </cell>
          <cell r="C179">
            <v>56916</v>
          </cell>
          <cell r="E179">
            <v>9.1287969235707596E-3</v>
          </cell>
        </row>
        <row r="180">
          <cell r="A180" t="str">
            <v>CHF_LIBOR_3M_EOD</v>
          </cell>
          <cell r="C180">
            <v>42398</v>
          </cell>
          <cell r="E180">
            <v>-7.41845919025114E-3</v>
          </cell>
        </row>
        <row r="181">
          <cell r="A181" t="str">
            <v>CHF_LIBOR_3M_EOD</v>
          </cell>
          <cell r="C181">
            <v>42445</v>
          </cell>
          <cell r="E181">
            <v>-8.19996216788383E-3</v>
          </cell>
        </row>
        <row r="182">
          <cell r="A182" t="str">
            <v>CHF_LIBOR_3M_EOD</v>
          </cell>
          <cell r="C182">
            <v>42536</v>
          </cell>
          <cell r="E182">
            <v>-8.7283664802440004E-3</v>
          </cell>
        </row>
        <row r="183">
          <cell r="A183" t="str">
            <v>CHF_LIBOR_3M_EOD</v>
          </cell>
          <cell r="C183">
            <v>42634</v>
          </cell>
          <cell r="E183">
            <v>-9.1245388924817202E-3</v>
          </cell>
        </row>
        <row r="184">
          <cell r="A184" t="str">
            <v>CHF_LIBOR_3M_EOD</v>
          </cell>
          <cell r="C184">
            <v>42725</v>
          </cell>
          <cell r="E184">
            <v>-9.3509614347730297E-3</v>
          </cell>
        </row>
        <row r="185">
          <cell r="A185" t="str">
            <v>CHF_LIBOR_3M_EOD</v>
          </cell>
          <cell r="C185">
            <v>43038</v>
          </cell>
          <cell r="E185">
            <v>-9.4834695282853404E-3</v>
          </cell>
        </row>
        <row r="186">
          <cell r="A186" t="str">
            <v>CHF_LIBOR_3M_EOD</v>
          </cell>
          <cell r="C186">
            <v>43402</v>
          </cell>
          <cell r="E186">
            <v>-9.1282934026140298E-3</v>
          </cell>
        </row>
        <row r="187">
          <cell r="A187" t="str">
            <v>CHF_LIBOR_3M_EOD</v>
          </cell>
          <cell r="C187">
            <v>43767</v>
          </cell>
          <cell r="E187">
            <v>-8.2532177786156808E-3</v>
          </cell>
        </row>
        <row r="188">
          <cell r="A188" t="str">
            <v>CHF_LIBOR_3M_EOD</v>
          </cell>
          <cell r="C188">
            <v>44133</v>
          </cell>
          <cell r="E188">
            <v>-7.1165553216022102E-3</v>
          </cell>
        </row>
        <row r="189">
          <cell r="A189" t="str">
            <v>CHF_LIBOR_3M_EOD</v>
          </cell>
          <cell r="C189">
            <v>44498</v>
          </cell>
          <cell r="E189">
            <v>-5.70074249892064E-3</v>
          </cell>
        </row>
        <row r="190">
          <cell r="A190" t="str">
            <v>CHF_LIBOR_3M_EOD</v>
          </cell>
          <cell r="C190">
            <v>44865</v>
          </cell>
          <cell r="E190">
            <v>-4.3322806095226398E-3</v>
          </cell>
        </row>
        <row r="191">
          <cell r="A191" t="str">
            <v>CHF_LIBOR_3M_EOD</v>
          </cell>
          <cell r="C191">
            <v>45229</v>
          </cell>
          <cell r="E191">
            <v>-3.0865222744313799E-3</v>
          </cell>
        </row>
        <row r="192">
          <cell r="A192" t="str">
            <v>CHF_LIBOR_3M_EOD</v>
          </cell>
          <cell r="C192">
            <v>45594</v>
          </cell>
          <cell r="E192">
            <v>-1.9742381229155702E-3</v>
          </cell>
        </row>
        <row r="193">
          <cell r="A193" t="str">
            <v>CHF_LIBOR_3M_EOD</v>
          </cell>
          <cell r="C193">
            <v>45959</v>
          </cell>
          <cell r="E193">
            <v>-1.02470085915394E-3</v>
          </cell>
        </row>
        <row r="194">
          <cell r="A194" t="str">
            <v>CHF_LIBOR_3M_EOD</v>
          </cell>
          <cell r="C194">
            <v>46689</v>
          </cell>
          <cell r="E194">
            <v>6.3176296284844996E-4</v>
          </cell>
        </row>
        <row r="195">
          <cell r="A195" t="str">
            <v>CHF_LIBOR_3M_EOD</v>
          </cell>
          <cell r="C195">
            <v>47785</v>
          </cell>
          <cell r="E195">
            <v>2.5443725860251599E-3</v>
          </cell>
        </row>
        <row r="196">
          <cell r="A196" t="str">
            <v>CHF_LIBOR_3M_EOD</v>
          </cell>
          <cell r="C196">
            <v>49611</v>
          </cell>
          <cell r="E196">
            <v>4.6949472471435197E-3</v>
          </cell>
        </row>
        <row r="197">
          <cell r="A197" t="str">
            <v>CHF_LIBOR_3M_EOD</v>
          </cell>
          <cell r="C197">
            <v>51438</v>
          </cell>
          <cell r="E197">
            <v>5.90833543524943E-3</v>
          </cell>
        </row>
        <row r="198">
          <cell r="A198" t="str">
            <v>CHF_LIBOR_3M_EOD</v>
          </cell>
          <cell r="C198">
            <v>53265</v>
          </cell>
          <cell r="E198">
            <v>6.4449112419081101E-3</v>
          </cell>
        </row>
        <row r="199">
          <cell r="A199" t="str">
            <v>CHF_LIBOR_3M_EOD</v>
          </cell>
          <cell r="C199">
            <v>56916</v>
          </cell>
          <cell r="E199">
            <v>6.3925515806470701E-3</v>
          </cell>
        </row>
        <row r="200">
          <cell r="A200" t="str">
            <v>CHF_LIBOR_6M_EOD</v>
          </cell>
          <cell r="C200">
            <v>42489</v>
          </cell>
          <cell r="E200">
            <v>-7.0183056427682803E-3</v>
          </cell>
        </row>
        <row r="201">
          <cell r="A201" t="str">
            <v>CHF_LIBOR_6M_EOD</v>
          </cell>
          <cell r="C201">
            <v>42674</v>
          </cell>
          <cell r="E201">
            <v>-7.8905034475397606E-3</v>
          </cell>
        </row>
        <row r="202">
          <cell r="A202" t="str">
            <v>CHF_LIBOR_6M_EOD</v>
          </cell>
          <cell r="C202">
            <v>42853</v>
          </cell>
          <cell r="E202">
            <v>-8.1987455694035299E-3</v>
          </cell>
        </row>
        <row r="203">
          <cell r="A203" t="str">
            <v>CHF_LIBOR_6M_EOD</v>
          </cell>
          <cell r="C203">
            <v>43038</v>
          </cell>
          <cell r="E203">
            <v>-8.2759614987864705E-3</v>
          </cell>
        </row>
        <row r="204">
          <cell r="A204" t="str">
            <v>CHF_LIBOR_6M_EOD</v>
          </cell>
          <cell r="C204">
            <v>43402</v>
          </cell>
          <cell r="E204">
            <v>-7.8216861894068006E-3</v>
          </cell>
        </row>
        <row r="205">
          <cell r="A205" t="str">
            <v>CHF_LIBOR_6M_EOD</v>
          </cell>
          <cell r="C205">
            <v>43767</v>
          </cell>
          <cell r="E205">
            <v>-6.8726281203903301E-3</v>
          </cell>
        </row>
        <row r="206">
          <cell r="A206" t="str">
            <v>CHF_LIBOR_6M_EOD</v>
          </cell>
          <cell r="C206">
            <v>44133</v>
          </cell>
          <cell r="E206">
            <v>-5.6384661017060004E-3</v>
          </cell>
        </row>
        <row r="207">
          <cell r="A207" t="str">
            <v>CHF_LIBOR_6M_EOD</v>
          </cell>
          <cell r="C207">
            <v>44498</v>
          </cell>
          <cell r="E207">
            <v>-4.1988113048206004E-3</v>
          </cell>
        </row>
        <row r="208">
          <cell r="A208" t="str">
            <v>CHF_LIBOR_6M_EOD</v>
          </cell>
          <cell r="C208">
            <v>44865</v>
          </cell>
          <cell r="E208">
            <v>-2.8065646692470099E-3</v>
          </cell>
        </row>
        <row r="209">
          <cell r="A209" t="str">
            <v>CHF_LIBOR_6M_EOD</v>
          </cell>
          <cell r="C209">
            <v>45229</v>
          </cell>
          <cell r="E209">
            <v>-1.5866870152285099E-3</v>
          </cell>
        </row>
        <row r="210">
          <cell r="A210" t="str">
            <v>CHF_LIBOR_6M_EOD</v>
          </cell>
          <cell r="C210">
            <v>45594</v>
          </cell>
          <cell r="E210">
            <v>-5.0090737419796003E-4</v>
          </cell>
        </row>
        <row r="211">
          <cell r="A211" t="str">
            <v>CHF_LIBOR_6M_EOD</v>
          </cell>
          <cell r="C211">
            <v>45959</v>
          </cell>
          <cell r="E211">
            <v>4.2273789628119001E-4</v>
          </cell>
        </row>
        <row r="212">
          <cell r="A212" t="str">
            <v>CHF_LIBOR_6M_EOD</v>
          </cell>
          <cell r="C212">
            <v>46689</v>
          </cell>
          <cell r="E212">
            <v>1.9765130582959502E-3</v>
          </cell>
        </row>
        <row r="213">
          <cell r="A213" t="str">
            <v>CHF_LIBOR_6M_EOD</v>
          </cell>
          <cell r="C213">
            <v>47785</v>
          </cell>
          <cell r="E213">
            <v>3.70773984848877E-3</v>
          </cell>
        </row>
        <row r="214">
          <cell r="A214" t="str">
            <v>CHF_LIBOR_6M_EOD</v>
          </cell>
          <cell r="C214">
            <v>49611</v>
          </cell>
          <cell r="E214">
            <v>5.6483231725536999E-3</v>
          </cell>
        </row>
        <row r="215">
          <cell r="A215" t="str">
            <v>CHF_LIBOR_6M_EOD</v>
          </cell>
          <cell r="C215">
            <v>51438</v>
          </cell>
          <cell r="E215">
            <v>6.7556328584812298E-3</v>
          </cell>
        </row>
        <row r="216">
          <cell r="A216" t="str">
            <v>CHF_LIBOR_6M_EOD</v>
          </cell>
          <cell r="C216">
            <v>53265</v>
          </cell>
          <cell r="E216">
            <v>7.2117842800935297E-3</v>
          </cell>
        </row>
        <row r="217">
          <cell r="A217" t="str">
            <v>CHF_LIBOR_6M_EOD</v>
          </cell>
          <cell r="C217">
            <v>56916</v>
          </cell>
          <cell r="E217">
            <v>7.1666443479080702E-3</v>
          </cell>
        </row>
        <row r="218">
          <cell r="A218" t="str">
            <v>CHF_LIBOR_EOD</v>
          </cell>
          <cell r="C218">
            <v>42305</v>
          </cell>
          <cell r="E218">
            <v>-7.8475843618369696E-3</v>
          </cell>
        </row>
        <row r="219">
          <cell r="A219" t="str">
            <v>CHF_LIBOR_EOD</v>
          </cell>
          <cell r="C219">
            <v>42306</v>
          </cell>
          <cell r="E219">
            <v>-7.8475843618420905E-3</v>
          </cell>
        </row>
        <row r="220">
          <cell r="A220" t="str">
            <v>CHF_LIBOR_EOD</v>
          </cell>
          <cell r="C220">
            <v>42313</v>
          </cell>
          <cell r="E220">
            <v>-8.02149222921901E-3</v>
          </cell>
        </row>
        <row r="221">
          <cell r="A221" t="str">
            <v>CHF_LIBOR_EOD</v>
          </cell>
          <cell r="C221">
            <v>42338</v>
          </cell>
          <cell r="E221">
            <v>-7.8500468719463895E-3</v>
          </cell>
        </row>
        <row r="222">
          <cell r="A222" t="str">
            <v>CHF_LIBOR_EOD</v>
          </cell>
          <cell r="C222">
            <v>42445</v>
          </cell>
          <cell r="E222">
            <v>-8.3811707024837902E-3</v>
          </cell>
        </row>
        <row r="223">
          <cell r="A223" t="str">
            <v>CHF_LIBOR_EOD</v>
          </cell>
          <cell r="C223">
            <v>42536</v>
          </cell>
          <cell r="E223">
            <v>-8.8384975292828908E-3</v>
          </cell>
        </row>
        <row r="224">
          <cell r="A224" t="str">
            <v>CHF_LIBOR_EOD</v>
          </cell>
          <cell r="C224">
            <v>42634</v>
          </cell>
          <cell r="E224">
            <v>-9.2019643572318899E-3</v>
          </cell>
        </row>
        <row r="225">
          <cell r="A225" t="str">
            <v>CHF_LIBOR_EOD</v>
          </cell>
          <cell r="C225">
            <v>42725</v>
          </cell>
          <cell r="E225">
            <v>-9.4116512289874298E-3</v>
          </cell>
        </row>
        <row r="226">
          <cell r="A226" t="str">
            <v>CHF_LIBOR_EOD</v>
          </cell>
          <cell r="C226">
            <v>43038</v>
          </cell>
          <cell r="E226">
            <v>-8.2837567085090602E-3</v>
          </cell>
        </row>
        <row r="227">
          <cell r="A227" t="str">
            <v>CHF_LIBOR_EOD</v>
          </cell>
          <cell r="C227">
            <v>43402</v>
          </cell>
          <cell r="E227">
            <v>-7.8245066702353899E-3</v>
          </cell>
        </row>
        <row r="228">
          <cell r="A228" t="str">
            <v>CHF_LIBOR_EOD</v>
          </cell>
          <cell r="C228">
            <v>43767</v>
          </cell>
          <cell r="E228">
            <v>-6.8726454074384598E-3</v>
          </cell>
        </row>
        <row r="229">
          <cell r="A229" t="str">
            <v>CHF_LIBOR_EOD</v>
          </cell>
          <cell r="C229">
            <v>44133</v>
          </cell>
          <cell r="E229">
            <v>-5.6344871360702996E-3</v>
          </cell>
        </row>
        <row r="230">
          <cell r="A230" t="str">
            <v>CHF_LIBOR_EOD</v>
          </cell>
          <cell r="C230">
            <v>44498</v>
          </cell>
          <cell r="E230">
            <v>-4.1895350383826004E-3</v>
          </cell>
        </row>
        <row r="231">
          <cell r="A231" t="str">
            <v>CHF_LIBOR_EOD</v>
          </cell>
          <cell r="C231">
            <v>44865</v>
          </cell>
          <cell r="E231">
            <v>-2.7913994414474701E-3</v>
          </cell>
        </row>
        <row r="232">
          <cell r="A232" t="str">
            <v>CHF_LIBOR_EOD</v>
          </cell>
          <cell r="C232">
            <v>45229</v>
          </cell>
          <cell r="E232">
            <v>-1.5658557865863799E-3</v>
          </cell>
        </row>
        <row r="233">
          <cell r="A233" t="str">
            <v>CHF_LIBOR_EOD</v>
          </cell>
          <cell r="C233">
            <v>45594</v>
          </cell>
          <cell r="E233">
            <v>-4.7450443357718999E-4</v>
          </cell>
        </row>
        <row r="234">
          <cell r="A234" t="str">
            <v>CHF_LIBOR_EOD</v>
          </cell>
          <cell r="C234">
            <v>45959</v>
          </cell>
          <cell r="E234">
            <v>4.5375672025255002E-4</v>
          </cell>
        </row>
        <row r="235">
          <cell r="A235" t="str">
            <v>CHF_LIBOR_EOD</v>
          </cell>
          <cell r="C235">
            <v>46689</v>
          </cell>
          <cell r="E235">
            <v>2.0151526017841998E-3</v>
          </cell>
        </row>
        <row r="236">
          <cell r="A236" t="str">
            <v>CHF_LIBOR_EOD</v>
          </cell>
          <cell r="C236">
            <v>47785</v>
          </cell>
          <cell r="E236">
            <v>3.7556280309554101E-3</v>
          </cell>
        </row>
        <row r="237">
          <cell r="A237" t="str">
            <v>CHF_LIBOR_EOD</v>
          </cell>
          <cell r="C237">
            <v>49611</v>
          </cell>
          <cell r="E237">
            <v>5.7044031166330004E-3</v>
          </cell>
        </row>
        <row r="238">
          <cell r="A238" t="str">
            <v>CHF_LIBOR_EOD</v>
          </cell>
          <cell r="C238">
            <v>51438</v>
          </cell>
          <cell r="E238">
            <v>6.81321118427096E-3</v>
          </cell>
        </row>
        <row r="239">
          <cell r="A239" t="str">
            <v>CHF_LIBOR_EOD</v>
          </cell>
          <cell r="C239">
            <v>53265</v>
          </cell>
          <cell r="E239">
            <v>7.2662372400987604E-3</v>
          </cell>
        </row>
        <row r="240">
          <cell r="A240" t="str">
            <v>CHF_LIBOR_EOD</v>
          </cell>
          <cell r="C240">
            <v>56916</v>
          </cell>
          <cell r="E240">
            <v>7.2071627816322897E-3</v>
          </cell>
        </row>
        <row r="241">
          <cell r="A241" t="str">
            <v>CHF_TOIS_EOD</v>
          </cell>
          <cell r="C241">
            <v>42305</v>
          </cell>
          <cell r="E241">
            <v>-5.3989982635078097E-3</v>
          </cell>
        </row>
        <row r="242">
          <cell r="A242" t="str">
            <v>CHF_TOIS_EOD</v>
          </cell>
          <cell r="C242">
            <v>42306</v>
          </cell>
          <cell r="E242">
            <v>-5.3989982634994197E-3</v>
          </cell>
        </row>
        <row r="243">
          <cell r="A243" t="str">
            <v>CHF_TOIS_EOD</v>
          </cell>
          <cell r="C243">
            <v>42338</v>
          </cell>
          <cell r="E243">
            <v>-5.5385960831657302E-3</v>
          </cell>
        </row>
        <row r="244">
          <cell r="A244" t="str">
            <v>CHF_TOIS_EOD</v>
          </cell>
          <cell r="C244">
            <v>42367</v>
          </cell>
          <cell r="E244">
            <v>-5.7698018269880897E-3</v>
          </cell>
        </row>
        <row r="245">
          <cell r="A245" t="str">
            <v>CHF_TOIS_EOD</v>
          </cell>
          <cell r="C245">
            <v>42398</v>
          </cell>
          <cell r="E245">
            <v>-6.2207648415047298E-3</v>
          </cell>
        </row>
        <row r="246">
          <cell r="A246" t="str">
            <v>CHF_TOIS_EOD</v>
          </cell>
          <cell r="C246">
            <v>42429</v>
          </cell>
          <cell r="E246">
            <v>-6.3284677382664497E-3</v>
          </cell>
        </row>
        <row r="247">
          <cell r="A247" t="str">
            <v>CHF_TOIS_EOD</v>
          </cell>
          <cell r="C247">
            <v>42458</v>
          </cell>
          <cell r="E247">
            <v>-6.5804039422370899E-3</v>
          </cell>
        </row>
        <row r="248">
          <cell r="A248" t="str">
            <v>CHF_TOIS_EOD</v>
          </cell>
          <cell r="C248">
            <v>42489</v>
          </cell>
          <cell r="E248">
            <v>-6.8263537039247799E-3</v>
          </cell>
        </row>
        <row r="249">
          <cell r="A249" t="str">
            <v>CHF_TOIS_EOD</v>
          </cell>
          <cell r="C249">
            <v>42520</v>
          </cell>
          <cell r="E249">
            <v>-6.89444045243364E-3</v>
          </cell>
        </row>
        <row r="250">
          <cell r="A250" t="str">
            <v>CHF_TOIS_EOD</v>
          </cell>
          <cell r="C250">
            <v>42550</v>
          </cell>
          <cell r="E250">
            <v>-7.0496467068709E-3</v>
          </cell>
        </row>
        <row r="251">
          <cell r="A251" t="str">
            <v>CHF_TOIS_EOD</v>
          </cell>
          <cell r="C251">
            <v>42580</v>
          </cell>
          <cell r="E251">
            <v>-7.2488041126227004E-3</v>
          </cell>
        </row>
        <row r="252">
          <cell r="A252" t="str">
            <v>CHF_TOIS_EOD</v>
          </cell>
          <cell r="C252">
            <v>42611</v>
          </cell>
          <cell r="E252">
            <v>-7.40779834741318E-3</v>
          </cell>
        </row>
        <row r="253">
          <cell r="A253" t="str">
            <v>CHF_TOIS_EOD</v>
          </cell>
          <cell r="C253">
            <v>42642</v>
          </cell>
          <cell r="E253">
            <v>-7.4147197279842104E-3</v>
          </cell>
        </row>
        <row r="254">
          <cell r="A254" t="str">
            <v>CHF_TOIS_EOD</v>
          </cell>
          <cell r="C254">
            <v>42674</v>
          </cell>
          <cell r="E254">
            <v>-7.999486193933E-3</v>
          </cell>
        </row>
        <row r="255">
          <cell r="A255" t="str">
            <v>CHF_TOIS_EOD</v>
          </cell>
          <cell r="C255">
            <v>42765</v>
          </cell>
          <cell r="E255">
            <v>-7.7711468439664901E-3</v>
          </cell>
        </row>
        <row r="256">
          <cell r="A256" t="str">
            <v>CHF_TOIS_EOD</v>
          </cell>
          <cell r="C256">
            <v>42853</v>
          </cell>
          <cell r="E256">
            <v>-7.9237878964107701E-3</v>
          </cell>
        </row>
        <row r="257">
          <cell r="A257" t="str">
            <v>CHF_TOIS_EOD</v>
          </cell>
          <cell r="C257">
            <v>42947</v>
          </cell>
          <cell r="E257">
            <v>-7.8507833224222608E-3</v>
          </cell>
        </row>
        <row r="258">
          <cell r="A258" t="str">
            <v>CHF_TOIS_EOD</v>
          </cell>
          <cell r="C258">
            <v>43038</v>
          </cell>
          <cell r="E258">
            <v>-8.0347444996605698E-3</v>
          </cell>
        </row>
        <row r="259">
          <cell r="A259" t="str">
            <v>CHF_TOIS_EOD</v>
          </cell>
          <cell r="C259">
            <v>43402</v>
          </cell>
          <cell r="E259">
            <v>-7.8852960364918998E-3</v>
          </cell>
        </row>
        <row r="260">
          <cell r="A260" t="str">
            <v>CHF_TOIS_EOD</v>
          </cell>
          <cell r="C260">
            <v>43767</v>
          </cell>
          <cell r="E260">
            <v>-7.30582810153395E-3</v>
          </cell>
        </row>
        <row r="261">
          <cell r="A261" t="str">
            <v>CHF_TOIS_EOD</v>
          </cell>
          <cell r="C261">
            <v>44133</v>
          </cell>
          <cell r="E261">
            <v>-6.4233031687659196E-3</v>
          </cell>
        </row>
        <row r="262">
          <cell r="A262" t="str">
            <v>CHF_TOIS_EOD</v>
          </cell>
          <cell r="C262">
            <v>44498</v>
          </cell>
          <cell r="E262">
            <v>-5.1860814971476698E-3</v>
          </cell>
        </row>
        <row r="263">
          <cell r="A263" t="str">
            <v>CHF_TOIS_EOD</v>
          </cell>
          <cell r="C263">
            <v>44865</v>
          </cell>
          <cell r="E263">
            <v>-3.9445624518059698E-3</v>
          </cell>
        </row>
        <row r="264">
          <cell r="A264" t="str">
            <v>CHF_TOIS_EOD</v>
          </cell>
          <cell r="C264">
            <v>45229</v>
          </cell>
          <cell r="E264">
            <v>-2.8251245215347898E-3</v>
          </cell>
        </row>
        <row r="265">
          <cell r="A265" t="str">
            <v>CHF_TOIS_EOD</v>
          </cell>
          <cell r="C265">
            <v>45594</v>
          </cell>
          <cell r="E265">
            <v>-1.80311611966669E-3</v>
          </cell>
        </row>
        <row r="266">
          <cell r="A266" t="str">
            <v>CHF_TOIS_EOD</v>
          </cell>
          <cell r="C266">
            <v>45959</v>
          </cell>
          <cell r="E266">
            <v>-9.0492132844474996E-4</v>
          </cell>
        </row>
        <row r="267">
          <cell r="A267" t="str">
            <v>CHF_TOIS_EOD</v>
          </cell>
          <cell r="C267">
            <v>46689</v>
          </cell>
          <cell r="E267">
            <v>6.7060920941669998E-4</v>
          </cell>
        </row>
        <row r="268">
          <cell r="A268" t="str">
            <v>CHF_TOIS_EOD</v>
          </cell>
          <cell r="C268">
            <v>47785</v>
          </cell>
          <cell r="E268">
            <v>2.3399314768110199E-3</v>
          </cell>
        </row>
        <row r="269">
          <cell r="A269" t="str">
            <v>CHF_TOIS_EOD</v>
          </cell>
          <cell r="C269">
            <v>49611</v>
          </cell>
          <cell r="E269">
            <v>4.4878313601120403E-3</v>
          </cell>
        </row>
        <row r="270">
          <cell r="A270" t="str">
            <v>CHF_TOIS_EOD</v>
          </cell>
          <cell r="C270">
            <v>51438</v>
          </cell>
          <cell r="E270">
            <v>5.6678305961501202E-3</v>
          </cell>
        </row>
        <row r="271">
          <cell r="A271" t="str">
            <v>CHF_TOIS_EOD</v>
          </cell>
          <cell r="C271">
            <v>53265</v>
          </cell>
          <cell r="E271">
            <v>6.1661854842791301E-3</v>
          </cell>
        </row>
        <row r="272">
          <cell r="A272" t="str">
            <v>CHF_TOIS_EOD</v>
          </cell>
          <cell r="C272">
            <v>56916</v>
          </cell>
          <cell r="E272">
            <v>6.1029506069649698E-3</v>
          </cell>
        </row>
        <row r="273">
          <cell r="A273" t="str">
            <v>CZK_PRIBOR_3M_EOD</v>
          </cell>
          <cell r="C273">
            <v>42398</v>
          </cell>
          <cell r="E273">
            <v>2.9392006106817802E-3</v>
          </cell>
        </row>
        <row r="274">
          <cell r="A274" t="str">
            <v>CZK_PRIBOR_3M_EOD</v>
          </cell>
          <cell r="C274">
            <v>42489</v>
          </cell>
          <cell r="E274">
            <v>2.6401629100961501E-3</v>
          </cell>
        </row>
        <row r="275">
          <cell r="A275" t="str">
            <v>CZK_PRIBOR_3M_EOD</v>
          </cell>
          <cell r="C275">
            <v>42580</v>
          </cell>
          <cell r="E275">
            <v>2.32564803449628E-3</v>
          </cell>
        </row>
        <row r="276">
          <cell r="A276" t="str">
            <v>CZK_PRIBOR_3M_EOD</v>
          </cell>
          <cell r="C276">
            <v>42674</v>
          </cell>
          <cell r="E276">
            <v>2.1065066293348401E-3</v>
          </cell>
        </row>
        <row r="277">
          <cell r="A277" t="str">
            <v>CZK_PRIBOR_3M_EOD</v>
          </cell>
          <cell r="C277">
            <v>43039</v>
          </cell>
          <cell r="E277">
            <v>1.5184335385104899E-3</v>
          </cell>
        </row>
        <row r="278">
          <cell r="A278" t="str">
            <v>CZK_PRIBOR_3M_EOD</v>
          </cell>
          <cell r="C278">
            <v>43404</v>
          </cell>
          <cell r="E278">
            <v>1.65529460272404E-3</v>
          </cell>
        </row>
        <row r="279">
          <cell r="A279" t="str">
            <v>CZK_PRIBOR_3M_EOD</v>
          </cell>
          <cell r="C279">
            <v>43769</v>
          </cell>
          <cell r="E279">
            <v>2.0341683726297398E-3</v>
          </cell>
        </row>
        <row r="280">
          <cell r="A280" t="str">
            <v>CZK_PRIBOR_3M_EOD</v>
          </cell>
          <cell r="C280">
            <v>44134</v>
          </cell>
          <cell r="E280">
            <v>2.5172160388601999E-3</v>
          </cell>
        </row>
        <row r="281">
          <cell r="A281" t="str">
            <v>CZK_PRIBOR_3M_EOD</v>
          </cell>
          <cell r="C281">
            <v>44498</v>
          </cell>
          <cell r="E281">
            <v>3.1299530683628601E-3</v>
          </cell>
        </row>
        <row r="282">
          <cell r="A282" t="str">
            <v>CZK_PRIBOR_3M_EOD</v>
          </cell>
          <cell r="C282">
            <v>44865</v>
          </cell>
          <cell r="E282">
            <v>3.8357959253475702E-3</v>
          </cell>
        </row>
        <row r="283">
          <cell r="A283" t="str">
            <v>CZK_PRIBOR_3M_EOD</v>
          </cell>
          <cell r="C283">
            <v>45230</v>
          </cell>
          <cell r="E283">
            <v>4.7939371890415297E-3</v>
          </cell>
        </row>
        <row r="284">
          <cell r="A284" t="str">
            <v>CZK_PRIBOR_3M_EOD</v>
          </cell>
          <cell r="C284">
            <v>45596</v>
          </cell>
          <cell r="E284">
            <v>5.7102341156640597E-3</v>
          </cell>
        </row>
        <row r="285">
          <cell r="A285" t="str">
            <v>CZK_PRIBOR_3M_EOD</v>
          </cell>
          <cell r="C285">
            <v>45961</v>
          </cell>
          <cell r="E285">
            <v>6.5895874209108496E-3</v>
          </cell>
        </row>
        <row r="286">
          <cell r="A286" t="str">
            <v>CZK_PRIBOR_3M_EOD</v>
          </cell>
          <cell r="C286">
            <v>46689</v>
          </cell>
          <cell r="E286">
            <v>8.0828548733132902E-3</v>
          </cell>
        </row>
        <row r="287">
          <cell r="A287" t="str">
            <v>CZK_PRIBOR_3M_EOD</v>
          </cell>
          <cell r="C287">
            <v>47787</v>
          </cell>
          <cell r="E287">
            <v>1.0255877837219599E-2</v>
          </cell>
        </row>
        <row r="288">
          <cell r="A288" t="str">
            <v>CZK_PRIBOR_3M_EOD</v>
          </cell>
          <cell r="C288">
            <v>49613</v>
          </cell>
          <cell r="E288">
            <v>1.19859879882269E-2</v>
          </cell>
        </row>
        <row r="289">
          <cell r="A289" t="str">
            <v>CZK_PRIBOR_3M_EOD</v>
          </cell>
          <cell r="C289">
            <v>51440</v>
          </cell>
          <cell r="E289">
            <v>1.14022795261161E-2</v>
          </cell>
        </row>
        <row r="290">
          <cell r="A290" t="str">
            <v>CZK_PRIBOR_3M_EOD</v>
          </cell>
          <cell r="C290">
            <v>53266</v>
          </cell>
          <cell r="E290">
            <v>1.1480397812689299E-2</v>
          </cell>
        </row>
        <row r="291">
          <cell r="A291" t="str">
            <v>CZK_PRIBOR_6M_EOD</v>
          </cell>
          <cell r="C291">
            <v>42489</v>
          </cell>
          <cell r="E291">
            <v>3.7478846674386698E-3</v>
          </cell>
        </row>
        <row r="292">
          <cell r="A292" t="str">
            <v>CZK_PRIBOR_6M_EOD</v>
          </cell>
          <cell r="C292">
            <v>42674</v>
          </cell>
          <cell r="E292">
            <v>2.9275704357722902E-3</v>
          </cell>
        </row>
        <row r="293">
          <cell r="A293" t="str">
            <v>CZK_PRIBOR_6M_EOD</v>
          </cell>
          <cell r="C293">
            <v>42853</v>
          </cell>
          <cell r="E293">
            <v>2.4894670591720201E-3</v>
          </cell>
        </row>
        <row r="294">
          <cell r="A294" t="str">
            <v>CZK_PRIBOR_6M_EOD</v>
          </cell>
          <cell r="C294">
            <v>43039</v>
          </cell>
          <cell r="E294">
            <v>2.35921883030818E-3</v>
          </cell>
        </row>
        <row r="295">
          <cell r="A295" t="str">
            <v>CZK_PRIBOR_6M_EOD</v>
          </cell>
          <cell r="C295">
            <v>43404</v>
          </cell>
          <cell r="E295">
            <v>2.5600167942884198E-3</v>
          </cell>
        </row>
        <row r="296">
          <cell r="A296" t="str">
            <v>CZK_PRIBOR_6M_EOD</v>
          </cell>
          <cell r="C296">
            <v>43769</v>
          </cell>
          <cell r="E296">
            <v>2.9521767178533899E-3</v>
          </cell>
        </row>
        <row r="297">
          <cell r="A297" t="str">
            <v>CZK_PRIBOR_6M_EOD</v>
          </cell>
          <cell r="C297">
            <v>44134</v>
          </cell>
          <cell r="E297">
            <v>3.4788782627958701E-3</v>
          </cell>
        </row>
        <row r="298">
          <cell r="A298" t="str">
            <v>CZK_PRIBOR_6M_EOD</v>
          </cell>
          <cell r="C298">
            <v>44498</v>
          </cell>
          <cell r="E298">
            <v>4.1285315595170598E-3</v>
          </cell>
        </row>
        <row r="299">
          <cell r="A299" t="str">
            <v>CZK_PRIBOR_6M_EOD</v>
          </cell>
          <cell r="C299">
            <v>44865</v>
          </cell>
          <cell r="E299">
            <v>4.9604330924513801E-3</v>
          </cell>
        </row>
        <row r="300">
          <cell r="A300" t="str">
            <v>CZK_PRIBOR_6M_EOD</v>
          </cell>
          <cell r="C300">
            <v>45230</v>
          </cell>
          <cell r="E300">
            <v>6.0105569890804003E-3</v>
          </cell>
        </row>
        <row r="301">
          <cell r="A301" t="str">
            <v>CZK_PRIBOR_6M_EOD</v>
          </cell>
          <cell r="C301">
            <v>45596</v>
          </cell>
          <cell r="E301">
            <v>7.0092424276156796E-3</v>
          </cell>
        </row>
        <row r="302">
          <cell r="A302" t="str">
            <v>CZK_PRIBOR_6M_EOD</v>
          </cell>
          <cell r="C302">
            <v>45961</v>
          </cell>
          <cell r="E302">
            <v>7.9364777992177102E-3</v>
          </cell>
        </row>
        <row r="303">
          <cell r="A303" t="str">
            <v>CZK_PRIBOR_6M_EOD</v>
          </cell>
          <cell r="C303">
            <v>46689</v>
          </cell>
          <cell r="E303">
            <v>9.45194030704378E-3</v>
          </cell>
        </row>
        <row r="304">
          <cell r="A304" t="str">
            <v>CZK_PRIBOR_6M_EOD</v>
          </cell>
          <cell r="C304">
            <v>47787</v>
          </cell>
          <cell r="E304">
            <v>1.1550224120517399E-2</v>
          </cell>
        </row>
        <row r="305">
          <cell r="A305" t="str">
            <v>CZK_PRIBOR_6M_EOD</v>
          </cell>
          <cell r="C305">
            <v>49613</v>
          </cell>
          <cell r="E305">
            <v>1.3159167323306801E-2</v>
          </cell>
        </row>
        <row r="306">
          <cell r="A306" t="str">
            <v>CZK_PRIBOR_6M_EOD</v>
          </cell>
          <cell r="C306">
            <v>51440</v>
          </cell>
          <cell r="E306">
            <v>1.24547852671575E-2</v>
          </cell>
        </row>
        <row r="307">
          <cell r="A307" t="str">
            <v>CZK_PRIBOR_6M_EOD</v>
          </cell>
          <cell r="C307">
            <v>53266</v>
          </cell>
          <cell r="E307">
            <v>1.2411178554340501E-2</v>
          </cell>
        </row>
        <row r="308">
          <cell r="A308" t="str">
            <v>CZK_PRIBOR_EOD</v>
          </cell>
          <cell r="C308">
            <v>42306</v>
          </cell>
          <cell r="E308">
            <v>1.3180507959464701E-3</v>
          </cell>
        </row>
        <row r="309">
          <cell r="A309" t="str">
            <v>CZK_PRIBOR_EOD</v>
          </cell>
          <cell r="C309">
            <v>42307</v>
          </cell>
          <cell r="E309">
            <v>1.31805158919939E-3</v>
          </cell>
        </row>
        <row r="310">
          <cell r="A310" t="str">
            <v>CZK_PRIBOR_EOD</v>
          </cell>
          <cell r="C310">
            <v>42314</v>
          </cell>
          <cell r="E310">
            <v>1.3890130639654401E-3</v>
          </cell>
        </row>
        <row r="311">
          <cell r="A311" t="str">
            <v>CZK_PRIBOR_EOD</v>
          </cell>
          <cell r="C311">
            <v>42338</v>
          </cell>
          <cell r="E311">
            <v>1.96499568999897E-3</v>
          </cell>
        </row>
        <row r="312">
          <cell r="A312" t="str">
            <v>CZK_PRIBOR_EOD</v>
          </cell>
          <cell r="C312">
            <v>42369</v>
          </cell>
          <cell r="E312">
            <v>2.2847089676981801E-3</v>
          </cell>
        </row>
        <row r="313">
          <cell r="A313" t="str">
            <v>CZK_PRIBOR_EOD</v>
          </cell>
          <cell r="C313">
            <v>42398</v>
          </cell>
          <cell r="E313">
            <v>2.8874618121240798E-3</v>
          </cell>
        </row>
        <row r="314">
          <cell r="A314" t="str">
            <v>CZK_PRIBOR_EOD</v>
          </cell>
          <cell r="C314">
            <v>42489</v>
          </cell>
          <cell r="E314">
            <v>2.6138740070454402E-3</v>
          </cell>
        </row>
        <row r="315">
          <cell r="A315" t="str">
            <v>CZK_PRIBOR_EOD</v>
          </cell>
          <cell r="C315">
            <v>42580</v>
          </cell>
          <cell r="E315">
            <v>2.3080268494825502E-3</v>
          </cell>
        </row>
        <row r="316">
          <cell r="A316" t="str">
            <v>CZK_PRIBOR_EOD</v>
          </cell>
          <cell r="C316">
            <v>42674</v>
          </cell>
          <cell r="E316">
            <v>2.0933621778107901E-3</v>
          </cell>
        </row>
        <row r="317">
          <cell r="A317" t="str">
            <v>CZK_PRIBOR_EOD</v>
          </cell>
          <cell r="C317">
            <v>43039</v>
          </cell>
          <cell r="E317">
            <v>2.3505811573798002E-3</v>
          </cell>
        </row>
        <row r="318">
          <cell r="A318" t="str">
            <v>CZK_PRIBOR_EOD</v>
          </cell>
          <cell r="C318">
            <v>43404</v>
          </cell>
          <cell r="E318">
            <v>2.5541514798913998E-3</v>
          </cell>
        </row>
        <row r="319">
          <cell r="A319" t="str">
            <v>CZK_PRIBOR_EOD</v>
          </cell>
          <cell r="C319">
            <v>43769</v>
          </cell>
          <cell r="E319">
            <v>2.9476348595292002E-3</v>
          </cell>
        </row>
        <row r="320">
          <cell r="A320" t="str">
            <v>CZK_PRIBOR_EOD</v>
          </cell>
          <cell r="C320">
            <v>44134</v>
          </cell>
          <cell r="E320">
            <v>3.47524241428582E-3</v>
          </cell>
        </row>
        <row r="321">
          <cell r="A321" t="str">
            <v>CZK_PRIBOR_EOD</v>
          </cell>
          <cell r="C321">
            <v>44498</v>
          </cell>
          <cell r="E321">
            <v>4.1254990120068698E-3</v>
          </cell>
        </row>
        <row r="322">
          <cell r="A322" t="str">
            <v>CZK_PRIBOR_EOD</v>
          </cell>
          <cell r="C322">
            <v>44865</v>
          </cell>
          <cell r="E322">
            <v>4.9578351931717701E-3</v>
          </cell>
        </row>
        <row r="323">
          <cell r="A323" t="str">
            <v>CZK_PRIBOR_EOD</v>
          </cell>
          <cell r="C323">
            <v>45230</v>
          </cell>
          <cell r="E323">
            <v>6.0080841515731597E-3</v>
          </cell>
        </row>
        <row r="324">
          <cell r="A324" t="str">
            <v>CZK_PRIBOR_EOD</v>
          </cell>
          <cell r="C324">
            <v>45596</v>
          </cell>
          <cell r="E324">
            <v>7.0068743225332603E-3</v>
          </cell>
        </row>
        <row r="325">
          <cell r="A325" t="str">
            <v>CZK_PRIBOR_EOD</v>
          </cell>
          <cell r="C325">
            <v>45961</v>
          </cell>
          <cell r="E325">
            <v>7.9341995261698606E-3</v>
          </cell>
        </row>
        <row r="326">
          <cell r="A326" t="str">
            <v>CZK_PRIBOR_EOD</v>
          </cell>
          <cell r="C326">
            <v>46689</v>
          </cell>
          <cell r="E326">
            <v>9.4500406006778805E-3</v>
          </cell>
        </row>
        <row r="327">
          <cell r="A327" t="str">
            <v>CZK_PRIBOR_EOD</v>
          </cell>
          <cell r="C327">
            <v>47787</v>
          </cell>
          <cell r="E327">
            <v>1.15484564365034E-2</v>
          </cell>
        </row>
        <row r="328">
          <cell r="A328" t="str">
            <v>CZK_PRIBOR_EOD</v>
          </cell>
          <cell r="C328">
            <v>49613</v>
          </cell>
          <cell r="E328">
            <v>1.3157741891568001E-2</v>
          </cell>
        </row>
        <row r="329">
          <cell r="A329" t="str">
            <v>CZK_PRIBOR_EOD</v>
          </cell>
          <cell r="C329">
            <v>51440</v>
          </cell>
          <cell r="E329">
            <v>1.2453655802275599E-2</v>
          </cell>
        </row>
        <row r="330">
          <cell r="A330" t="str">
            <v>CZK_PRIBOR_EOD</v>
          </cell>
          <cell r="C330">
            <v>53266</v>
          </cell>
          <cell r="E330">
            <v>1.2410228453920801E-2</v>
          </cell>
        </row>
        <row r="331">
          <cell r="A331" t="str">
            <v>DKK_CIBOR_3M_EOD</v>
          </cell>
          <cell r="C331">
            <v>42398</v>
          </cell>
          <cell r="E331">
            <v>-9.1260495359290995E-4</v>
          </cell>
        </row>
        <row r="332">
          <cell r="A332" t="str">
            <v>DKK_CIBOR_3M_EOD</v>
          </cell>
          <cell r="C332">
            <v>42445</v>
          </cell>
          <cell r="E332">
            <v>-7.0971632459010999E-4</v>
          </cell>
        </row>
        <row r="333">
          <cell r="A333" t="str">
            <v>DKK_CIBOR_3M_EOD</v>
          </cell>
          <cell r="C333">
            <v>42536</v>
          </cell>
          <cell r="E333">
            <v>-5.3076165017607003E-4</v>
          </cell>
        </row>
        <row r="334">
          <cell r="A334" t="str">
            <v>DKK_CIBOR_3M_EOD</v>
          </cell>
          <cell r="C334">
            <v>42634</v>
          </cell>
          <cell r="E334">
            <v>-3.7916342567629002E-4</v>
          </cell>
        </row>
        <row r="335">
          <cell r="A335" t="str">
            <v>DKK_CIBOR_3M_EOD</v>
          </cell>
          <cell r="C335">
            <v>42725</v>
          </cell>
          <cell r="E335">
            <v>-2.3365411723074E-4</v>
          </cell>
        </row>
        <row r="336">
          <cell r="A336" t="str">
            <v>DKK_CIBOR_3M_EOD</v>
          </cell>
          <cell r="C336">
            <v>42809</v>
          </cell>
          <cell r="E336">
            <v>-7.0000971237550001E-5</v>
          </cell>
        </row>
        <row r="337">
          <cell r="A337" t="str">
            <v>DKK_CIBOR_3M_EOD</v>
          </cell>
          <cell r="C337">
            <v>42907</v>
          </cell>
          <cell r="E337">
            <v>1.4401860641479001E-4</v>
          </cell>
        </row>
        <row r="338">
          <cell r="A338" t="str">
            <v>DKK_CIBOR_3M_EOD</v>
          </cell>
          <cell r="C338">
            <v>43038</v>
          </cell>
          <cell r="E338">
            <v>4.4657868128888001E-4</v>
          </cell>
        </row>
        <row r="339">
          <cell r="A339" t="str">
            <v>DKK_CIBOR_3M_EOD</v>
          </cell>
          <cell r="C339">
            <v>43402</v>
          </cell>
          <cell r="E339">
            <v>1.4477794870026901E-3</v>
          </cell>
        </row>
        <row r="340">
          <cell r="A340" t="str">
            <v>DKK_CIBOR_3M_EOD</v>
          </cell>
          <cell r="C340">
            <v>43767</v>
          </cell>
          <cell r="E340">
            <v>2.7599377365023501E-3</v>
          </cell>
        </row>
        <row r="341">
          <cell r="A341" t="str">
            <v>DKK_CIBOR_3M_EOD</v>
          </cell>
          <cell r="C341">
            <v>44133</v>
          </cell>
          <cell r="E341">
            <v>4.0725844240344297E-3</v>
          </cell>
        </row>
        <row r="342">
          <cell r="A342" t="str">
            <v>DKK_CIBOR_3M_EOD</v>
          </cell>
          <cell r="C342">
            <v>44498</v>
          </cell>
          <cell r="E342">
            <v>5.4405306413380103E-3</v>
          </cell>
        </row>
        <row r="343">
          <cell r="A343" t="str">
            <v>DKK_CIBOR_3M_EOD</v>
          </cell>
          <cell r="C343">
            <v>44865</v>
          </cell>
          <cell r="E343">
            <v>6.8738546673599004E-3</v>
          </cell>
        </row>
        <row r="344">
          <cell r="A344" t="str">
            <v>DKK_CIBOR_3M_EOD</v>
          </cell>
          <cell r="C344">
            <v>45229</v>
          </cell>
          <cell r="E344">
            <v>8.2561958684687995E-3</v>
          </cell>
        </row>
        <row r="345">
          <cell r="A345" t="str">
            <v>DKK_CIBOR_3M_EOD</v>
          </cell>
          <cell r="C345">
            <v>45594</v>
          </cell>
          <cell r="E345">
            <v>9.5326251799588407E-3</v>
          </cell>
        </row>
        <row r="346">
          <cell r="A346" t="str">
            <v>DKK_CIBOR_3M_EOD</v>
          </cell>
          <cell r="C346">
            <v>45959</v>
          </cell>
          <cell r="E346">
            <v>1.0694516710242401E-2</v>
          </cell>
        </row>
        <row r="347">
          <cell r="A347" t="str">
            <v>DKK_CIBOR_3M_EOD</v>
          </cell>
          <cell r="C347">
            <v>46689</v>
          </cell>
          <cell r="E347">
            <v>1.2827681989935599E-2</v>
          </cell>
        </row>
        <row r="348">
          <cell r="A348" t="str">
            <v>DKK_CIBOR_3M_EOD</v>
          </cell>
          <cell r="C348">
            <v>47785</v>
          </cell>
          <cell r="E348">
            <v>1.5066200787165199E-2</v>
          </cell>
        </row>
        <row r="349">
          <cell r="A349" t="str">
            <v>DKK_CIBOR_3M_EOD</v>
          </cell>
          <cell r="C349">
            <v>49611</v>
          </cell>
          <cell r="E349">
            <v>1.6978179132161798E-2</v>
          </cell>
        </row>
        <row r="350">
          <cell r="A350" t="str">
            <v>DKK_CIBOR_3M_EOD</v>
          </cell>
          <cell r="C350">
            <v>51438</v>
          </cell>
          <cell r="E350">
            <v>1.7335798858659001E-2</v>
          </cell>
        </row>
        <row r="351">
          <cell r="A351" t="str">
            <v>DKK_CIBOR_3M_EOD</v>
          </cell>
          <cell r="C351">
            <v>53265</v>
          </cell>
          <cell r="E351">
            <v>1.7453968831857399E-2</v>
          </cell>
        </row>
        <row r="352">
          <cell r="A352" t="str">
            <v>DKK_CIBOR_6M_EOD</v>
          </cell>
          <cell r="C352">
            <v>42489</v>
          </cell>
          <cell r="E352">
            <v>9.8829677459824996E-4</v>
          </cell>
        </row>
        <row r="353">
          <cell r="A353" t="str">
            <v>DKK_CIBOR_6M_EOD</v>
          </cell>
          <cell r="C353">
            <v>42674</v>
          </cell>
          <cell r="E353">
            <v>1.19533007557291E-3</v>
          </cell>
        </row>
        <row r="354">
          <cell r="A354" t="str">
            <v>DKK_CIBOR_6M_EOD</v>
          </cell>
          <cell r="C354">
            <v>43038</v>
          </cell>
          <cell r="E354">
            <v>1.9158043359558299E-3</v>
          </cell>
        </row>
        <row r="355">
          <cell r="A355" t="str">
            <v>DKK_CIBOR_6M_EOD</v>
          </cell>
          <cell r="C355">
            <v>43402</v>
          </cell>
          <cell r="E355">
            <v>2.8747465911167099E-3</v>
          </cell>
        </row>
        <row r="356">
          <cell r="A356" t="str">
            <v>DKK_CIBOR_6M_EOD</v>
          </cell>
          <cell r="C356">
            <v>43767</v>
          </cell>
          <cell r="E356">
            <v>4.1635358091879097E-3</v>
          </cell>
        </row>
        <row r="357">
          <cell r="A357" t="str">
            <v>DKK_CIBOR_6M_EOD</v>
          </cell>
          <cell r="C357">
            <v>44133</v>
          </cell>
          <cell r="E357">
            <v>5.4590926210399803E-3</v>
          </cell>
        </row>
        <row r="358">
          <cell r="A358" t="str">
            <v>DKK_CIBOR_6M_EOD</v>
          </cell>
          <cell r="C358">
            <v>44498</v>
          </cell>
          <cell r="E358">
            <v>6.7894424294963999E-3</v>
          </cell>
        </row>
        <row r="359">
          <cell r="A359" t="str">
            <v>DKK_CIBOR_6M_EOD</v>
          </cell>
          <cell r="C359">
            <v>44865</v>
          </cell>
          <cell r="E359">
            <v>8.1797664875329096E-3</v>
          </cell>
        </row>
        <row r="360">
          <cell r="A360" t="str">
            <v>DKK_CIBOR_6M_EOD</v>
          </cell>
          <cell r="C360">
            <v>45229</v>
          </cell>
          <cell r="E360">
            <v>9.5043254582297797E-3</v>
          </cell>
        </row>
        <row r="361">
          <cell r="A361" t="str">
            <v>DKK_CIBOR_6M_EOD</v>
          </cell>
          <cell r="C361">
            <v>45594</v>
          </cell>
          <cell r="E361">
            <v>1.07242162457466E-2</v>
          </cell>
        </row>
        <row r="362">
          <cell r="A362" t="str">
            <v>DKK_CIBOR_6M_EOD</v>
          </cell>
          <cell r="C362">
            <v>45959</v>
          </cell>
          <cell r="E362">
            <v>1.18296980261438E-2</v>
          </cell>
        </row>
        <row r="363">
          <cell r="A363" t="str">
            <v>DKK_CIBOR_6M_EOD</v>
          </cell>
          <cell r="C363">
            <v>46689</v>
          </cell>
          <cell r="E363">
            <v>1.3806402526841101E-2</v>
          </cell>
        </row>
        <row r="364">
          <cell r="A364" t="str">
            <v>DKK_CIBOR_6M_EOD</v>
          </cell>
          <cell r="C364">
            <v>47785</v>
          </cell>
          <cell r="E364">
            <v>1.5853513012885099E-2</v>
          </cell>
        </row>
        <row r="365">
          <cell r="A365" t="str">
            <v>DKK_CIBOR_6M_EOD</v>
          </cell>
          <cell r="C365">
            <v>49611</v>
          </cell>
          <cell r="E365">
            <v>1.7567766701242701E-2</v>
          </cell>
        </row>
        <row r="366">
          <cell r="A366" t="str">
            <v>DKK_CIBOR_6M_EOD</v>
          </cell>
          <cell r="C366">
            <v>51438</v>
          </cell>
          <cell r="E366">
            <v>1.7805365142824599E-2</v>
          </cell>
        </row>
        <row r="367">
          <cell r="A367" t="str">
            <v>DKK_CIBOR_6M_EOD</v>
          </cell>
          <cell r="C367">
            <v>53265</v>
          </cell>
          <cell r="E367">
            <v>1.7844240404021099E-2</v>
          </cell>
        </row>
        <row r="368">
          <cell r="A368" t="str">
            <v>DKK_CIBOR_EOD</v>
          </cell>
          <cell r="C368">
            <v>42305</v>
          </cell>
          <cell r="E368">
            <v>4.1366643228114001E-4</v>
          </cell>
        </row>
        <row r="369">
          <cell r="A369" t="str">
            <v>DKK_CIBOR_EOD</v>
          </cell>
          <cell r="C369">
            <v>42306</v>
          </cell>
          <cell r="E369">
            <v>4.4763166839022E-4</v>
          </cell>
        </row>
        <row r="370">
          <cell r="A370" t="str">
            <v>DKK_CIBOR_EOD</v>
          </cell>
          <cell r="C370">
            <v>42313</v>
          </cell>
          <cell r="E370">
            <v>-2.7000827971579299E-3</v>
          </cell>
        </row>
        <row r="371">
          <cell r="A371" t="str">
            <v>DKK_CIBOR_EOD</v>
          </cell>
          <cell r="C371">
            <v>42338</v>
          </cell>
          <cell r="E371">
            <v>-2.2641091261522499E-3</v>
          </cell>
        </row>
        <row r="372">
          <cell r="A372" t="str">
            <v>DKK_CIBOR_EOD</v>
          </cell>
          <cell r="C372">
            <v>42445</v>
          </cell>
          <cell r="E372">
            <v>-1.1287709254116901E-3</v>
          </cell>
        </row>
        <row r="373">
          <cell r="A373" t="str">
            <v>DKK_CIBOR_EOD</v>
          </cell>
          <cell r="C373">
            <v>42536</v>
          </cell>
          <cell r="E373">
            <v>-7.8544569636506995E-4</v>
          </cell>
        </row>
        <row r="374">
          <cell r="A374" t="str">
            <v>DKK_CIBOR_EOD</v>
          </cell>
          <cell r="C374">
            <v>42634</v>
          </cell>
          <cell r="E374">
            <v>-5.5821402784412004E-4</v>
          </cell>
        </row>
        <row r="375">
          <cell r="A375" t="str">
            <v>DKK_CIBOR_EOD</v>
          </cell>
          <cell r="C375">
            <v>42725</v>
          </cell>
          <cell r="E375">
            <v>-3.7400257022311001E-4</v>
          </cell>
        </row>
        <row r="376">
          <cell r="A376" t="str">
            <v>DKK_CIBOR_EOD</v>
          </cell>
          <cell r="C376">
            <v>42809</v>
          </cell>
          <cell r="E376">
            <v>-1.8700433488874E-4</v>
          </cell>
        </row>
        <row r="377">
          <cell r="A377" t="str">
            <v>DKK_CIBOR_EOD</v>
          </cell>
          <cell r="C377">
            <v>42907</v>
          </cell>
          <cell r="E377">
            <v>4.6030715465230001E-5</v>
          </cell>
        </row>
        <row r="378">
          <cell r="A378" t="str">
            <v>DKK_CIBOR_EOD</v>
          </cell>
          <cell r="C378">
            <v>43038</v>
          </cell>
          <cell r="E378">
            <v>1.9165411723335499E-3</v>
          </cell>
        </row>
        <row r="379">
          <cell r="A379" t="str">
            <v>DKK_CIBOR_EOD</v>
          </cell>
          <cell r="C379">
            <v>43402</v>
          </cell>
          <cell r="E379">
            <v>2.8765733366882601E-3</v>
          </cell>
        </row>
        <row r="380">
          <cell r="A380" t="str">
            <v>DKK_CIBOR_EOD</v>
          </cell>
          <cell r="C380">
            <v>43767</v>
          </cell>
          <cell r="E380">
            <v>4.1649067000076702E-3</v>
          </cell>
        </row>
        <row r="381">
          <cell r="A381" t="str">
            <v>DKK_CIBOR_EOD</v>
          </cell>
          <cell r="C381">
            <v>44133</v>
          </cell>
          <cell r="E381">
            <v>5.4601891150339197E-3</v>
          </cell>
        </row>
        <row r="382">
          <cell r="A382" t="str">
            <v>DKK_CIBOR_EOD</v>
          </cell>
          <cell r="C382">
            <v>44498</v>
          </cell>
          <cell r="E382">
            <v>6.7903564592781702E-3</v>
          </cell>
        </row>
        <row r="383">
          <cell r="A383" t="str">
            <v>DKK_CIBOR_EOD</v>
          </cell>
          <cell r="C383">
            <v>44865</v>
          </cell>
          <cell r="E383">
            <v>8.1805494967850494E-3</v>
          </cell>
        </row>
        <row r="384">
          <cell r="A384" t="str">
            <v>DKK_CIBOR_EOD</v>
          </cell>
          <cell r="C384">
            <v>45229</v>
          </cell>
          <cell r="E384">
            <v>9.5050109993447696E-3</v>
          </cell>
        </row>
        <row r="385">
          <cell r="A385" t="str">
            <v>DKK_CIBOR_EOD</v>
          </cell>
          <cell r="C385">
            <v>45594</v>
          </cell>
          <cell r="E385">
            <v>1.0725041610101601E-2</v>
          </cell>
        </row>
        <row r="386">
          <cell r="A386" t="str">
            <v>DKK_CIBOR_EOD</v>
          </cell>
          <cell r="C386">
            <v>45959</v>
          </cell>
          <cell r="E386">
            <v>1.18304409451728E-2</v>
          </cell>
        </row>
        <row r="387">
          <cell r="A387" t="str">
            <v>DKK_CIBOR_EOD</v>
          </cell>
          <cell r="C387">
            <v>46689</v>
          </cell>
          <cell r="E387">
            <v>1.3807021617820299E-2</v>
          </cell>
        </row>
        <row r="388">
          <cell r="A388" t="str">
            <v>DKK_CIBOR_EOD</v>
          </cell>
          <cell r="C388">
            <v>47785</v>
          </cell>
          <cell r="E388">
            <v>1.58540966871752E-2</v>
          </cell>
        </row>
        <row r="389">
          <cell r="A389" t="str">
            <v>DKK_CIBOR_EOD</v>
          </cell>
          <cell r="C389">
            <v>49611</v>
          </cell>
          <cell r="E389">
            <v>1.7567478159278799E-2</v>
          </cell>
        </row>
        <row r="390">
          <cell r="A390" t="str">
            <v>DKK_CIBOR_EOD</v>
          </cell>
          <cell r="C390">
            <v>51438</v>
          </cell>
          <cell r="E390">
            <v>1.78050424074205E-2</v>
          </cell>
        </row>
        <row r="391">
          <cell r="A391" t="str">
            <v>DKK_CIBOR_EOD</v>
          </cell>
          <cell r="C391">
            <v>53265</v>
          </cell>
          <cell r="E391">
            <v>1.7843971596590801E-2</v>
          </cell>
        </row>
        <row r="392">
          <cell r="A392" t="str">
            <v>EUR_EONIA_EOD</v>
          </cell>
          <cell r="C392">
            <v>42305</v>
          </cell>
          <cell r="E392">
            <v>-1.3890304208007201E-3</v>
          </cell>
        </row>
        <row r="393">
          <cell r="A393" t="str">
            <v>EUR_EONIA_EOD</v>
          </cell>
          <cell r="C393">
            <v>42306</v>
          </cell>
          <cell r="E393">
            <v>-1.3890304208228699E-3</v>
          </cell>
        </row>
        <row r="394">
          <cell r="A394" t="str">
            <v>EUR_EONIA_EOD</v>
          </cell>
          <cell r="C394">
            <v>42313</v>
          </cell>
          <cell r="E394">
            <v>-1.40744345652478E-3</v>
          </cell>
        </row>
        <row r="395">
          <cell r="A395" t="str">
            <v>EUR_EONIA_EOD</v>
          </cell>
          <cell r="C395">
            <v>42320</v>
          </cell>
          <cell r="E395">
            <v>-1.4156765031016099E-3</v>
          </cell>
        </row>
        <row r="396">
          <cell r="A396" t="str">
            <v>EUR_EONIA_EOD</v>
          </cell>
          <cell r="C396">
            <v>42327</v>
          </cell>
          <cell r="E396">
            <v>-1.42611067535497E-3</v>
          </cell>
        </row>
        <row r="397">
          <cell r="A397" t="str">
            <v>EUR_EONIA_EOD</v>
          </cell>
          <cell r="C397">
            <v>42338</v>
          </cell>
          <cell r="E397">
            <v>-1.3938793649847399E-3</v>
          </cell>
        </row>
        <row r="398">
          <cell r="A398" t="str">
            <v>EUR_EONIA_EOD</v>
          </cell>
          <cell r="C398">
            <v>42367</v>
          </cell>
          <cell r="E398">
            <v>-1.71936732334848E-3</v>
          </cell>
        </row>
        <row r="399">
          <cell r="A399" t="str">
            <v>EUR_EONIA_EOD</v>
          </cell>
          <cell r="C399">
            <v>42398</v>
          </cell>
          <cell r="E399">
            <v>-1.85956907850834E-3</v>
          </cell>
        </row>
        <row r="400">
          <cell r="A400" t="str">
            <v>EUR_EONIA_EOD</v>
          </cell>
          <cell r="C400">
            <v>42429</v>
          </cell>
          <cell r="E400">
            <v>-1.98953748068894E-3</v>
          </cell>
        </row>
        <row r="401">
          <cell r="A401" t="str">
            <v>EUR_EONIA_EOD</v>
          </cell>
          <cell r="C401">
            <v>42458</v>
          </cell>
          <cell r="E401">
            <v>-2.06289487846617E-3</v>
          </cell>
        </row>
        <row r="402">
          <cell r="A402" t="str">
            <v>EUR_EONIA_EOD</v>
          </cell>
          <cell r="C402">
            <v>42489</v>
          </cell>
          <cell r="E402">
            <v>-2.1411152353851301E-3</v>
          </cell>
        </row>
        <row r="403">
          <cell r="A403" t="str">
            <v>EUR_EONIA_EOD</v>
          </cell>
          <cell r="C403">
            <v>42520</v>
          </cell>
          <cell r="E403">
            <v>-2.20912276893904E-3</v>
          </cell>
        </row>
        <row r="404">
          <cell r="A404" t="str">
            <v>EUR_EONIA_EOD</v>
          </cell>
          <cell r="C404">
            <v>42550</v>
          </cell>
          <cell r="E404">
            <v>-2.2669104346418598E-3</v>
          </cell>
        </row>
        <row r="405">
          <cell r="A405" t="str">
            <v>EUR_EONIA_EOD</v>
          </cell>
          <cell r="C405">
            <v>42580</v>
          </cell>
          <cell r="E405">
            <v>-2.3334423441408098E-3</v>
          </cell>
        </row>
        <row r="406">
          <cell r="A406" t="str">
            <v>EUR_EONIA_EOD</v>
          </cell>
          <cell r="C406">
            <v>42611</v>
          </cell>
          <cell r="E406">
            <v>-2.3848335332535501E-3</v>
          </cell>
        </row>
        <row r="407">
          <cell r="A407" t="str">
            <v>EUR_EONIA_EOD</v>
          </cell>
          <cell r="C407">
            <v>42642</v>
          </cell>
          <cell r="E407">
            <v>-2.4163986760111799E-3</v>
          </cell>
        </row>
        <row r="408">
          <cell r="A408" t="str">
            <v>EUR_EONIA_EOD</v>
          </cell>
          <cell r="C408">
            <v>42674</v>
          </cell>
          <cell r="E408">
            <v>-2.4980569407053099E-3</v>
          </cell>
        </row>
        <row r="409">
          <cell r="A409" t="str">
            <v>EUR_EONIA_EOD</v>
          </cell>
          <cell r="C409">
            <v>42765</v>
          </cell>
          <cell r="E409">
            <v>-2.5475771842436499E-3</v>
          </cell>
        </row>
        <row r="410">
          <cell r="A410" t="str">
            <v>EUR_EONIA_EOD</v>
          </cell>
          <cell r="C410">
            <v>42853</v>
          </cell>
          <cell r="E410">
            <v>-2.5903875868321402E-3</v>
          </cell>
        </row>
        <row r="411">
          <cell r="A411" t="str">
            <v>EUR_EONIA_EOD</v>
          </cell>
          <cell r="C411">
            <v>42947</v>
          </cell>
          <cell r="E411">
            <v>-2.62496928796102E-3</v>
          </cell>
        </row>
        <row r="412">
          <cell r="A412" t="str">
            <v>EUR_EONIA_EOD</v>
          </cell>
          <cell r="C412">
            <v>43038</v>
          </cell>
          <cell r="E412">
            <v>-2.5562881566709699E-3</v>
          </cell>
        </row>
        <row r="413">
          <cell r="A413" t="str">
            <v>EUR_EONIA_EOD</v>
          </cell>
          <cell r="C413">
            <v>43402</v>
          </cell>
          <cell r="E413">
            <v>-2.2034489297808402E-3</v>
          </cell>
        </row>
        <row r="414">
          <cell r="A414" t="str">
            <v>EUR_EONIA_EOD</v>
          </cell>
          <cell r="C414">
            <v>43767</v>
          </cell>
          <cell r="E414">
            <v>-1.3304803505612001E-3</v>
          </cell>
        </row>
        <row r="415">
          <cell r="A415" t="str">
            <v>EUR_EONIA_EOD</v>
          </cell>
          <cell r="C415">
            <v>44133</v>
          </cell>
          <cell r="E415">
            <v>-2.3991321926727E-4</v>
          </cell>
        </row>
        <row r="416">
          <cell r="A416" t="str">
            <v>EUR_EONIA_EOD</v>
          </cell>
          <cell r="C416">
            <v>44498</v>
          </cell>
          <cell r="E416">
            <v>1.0241608709982901E-3</v>
          </cell>
        </row>
        <row r="417">
          <cell r="A417" t="str">
            <v>EUR_EONIA_EOD</v>
          </cell>
          <cell r="C417">
            <v>44865</v>
          </cell>
          <cell r="E417">
            <v>2.3680508720034998E-3</v>
          </cell>
        </row>
        <row r="418">
          <cell r="A418" t="str">
            <v>EUR_EONIA_EOD</v>
          </cell>
          <cell r="C418">
            <v>45229</v>
          </cell>
          <cell r="E418">
            <v>3.7086918840316401E-3</v>
          </cell>
        </row>
        <row r="419">
          <cell r="A419" t="str">
            <v>EUR_EONIA_EOD</v>
          </cell>
          <cell r="C419">
            <v>45594</v>
          </cell>
          <cell r="E419">
            <v>4.97974743981417E-3</v>
          </cell>
        </row>
        <row r="420">
          <cell r="A420" t="str">
            <v>EUR_EONIA_EOD</v>
          </cell>
          <cell r="C420">
            <v>45959</v>
          </cell>
          <cell r="E420">
            <v>6.1499468145774696E-3</v>
          </cell>
        </row>
        <row r="421">
          <cell r="A421" t="str">
            <v>EUR_EONIA_EOD</v>
          </cell>
          <cell r="C421">
            <v>46689</v>
          </cell>
          <cell r="E421">
            <v>8.1851900754764794E-3</v>
          </cell>
        </row>
        <row r="422">
          <cell r="A422" t="str">
            <v>EUR_EONIA_EOD</v>
          </cell>
          <cell r="C422">
            <v>47785</v>
          </cell>
          <cell r="E422">
            <v>1.04851277714401E-2</v>
          </cell>
        </row>
        <row r="423">
          <cell r="A423" t="str">
            <v>EUR_EONIA_EOD</v>
          </cell>
          <cell r="C423">
            <v>49611</v>
          </cell>
          <cell r="E423">
            <v>1.2671712239498501E-2</v>
          </cell>
        </row>
        <row r="424">
          <cell r="A424" t="str">
            <v>EUR_EONIA_EOD</v>
          </cell>
          <cell r="C424">
            <v>51438</v>
          </cell>
          <cell r="E424">
            <v>1.3365589062961499E-2</v>
          </cell>
        </row>
        <row r="425">
          <cell r="A425" t="str">
            <v>EUR_EONIA_EOD</v>
          </cell>
          <cell r="C425">
            <v>53265</v>
          </cell>
          <cell r="E425">
            <v>1.3646328006826801E-2</v>
          </cell>
        </row>
        <row r="426">
          <cell r="A426" t="str">
            <v>EUR_EONIA_EOD</v>
          </cell>
          <cell r="C426">
            <v>56916</v>
          </cell>
          <cell r="E426">
            <v>1.3872274180895001E-2</v>
          </cell>
        </row>
        <row r="427">
          <cell r="A427" t="str">
            <v>EUR_EONIA_EOD</v>
          </cell>
          <cell r="C427">
            <v>60569</v>
          </cell>
          <cell r="E427">
            <v>1.33941399612707E-2</v>
          </cell>
        </row>
        <row r="428">
          <cell r="A428" t="str">
            <v>EUR_EONIA_EOD</v>
          </cell>
          <cell r="C428">
            <v>64221</v>
          </cell>
          <cell r="E428">
            <v>1.28395626290403E-2</v>
          </cell>
        </row>
        <row r="429">
          <cell r="A429" t="str">
            <v>EUR_EURIBOR_12M_EOD</v>
          </cell>
          <cell r="C429">
            <v>42674</v>
          </cell>
          <cell r="E429">
            <v>1.09439600449977E-3</v>
          </cell>
        </row>
        <row r="430">
          <cell r="A430" t="str">
            <v>EUR_EURIBOR_12M_EOD</v>
          </cell>
          <cell r="C430">
            <v>42703</v>
          </cell>
          <cell r="E430">
            <v>7.8780112326412002E-4</v>
          </cell>
        </row>
        <row r="431">
          <cell r="A431" t="str">
            <v>EUR_EURIBOR_12M_EOD</v>
          </cell>
          <cell r="C431">
            <v>42733</v>
          </cell>
          <cell r="E431">
            <v>6.7091020440860998E-4</v>
          </cell>
        </row>
        <row r="432">
          <cell r="A432" t="str">
            <v>EUR_EURIBOR_12M_EOD</v>
          </cell>
          <cell r="C432">
            <v>42765</v>
          </cell>
          <cell r="E432">
            <v>6.7099519055317997E-4</v>
          </cell>
        </row>
        <row r="433">
          <cell r="A433" t="str">
            <v>EUR_EURIBOR_12M_EOD</v>
          </cell>
          <cell r="C433">
            <v>42794</v>
          </cell>
          <cell r="E433">
            <v>6.7180592081518E-4</v>
          </cell>
        </row>
        <row r="434">
          <cell r="A434" t="str">
            <v>EUR_EURIBOR_12M_EOD</v>
          </cell>
          <cell r="C434">
            <v>42823</v>
          </cell>
          <cell r="E434">
            <v>6.7760194072841997E-4</v>
          </cell>
        </row>
        <row r="435">
          <cell r="A435" t="str">
            <v>EUR_EURIBOR_12M_EOD</v>
          </cell>
          <cell r="C435">
            <v>42853</v>
          </cell>
          <cell r="E435">
            <v>7.1825449304803999E-4</v>
          </cell>
        </row>
        <row r="436">
          <cell r="A436" t="str">
            <v>EUR_EURIBOR_12M_EOD</v>
          </cell>
          <cell r="C436">
            <v>42884</v>
          </cell>
          <cell r="E436">
            <v>6.9874713299355995E-4</v>
          </cell>
        </row>
        <row r="437">
          <cell r="A437" t="str">
            <v>EUR_EURIBOR_12M_EOD</v>
          </cell>
          <cell r="C437">
            <v>42915</v>
          </cell>
          <cell r="E437">
            <v>7.3127911677016997E-4</v>
          </cell>
        </row>
        <row r="438">
          <cell r="A438" t="str">
            <v>EUR_EURIBOR_12M_EOD</v>
          </cell>
          <cell r="C438">
            <v>42947</v>
          </cell>
          <cell r="E438">
            <v>7.7059500025935005E-4</v>
          </cell>
        </row>
        <row r="439">
          <cell r="A439" t="str">
            <v>EUR_EURIBOR_12M_EOD</v>
          </cell>
          <cell r="C439">
            <v>42976</v>
          </cell>
          <cell r="E439">
            <v>8.0827329123571E-4</v>
          </cell>
        </row>
        <row r="440">
          <cell r="A440" t="str">
            <v>EUR_EURIBOR_12M_EOD</v>
          </cell>
          <cell r="C440">
            <v>43007</v>
          </cell>
          <cell r="E440">
            <v>8.4719549318603002E-4</v>
          </cell>
        </row>
        <row r="441">
          <cell r="A441" t="str">
            <v>EUR_EURIBOR_12M_EOD</v>
          </cell>
          <cell r="C441">
            <v>43038</v>
          </cell>
          <cell r="E441">
            <v>8.9330569837369996E-4</v>
          </cell>
        </row>
        <row r="442">
          <cell r="A442" t="str">
            <v>EUR_EURIBOR_12M_EOD</v>
          </cell>
          <cell r="C442">
            <v>43402</v>
          </cell>
          <cell r="E442">
            <v>1.4718607729273E-3</v>
          </cell>
        </row>
        <row r="443">
          <cell r="A443" t="str">
            <v>EUR_EURIBOR_12M_EOD</v>
          </cell>
          <cell r="C443">
            <v>43767</v>
          </cell>
          <cell r="E443">
            <v>2.4797483186788298E-3</v>
          </cell>
        </row>
        <row r="444">
          <cell r="A444" t="str">
            <v>EUR_EURIBOR_12M_EOD</v>
          </cell>
          <cell r="C444">
            <v>44133</v>
          </cell>
          <cell r="E444">
            <v>3.6449435702628698E-3</v>
          </cell>
        </row>
        <row r="445">
          <cell r="A445" t="str">
            <v>EUR_EURIBOR_12M_EOD</v>
          </cell>
          <cell r="C445">
            <v>44498</v>
          </cell>
          <cell r="E445">
            <v>4.8747566753368204E-3</v>
          </cell>
        </row>
        <row r="446">
          <cell r="A446" t="str">
            <v>EUR_EURIBOR_12M_EOD</v>
          </cell>
          <cell r="C446">
            <v>44865</v>
          </cell>
          <cell r="E446">
            <v>6.15511117138516E-3</v>
          </cell>
        </row>
        <row r="447">
          <cell r="A447" t="str">
            <v>EUR_EURIBOR_12M_EOD</v>
          </cell>
          <cell r="C447">
            <v>45229</v>
          </cell>
          <cell r="E447">
            <v>7.4061507276121999E-3</v>
          </cell>
        </row>
        <row r="448">
          <cell r="A448" t="str">
            <v>EUR_EURIBOR_12M_EOD</v>
          </cell>
          <cell r="C448">
            <v>45594</v>
          </cell>
          <cell r="E448">
            <v>8.5478466732042194E-3</v>
          </cell>
        </row>
        <row r="449">
          <cell r="A449" t="str">
            <v>EUR_EURIBOR_12M_EOD</v>
          </cell>
          <cell r="C449">
            <v>45959</v>
          </cell>
          <cell r="E449">
            <v>9.5856214481502902E-3</v>
          </cell>
        </row>
        <row r="450">
          <cell r="A450" t="str">
            <v>EUR_EURIBOR_12M_EOD</v>
          </cell>
          <cell r="C450">
            <v>46689</v>
          </cell>
          <cell r="E450">
            <v>1.1380017883649399E-2</v>
          </cell>
        </row>
        <row r="451">
          <cell r="A451" t="str">
            <v>EUR_EURIBOR_12M_EOD</v>
          </cell>
          <cell r="C451">
            <v>47785</v>
          </cell>
          <cell r="E451">
            <v>1.3315504366467199E-2</v>
          </cell>
        </row>
        <row r="452">
          <cell r="A452" t="str">
            <v>EUR_EURIBOR_12M_EOD</v>
          </cell>
          <cell r="C452">
            <v>49611</v>
          </cell>
          <cell r="E452">
            <v>1.4974484925476299E-2</v>
          </cell>
        </row>
        <row r="453">
          <cell r="A453" t="str">
            <v>EUR_EURIBOR_12M_EOD</v>
          </cell>
          <cell r="C453">
            <v>51438</v>
          </cell>
          <cell r="E453">
            <v>1.53509065957784E-2</v>
          </cell>
        </row>
        <row r="454">
          <cell r="A454" t="str">
            <v>EUR_EURIBOR_12M_EOD</v>
          </cell>
          <cell r="C454">
            <v>53265</v>
          </cell>
          <cell r="E454">
            <v>1.5398377101618101E-2</v>
          </cell>
        </row>
        <row r="455">
          <cell r="A455" t="str">
            <v>EUR_EURIBOR_12M_EOD</v>
          </cell>
          <cell r="C455">
            <v>56916</v>
          </cell>
          <cell r="E455">
            <v>1.53828468875417E-2</v>
          </cell>
        </row>
        <row r="456">
          <cell r="A456" t="str">
            <v>EUR_EURIBOR_12M_EOD</v>
          </cell>
          <cell r="C456">
            <v>60569</v>
          </cell>
          <cell r="E456">
            <v>1.4664245684749199E-2</v>
          </cell>
        </row>
        <row r="457">
          <cell r="A457" t="str">
            <v>EUR_EURIBOR_12M_EOD</v>
          </cell>
          <cell r="C457">
            <v>64221</v>
          </cell>
          <cell r="E457">
            <v>1.41342362428434E-2</v>
          </cell>
        </row>
        <row r="458">
          <cell r="A458" t="str">
            <v>EUR_EURIBOR_1M_EOD</v>
          </cell>
          <cell r="C458">
            <v>42338</v>
          </cell>
          <cell r="E458">
            <v>-1.2065915941913499E-3</v>
          </cell>
        </row>
        <row r="459">
          <cell r="A459" t="str">
            <v>EUR_EURIBOR_1M_EOD</v>
          </cell>
          <cell r="C459">
            <v>42367</v>
          </cell>
          <cell r="E459">
            <v>-1.4746057743794201E-3</v>
          </cell>
        </row>
        <row r="460">
          <cell r="A460" t="str">
            <v>EUR_EURIBOR_1M_EOD</v>
          </cell>
          <cell r="C460">
            <v>42398</v>
          </cell>
          <cell r="E460">
            <v>-1.61522205223462E-3</v>
          </cell>
        </row>
        <row r="461">
          <cell r="A461" t="str">
            <v>EUR_EURIBOR_1M_EOD</v>
          </cell>
          <cell r="C461">
            <v>42489</v>
          </cell>
          <cell r="E461">
            <v>-1.8933823409002699E-3</v>
          </cell>
        </row>
        <row r="462">
          <cell r="A462" t="str">
            <v>EUR_EURIBOR_1M_EOD</v>
          </cell>
          <cell r="C462">
            <v>42580</v>
          </cell>
          <cell r="E462">
            <v>-2.08762635437374E-3</v>
          </cell>
        </row>
        <row r="463">
          <cell r="A463" t="str">
            <v>EUR_EURIBOR_1M_EOD</v>
          </cell>
          <cell r="C463">
            <v>42674</v>
          </cell>
          <cell r="E463">
            <v>-2.2108661189522202E-3</v>
          </cell>
        </row>
        <row r="464">
          <cell r="A464" t="str">
            <v>EUR_EURIBOR_1M_EOD</v>
          </cell>
          <cell r="C464">
            <v>43038</v>
          </cell>
          <cell r="E464">
            <v>-2.3287311943245301E-3</v>
          </cell>
        </row>
        <row r="465">
          <cell r="A465" t="str">
            <v>EUR_EURIBOR_1M_EOD</v>
          </cell>
          <cell r="C465">
            <v>43402</v>
          </cell>
          <cell r="E465">
            <v>-1.8652711197609201E-3</v>
          </cell>
        </row>
        <row r="466">
          <cell r="A466" t="str">
            <v>EUR_EURIBOR_1M_EOD</v>
          </cell>
          <cell r="C466">
            <v>43767</v>
          </cell>
          <cell r="E466">
            <v>-9.7671770417995002E-4</v>
          </cell>
        </row>
        <row r="467">
          <cell r="A467" t="str">
            <v>EUR_EURIBOR_1M_EOD</v>
          </cell>
          <cell r="C467">
            <v>44133</v>
          </cell>
          <cell r="E467">
            <v>1.3806930953640001E-4</v>
          </cell>
        </row>
        <row r="468">
          <cell r="A468" t="str">
            <v>EUR_EURIBOR_1M_EOD</v>
          </cell>
          <cell r="C468">
            <v>44498</v>
          </cell>
          <cell r="E468">
            <v>1.4162746605015999E-3</v>
          </cell>
        </row>
        <row r="469">
          <cell r="A469" t="str">
            <v>EUR_EURIBOR_1M_EOD</v>
          </cell>
          <cell r="C469">
            <v>44865</v>
          </cell>
          <cell r="E469">
            <v>2.7711682690443802E-3</v>
          </cell>
        </row>
        <row r="470">
          <cell r="A470" t="str">
            <v>EUR_EURIBOR_1M_EOD</v>
          </cell>
          <cell r="C470">
            <v>45229</v>
          </cell>
          <cell r="E470">
            <v>4.0999404823363001E-3</v>
          </cell>
        </row>
        <row r="471">
          <cell r="A471" t="str">
            <v>EUR_EURIBOR_1M_EOD</v>
          </cell>
          <cell r="C471">
            <v>45594</v>
          </cell>
          <cell r="E471">
            <v>5.3663123846186102E-3</v>
          </cell>
        </row>
        <row r="472">
          <cell r="A472" t="str">
            <v>EUR_EURIBOR_1M_EOD</v>
          </cell>
          <cell r="C472">
            <v>45959</v>
          </cell>
          <cell r="E472">
            <v>6.5334891428251796E-3</v>
          </cell>
        </row>
        <row r="473">
          <cell r="A473" t="str">
            <v>EUR_EURIBOR_1M_EOD</v>
          </cell>
          <cell r="C473">
            <v>46689</v>
          </cell>
          <cell r="E473">
            <v>8.5887129340553193E-3</v>
          </cell>
        </row>
        <row r="474">
          <cell r="A474" t="str">
            <v>EUR_EURIBOR_1M_EOD</v>
          </cell>
          <cell r="C474">
            <v>47785</v>
          </cell>
          <cell r="E474">
            <v>1.0881649769399799E-2</v>
          </cell>
        </row>
        <row r="475">
          <cell r="A475" t="str">
            <v>EUR_EURIBOR_1M_EOD</v>
          </cell>
          <cell r="C475">
            <v>49611</v>
          </cell>
          <cell r="E475">
            <v>1.30237785926565E-2</v>
          </cell>
        </row>
        <row r="476">
          <cell r="A476" t="str">
            <v>EUR_EURIBOR_1M_EOD</v>
          </cell>
          <cell r="C476">
            <v>51438</v>
          </cell>
          <cell r="E476">
            <v>1.3688575762145E-2</v>
          </cell>
        </row>
        <row r="477">
          <cell r="A477" t="str">
            <v>EUR_EURIBOR_1M_EOD</v>
          </cell>
          <cell r="C477">
            <v>53265</v>
          </cell>
          <cell r="E477">
            <v>1.3946342894127901E-2</v>
          </cell>
        </row>
        <row r="478">
          <cell r="A478" t="str">
            <v>EUR_EURIBOR_1M_EOD</v>
          </cell>
          <cell r="C478">
            <v>56916</v>
          </cell>
          <cell r="E478">
            <v>1.4145860026174999E-2</v>
          </cell>
        </row>
        <row r="479">
          <cell r="A479" t="str">
            <v>EUR_EURIBOR_1M_EOD</v>
          </cell>
          <cell r="C479">
            <v>60569</v>
          </cell>
          <cell r="E479">
            <v>1.36118686075109E-2</v>
          </cell>
        </row>
        <row r="480">
          <cell r="A480" t="str">
            <v>EUR_EURIBOR_1M_EOD</v>
          </cell>
          <cell r="C480">
            <v>64221</v>
          </cell>
          <cell r="E480">
            <v>1.31276421160596E-2</v>
          </cell>
        </row>
        <row r="481">
          <cell r="A481" t="str">
            <v>EUR_EURIBOR_3M_EOD</v>
          </cell>
          <cell r="C481">
            <v>42398</v>
          </cell>
          <cell r="E481">
            <v>-6.6922310606856998E-4</v>
          </cell>
        </row>
        <row r="482">
          <cell r="A482" t="str">
            <v>EUR_EURIBOR_3M_EOD</v>
          </cell>
          <cell r="C482">
            <v>42445</v>
          </cell>
          <cell r="E482">
            <v>-1.02592962486896E-3</v>
          </cell>
        </row>
        <row r="483">
          <cell r="A483" t="str">
            <v>EUR_EURIBOR_3M_EOD</v>
          </cell>
          <cell r="C483">
            <v>42536</v>
          </cell>
          <cell r="E483">
            <v>-1.22732686972556E-3</v>
          </cell>
        </row>
        <row r="484">
          <cell r="A484" t="str">
            <v>EUR_EURIBOR_3M_EOD</v>
          </cell>
          <cell r="C484">
            <v>42634</v>
          </cell>
          <cell r="E484">
            <v>-1.38656730923408E-3</v>
          </cell>
        </row>
        <row r="485">
          <cell r="A485" t="str">
            <v>EUR_EURIBOR_3M_EOD</v>
          </cell>
          <cell r="C485">
            <v>42725</v>
          </cell>
          <cell r="E485">
            <v>-1.4847140059890899E-3</v>
          </cell>
        </row>
        <row r="486">
          <cell r="A486" t="str">
            <v>EUR_EURIBOR_3M_EOD</v>
          </cell>
          <cell r="C486">
            <v>42809</v>
          </cell>
          <cell r="E486">
            <v>-1.54037201921329E-3</v>
          </cell>
        </row>
        <row r="487">
          <cell r="A487" t="str">
            <v>EUR_EURIBOR_3M_EOD</v>
          </cell>
          <cell r="C487">
            <v>42907</v>
          </cell>
          <cell r="E487">
            <v>-1.55900336260415E-3</v>
          </cell>
        </row>
        <row r="488">
          <cell r="A488" t="str">
            <v>EUR_EURIBOR_3M_EOD</v>
          </cell>
          <cell r="C488">
            <v>42998</v>
          </cell>
          <cell r="E488">
            <v>-1.53741234754E-3</v>
          </cell>
        </row>
        <row r="489">
          <cell r="A489" t="str">
            <v>EUR_EURIBOR_3M_EOD</v>
          </cell>
          <cell r="C489">
            <v>43089</v>
          </cell>
          <cell r="E489">
            <v>-1.48532070088707E-3</v>
          </cell>
        </row>
        <row r="490">
          <cell r="A490" t="str">
            <v>EUR_EURIBOR_3M_EOD</v>
          </cell>
          <cell r="C490">
            <v>43180</v>
          </cell>
          <cell r="E490">
            <v>-1.39959523982241E-3</v>
          </cell>
        </row>
        <row r="491">
          <cell r="A491" t="str">
            <v>EUR_EURIBOR_3M_EOD</v>
          </cell>
          <cell r="C491">
            <v>43271</v>
          </cell>
          <cell r="E491">
            <v>-1.2830565527099499E-3</v>
          </cell>
        </row>
        <row r="492">
          <cell r="A492" t="str">
            <v>EUR_EURIBOR_3M_EOD</v>
          </cell>
          <cell r="C492">
            <v>43362</v>
          </cell>
          <cell r="E492">
            <v>-1.1398240792529399E-3</v>
          </cell>
        </row>
        <row r="493">
          <cell r="A493" t="str">
            <v>EUR_EURIBOR_3M_EOD</v>
          </cell>
          <cell r="C493">
            <v>43453</v>
          </cell>
          <cell r="E493">
            <v>-9.6653218462486995E-4</v>
          </cell>
        </row>
        <row r="494">
          <cell r="A494" t="str">
            <v>EUR_EURIBOR_3M_EOD</v>
          </cell>
          <cell r="C494">
            <v>43767</v>
          </cell>
          <cell r="E494">
            <v>5.1716764843740002E-5</v>
          </cell>
        </row>
        <row r="495">
          <cell r="A495" t="str">
            <v>EUR_EURIBOR_3M_EOD</v>
          </cell>
          <cell r="C495">
            <v>44133</v>
          </cell>
          <cell r="E495">
            <v>1.1810646494441099E-3</v>
          </cell>
        </row>
        <row r="496">
          <cell r="A496" t="str">
            <v>EUR_EURIBOR_3M_EOD</v>
          </cell>
          <cell r="C496">
            <v>44498</v>
          </cell>
          <cell r="E496">
            <v>2.4336886304387501E-3</v>
          </cell>
        </row>
        <row r="497">
          <cell r="A497" t="str">
            <v>EUR_EURIBOR_3M_EOD</v>
          </cell>
          <cell r="C497">
            <v>44865</v>
          </cell>
          <cell r="E497">
            <v>3.7707718144997199E-3</v>
          </cell>
        </row>
        <row r="498">
          <cell r="A498" t="str">
            <v>EUR_EURIBOR_3M_EOD</v>
          </cell>
          <cell r="C498">
            <v>45229</v>
          </cell>
          <cell r="E498">
            <v>5.0836273496279397E-3</v>
          </cell>
        </row>
        <row r="499">
          <cell r="A499" t="str">
            <v>EUR_EURIBOR_3M_EOD</v>
          </cell>
          <cell r="C499">
            <v>45594</v>
          </cell>
          <cell r="E499">
            <v>6.3188302966129704E-3</v>
          </cell>
        </row>
        <row r="500">
          <cell r="A500" t="str">
            <v>EUR_EURIBOR_3M_EOD</v>
          </cell>
          <cell r="C500">
            <v>45959</v>
          </cell>
          <cell r="E500">
            <v>7.4616241372871903E-3</v>
          </cell>
        </row>
        <row r="501">
          <cell r="A501" t="str">
            <v>EUR_EURIBOR_3M_EOD</v>
          </cell>
          <cell r="C501">
            <v>46689</v>
          </cell>
          <cell r="E501">
            <v>9.4456478397046198E-3</v>
          </cell>
        </row>
        <row r="502">
          <cell r="A502" t="str">
            <v>EUR_EURIBOR_3M_EOD</v>
          </cell>
          <cell r="C502">
            <v>47785</v>
          </cell>
          <cell r="E502">
            <v>1.1624795842299E-2</v>
          </cell>
        </row>
        <row r="503">
          <cell r="A503" t="str">
            <v>EUR_EURIBOR_3M_EOD</v>
          </cell>
          <cell r="C503">
            <v>49611</v>
          </cell>
          <cell r="E503">
            <v>1.3597390822106601E-2</v>
          </cell>
        </row>
        <row r="504">
          <cell r="A504" t="str">
            <v>EUR_EURIBOR_3M_EOD</v>
          </cell>
          <cell r="C504">
            <v>51438</v>
          </cell>
          <cell r="E504">
            <v>1.4150157872514999E-2</v>
          </cell>
        </row>
        <row r="505">
          <cell r="A505" t="str">
            <v>EUR_EURIBOR_3M_EOD</v>
          </cell>
          <cell r="C505">
            <v>53265</v>
          </cell>
          <cell r="E505">
            <v>1.43304251389972E-2</v>
          </cell>
        </row>
        <row r="506">
          <cell r="A506" t="str">
            <v>EUR_EURIBOR_3M_EOD</v>
          </cell>
          <cell r="C506">
            <v>56916</v>
          </cell>
          <cell r="E506">
            <v>1.44423641438205E-2</v>
          </cell>
        </row>
        <row r="507">
          <cell r="A507" t="str">
            <v>EUR_EURIBOR_3M_EOD</v>
          </cell>
          <cell r="C507">
            <v>60569</v>
          </cell>
          <cell r="E507">
            <v>1.3858079937949699E-2</v>
          </cell>
        </row>
        <row r="508">
          <cell r="A508" t="str">
            <v>EUR_EURIBOR_3M_EOD</v>
          </cell>
          <cell r="C508">
            <v>64221</v>
          </cell>
          <cell r="E508">
            <v>1.3327628453676601E-2</v>
          </cell>
        </row>
        <row r="509">
          <cell r="A509" t="str">
            <v>EUR_EURIBOR_6M_EOD</v>
          </cell>
          <cell r="C509">
            <v>42489</v>
          </cell>
          <cell r="E509">
            <v>8.1109461896620004E-5</v>
          </cell>
        </row>
        <row r="510">
          <cell r="A510" t="str">
            <v>EUR_EURIBOR_6M_EOD</v>
          </cell>
          <cell r="C510">
            <v>42520</v>
          </cell>
          <cell r="E510">
            <v>-2.5208505747003999E-4</v>
          </cell>
        </row>
        <row r="511">
          <cell r="A511" t="str">
            <v>EUR_EURIBOR_6M_EOD</v>
          </cell>
          <cell r="C511">
            <v>42550</v>
          </cell>
          <cell r="E511">
            <v>-2.9604034083467002E-4</v>
          </cell>
        </row>
        <row r="512">
          <cell r="A512" t="str">
            <v>EUR_EURIBOR_6M_EOD</v>
          </cell>
          <cell r="C512">
            <v>42580</v>
          </cell>
          <cell r="E512">
            <v>-3.3011385843784001E-4</v>
          </cell>
        </row>
        <row r="513">
          <cell r="A513" t="str">
            <v>EUR_EURIBOR_6M_EOD</v>
          </cell>
          <cell r="C513">
            <v>42611</v>
          </cell>
          <cell r="E513">
            <v>-3.3969535305211998E-4</v>
          </cell>
        </row>
        <row r="514">
          <cell r="A514" t="str">
            <v>EUR_EURIBOR_6M_EOD</v>
          </cell>
          <cell r="C514">
            <v>42642</v>
          </cell>
          <cell r="E514">
            <v>-3.3842890774597999E-4</v>
          </cell>
        </row>
        <row r="515">
          <cell r="A515" t="str">
            <v>EUR_EURIBOR_6M_EOD</v>
          </cell>
          <cell r="C515">
            <v>42674</v>
          </cell>
          <cell r="E515">
            <v>-3.6305560198766998E-4</v>
          </cell>
        </row>
        <row r="516">
          <cell r="A516" t="str">
            <v>EUR_EURIBOR_6M_EOD</v>
          </cell>
          <cell r="C516">
            <v>42853</v>
          </cell>
          <cell r="E516">
            <v>-4.7392101606927002E-4</v>
          </cell>
        </row>
        <row r="517">
          <cell r="A517" t="str">
            <v>EUR_EURIBOR_6M_EOD</v>
          </cell>
          <cell r="C517">
            <v>43038</v>
          </cell>
          <cell r="E517">
            <v>-4.2606243205780999E-4</v>
          </cell>
        </row>
        <row r="518">
          <cell r="A518" t="str">
            <v>EUR_EURIBOR_6M_EOD</v>
          </cell>
          <cell r="C518">
            <v>43402</v>
          </cell>
          <cell r="E518">
            <v>1.2934711651576999E-4</v>
          </cell>
        </row>
        <row r="519">
          <cell r="A519" t="str">
            <v>EUR_EURIBOR_6M_EOD</v>
          </cell>
          <cell r="C519">
            <v>43767</v>
          </cell>
          <cell r="E519">
            <v>1.0953858243553901E-3</v>
          </cell>
        </row>
        <row r="520">
          <cell r="A520" t="str">
            <v>EUR_EURIBOR_6M_EOD</v>
          </cell>
          <cell r="C520">
            <v>44133</v>
          </cell>
          <cell r="E520">
            <v>2.2422619735155401E-3</v>
          </cell>
        </row>
        <row r="521">
          <cell r="A521" t="str">
            <v>EUR_EURIBOR_6M_EOD</v>
          </cell>
          <cell r="C521">
            <v>44498</v>
          </cell>
          <cell r="E521">
            <v>3.4907144879798399E-3</v>
          </cell>
        </row>
        <row r="522">
          <cell r="A522" t="str">
            <v>EUR_EURIBOR_6M_EOD</v>
          </cell>
          <cell r="C522">
            <v>44865</v>
          </cell>
          <cell r="E522">
            <v>4.7945865676185901E-3</v>
          </cell>
        </row>
        <row r="523">
          <cell r="A523" t="str">
            <v>EUR_EURIBOR_6M_EOD</v>
          </cell>
          <cell r="C523">
            <v>45229</v>
          </cell>
          <cell r="E523">
            <v>6.0646161057738802E-3</v>
          </cell>
        </row>
        <row r="524">
          <cell r="A524" t="str">
            <v>EUR_EURIBOR_6M_EOD</v>
          </cell>
          <cell r="C524">
            <v>45594</v>
          </cell>
          <cell r="E524">
            <v>7.2479021975349603E-3</v>
          </cell>
        </row>
        <row r="525">
          <cell r="A525" t="str">
            <v>EUR_EURIBOR_6M_EOD</v>
          </cell>
          <cell r="C525">
            <v>45959</v>
          </cell>
          <cell r="E525">
            <v>8.3355900931674602E-3</v>
          </cell>
        </row>
        <row r="526">
          <cell r="A526" t="str">
            <v>EUR_EURIBOR_6M_EOD</v>
          </cell>
          <cell r="C526">
            <v>46689</v>
          </cell>
          <cell r="E526">
            <v>1.02241787961768E-2</v>
          </cell>
        </row>
        <row r="527">
          <cell r="A527" t="str">
            <v>EUR_EURIBOR_6M_EOD</v>
          </cell>
          <cell r="C527">
            <v>47785</v>
          </cell>
          <cell r="E527">
            <v>1.22880407799287E-2</v>
          </cell>
        </row>
        <row r="528">
          <cell r="A528" t="str">
            <v>EUR_EURIBOR_6M_EOD</v>
          </cell>
          <cell r="C528">
            <v>49611</v>
          </cell>
          <cell r="E528">
            <v>1.41256354535982E-2</v>
          </cell>
        </row>
        <row r="529">
          <cell r="A529" t="str">
            <v>EUR_EURIBOR_6M_EOD</v>
          </cell>
          <cell r="C529">
            <v>51438</v>
          </cell>
          <cell r="E529">
            <v>1.4589828997135301E-2</v>
          </cell>
        </row>
        <row r="530">
          <cell r="A530" t="str">
            <v>EUR_EURIBOR_6M_EOD</v>
          </cell>
          <cell r="C530">
            <v>53265</v>
          </cell>
          <cell r="E530">
            <v>1.4709598409399499E-2</v>
          </cell>
        </row>
        <row r="531">
          <cell r="A531" t="str">
            <v>EUR_EURIBOR_6M_EOD</v>
          </cell>
          <cell r="C531">
            <v>56916</v>
          </cell>
          <cell r="E531">
            <v>1.4736794634334501E-2</v>
          </cell>
        </row>
        <row r="532">
          <cell r="A532" t="str">
            <v>EUR_EURIBOR_6M_EOD</v>
          </cell>
          <cell r="C532">
            <v>60569</v>
          </cell>
          <cell r="E532">
            <v>1.41093411686814E-2</v>
          </cell>
        </row>
        <row r="533">
          <cell r="A533" t="str">
            <v>EUR_EURIBOR_6M_EOD</v>
          </cell>
          <cell r="C533">
            <v>64221</v>
          </cell>
          <cell r="E533">
            <v>1.35674894528919E-2</v>
          </cell>
        </row>
        <row r="534">
          <cell r="A534" t="str">
            <v>EUR_EURIBOR_EOD</v>
          </cell>
          <cell r="C534">
            <v>42305</v>
          </cell>
          <cell r="E534">
            <v>-1.4600029200092499E-3</v>
          </cell>
        </row>
        <row r="535">
          <cell r="A535" t="str">
            <v>EUR_EURIBOR_EOD</v>
          </cell>
          <cell r="C535">
            <v>42306</v>
          </cell>
          <cell r="E535">
            <v>-1.46000291998323E-3</v>
          </cell>
        </row>
        <row r="536">
          <cell r="A536" t="str">
            <v>EUR_EURIBOR_EOD</v>
          </cell>
          <cell r="C536">
            <v>42313</v>
          </cell>
          <cell r="E536">
            <v>-1.4836746236957801E-3</v>
          </cell>
        </row>
        <row r="537">
          <cell r="A537" t="str">
            <v>EUR_EURIBOR_EOD</v>
          </cell>
          <cell r="C537">
            <v>42338</v>
          </cell>
          <cell r="E537">
            <v>-1.22149814276791E-3</v>
          </cell>
        </row>
        <row r="538">
          <cell r="A538" t="str">
            <v>EUR_EURIBOR_EOD</v>
          </cell>
          <cell r="C538">
            <v>42445</v>
          </cell>
          <cell r="E538">
            <v>-1.2217871619322001E-3</v>
          </cell>
        </row>
        <row r="539">
          <cell r="A539" t="str">
            <v>EUR_EURIBOR_EOD</v>
          </cell>
          <cell r="C539">
            <v>42536</v>
          </cell>
          <cell r="E539">
            <v>-1.3463609763030399E-3</v>
          </cell>
        </row>
        <row r="540">
          <cell r="A540" t="str">
            <v>EUR_EURIBOR_EOD</v>
          </cell>
          <cell r="C540">
            <v>42634</v>
          </cell>
          <cell r="E540">
            <v>-1.47025189325212E-3</v>
          </cell>
        </row>
        <row r="541">
          <cell r="A541" t="str">
            <v>EUR_EURIBOR_EOD</v>
          </cell>
          <cell r="C541">
            <v>42725</v>
          </cell>
          <cell r="E541">
            <v>-1.5503099982121999E-3</v>
          </cell>
        </row>
        <row r="542">
          <cell r="A542" t="str">
            <v>EUR_EURIBOR_EOD</v>
          </cell>
          <cell r="C542">
            <v>42809</v>
          </cell>
          <cell r="E542">
            <v>-1.5950569949080399E-3</v>
          </cell>
        </row>
        <row r="543">
          <cell r="A543" t="str">
            <v>EUR_EURIBOR_EOD</v>
          </cell>
          <cell r="C543">
            <v>42907</v>
          </cell>
          <cell r="E543">
            <v>-1.6048008961462999E-3</v>
          </cell>
        </row>
        <row r="544">
          <cell r="A544" t="str">
            <v>EUR_EURIBOR_EOD</v>
          </cell>
          <cell r="C544">
            <v>42998</v>
          </cell>
          <cell r="E544">
            <v>-1.57720472898952E-3</v>
          </cell>
        </row>
        <row r="545">
          <cell r="A545" t="str">
            <v>EUR_EURIBOR_EOD</v>
          </cell>
          <cell r="C545">
            <v>43089</v>
          </cell>
          <cell r="E545">
            <v>-1.5205002075443701E-3</v>
          </cell>
        </row>
        <row r="546">
          <cell r="A546" t="str">
            <v>EUR_EURIBOR_EOD</v>
          </cell>
          <cell r="C546">
            <v>43180</v>
          </cell>
          <cell r="E546">
            <v>-1.4311202543497699E-3</v>
          </cell>
        </row>
        <row r="547">
          <cell r="A547" t="str">
            <v>EUR_EURIBOR_EOD</v>
          </cell>
          <cell r="C547">
            <v>43271</v>
          </cell>
          <cell r="E547">
            <v>-1.3116148905858501E-3</v>
          </cell>
        </row>
        <row r="548">
          <cell r="A548" t="str">
            <v>EUR_EURIBOR_EOD</v>
          </cell>
          <cell r="C548">
            <v>43362</v>
          </cell>
          <cell r="E548">
            <v>-1.1659260761584E-3</v>
          </cell>
        </row>
        <row r="549">
          <cell r="A549" t="str">
            <v>EUR_EURIBOR_EOD</v>
          </cell>
          <cell r="C549">
            <v>43453</v>
          </cell>
          <cell r="E549">
            <v>-9.9056692154919006E-4</v>
          </cell>
        </row>
        <row r="550">
          <cell r="A550" t="str">
            <v>EUR_EURIBOR_EOD</v>
          </cell>
          <cell r="C550">
            <v>43767</v>
          </cell>
          <cell r="E550">
            <v>1.10040329304859E-3</v>
          </cell>
        </row>
        <row r="551">
          <cell r="A551" t="str">
            <v>EUR_EURIBOR_EOD</v>
          </cell>
          <cell r="C551">
            <v>44133</v>
          </cell>
          <cell r="E551">
            <v>2.2531999332181698E-3</v>
          </cell>
        </row>
        <row r="552">
          <cell r="A552" t="str">
            <v>EUR_EURIBOR_EOD</v>
          </cell>
          <cell r="C552">
            <v>44498</v>
          </cell>
          <cell r="E552">
            <v>3.5085460578665401E-3</v>
          </cell>
        </row>
        <row r="553">
          <cell r="A553" t="str">
            <v>EUR_EURIBOR_EOD</v>
          </cell>
          <cell r="C553">
            <v>44865</v>
          </cell>
          <cell r="E553">
            <v>4.8201106437146301E-3</v>
          </cell>
        </row>
        <row r="554">
          <cell r="A554" t="str">
            <v>EUR_EURIBOR_EOD</v>
          </cell>
          <cell r="C554">
            <v>45229</v>
          </cell>
          <cell r="E554">
            <v>6.09788871907094E-3</v>
          </cell>
        </row>
        <row r="555">
          <cell r="A555" t="str">
            <v>EUR_EURIBOR_EOD</v>
          </cell>
          <cell r="C555">
            <v>45594</v>
          </cell>
          <cell r="E555">
            <v>7.2885979689065999E-3</v>
          </cell>
        </row>
        <row r="556">
          <cell r="A556" t="str">
            <v>EUR_EURIBOR_EOD</v>
          </cell>
          <cell r="C556">
            <v>45959</v>
          </cell>
          <cell r="E556">
            <v>8.38279924877244E-3</v>
          </cell>
        </row>
        <row r="557">
          <cell r="A557" t="str">
            <v>EUR_EURIBOR_EOD</v>
          </cell>
          <cell r="C557">
            <v>46689</v>
          </cell>
          <cell r="E557">
            <v>1.02825455266983E-2</v>
          </cell>
        </row>
        <row r="558">
          <cell r="A558" t="str">
            <v>EUR_EURIBOR_EOD</v>
          </cell>
          <cell r="C558">
            <v>47785</v>
          </cell>
          <cell r="E558">
            <v>1.2356825298458199E-2</v>
          </cell>
        </row>
        <row r="559">
          <cell r="A559" t="str">
            <v>EUR_EURIBOR_EOD</v>
          </cell>
          <cell r="C559">
            <v>49611</v>
          </cell>
          <cell r="E559">
            <v>1.41962677006686E-2</v>
          </cell>
        </row>
        <row r="560">
          <cell r="A560" t="str">
            <v>EUR_EURIBOR_EOD</v>
          </cell>
          <cell r="C560">
            <v>51438</v>
          </cell>
          <cell r="E560">
            <v>1.4651706074055099E-2</v>
          </cell>
        </row>
        <row r="561">
          <cell r="A561" t="str">
            <v>EUR_EURIBOR_EOD</v>
          </cell>
          <cell r="C561">
            <v>53265</v>
          </cell>
          <cell r="E561">
            <v>1.47630124113661E-2</v>
          </cell>
        </row>
        <row r="562">
          <cell r="A562" t="str">
            <v>EUR_EURIBOR_EOD</v>
          </cell>
          <cell r="C562">
            <v>56916</v>
          </cell>
          <cell r="E562">
            <v>1.4777921450640301E-2</v>
          </cell>
        </row>
        <row r="563">
          <cell r="A563" t="str">
            <v>EUR_EURIBOR_EOD</v>
          </cell>
          <cell r="C563">
            <v>60569</v>
          </cell>
          <cell r="E563">
            <v>1.41365783697308E-2</v>
          </cell>
        </row>
        <row r="564">
          <cell r="A564" t="str">
            <v>EUR_EURIBOR_EOD</v>
          </cell>
          <cell r="C564">
            <v>64221</v>
          </cell>
          <cell r="E564">
            <v>1.3583135548277701E-2</v>
          </cell>
        </row>
        <row r="565">
          <cell r="A565" t="str">
            <v>GBP_LIBOR_12M_EOD</v>
          </cell>
          <cell r="C565">
            <v>42670</v>
          </cell>
          <cell r="E565">
            <v>1.01358169282964E-2</v>
          </cell>
        </row>
        <row r="566">
          <cell r="A566" t="str">
            <v>GBP_LIBOR_12M_EOD</v>
          </cell>
          <cell r="C566">
            <v>42702</v>
          </cell>
          <cell r="E566">
            <v>1.0512124180009699E-2</v>
          </cell>
        </row>
        <row r="567">
          <cell r="A567" t="str">
            <v>GBP_LIBOR_12M_EOD</v>
          </cell>
          <cell r="C567">
            <v>42732</v>
          </cell>
          <cell r="E567">
            <v>1.0648605520799E-2</v>
          </cell>
        </row>
        <row r="568">
          <cell r="A568" t="str">
            <v>GBP_LIBOR_12M_EOD</v>
          </cell>
          <cell r="C568">
            <v>42762</v>
          </cell>
          <cell r="E568">
            <v>1.0778282588974701E-2</v>
          </cell>
        </row>
        <row r="569">
          <cell r="A569" t="str">
            <v>GBP_LIBOR_12M_EOD</v>
          </cell>
          <cell r="C569">
            <v>42793</v>
          </cell>
          <cell r="E569">
            <v>1.0915585452266801E-2</v>
          </cell>
        </row>
        <row r="570">
          <cell r="A570" t="str">
            <v>GBP_LIBOR_12M_EOD</v>
          </cell>
          <cell r="C570">
            <v>42821</v>
          </cell>
          <cell r="E570">
            <v>1.1010692422587801E-2</v>
          </cell>
        </row>
        <row r="571">
          <cell r="A571" t="str">
            <v>GBP_LIBOR_12M_EOD</v>
          </cell>
          <cell r="C571">
            <v>42852</v>
          </cell>
          <cell r="E571">
            <v>1.10665795070301E-2</v>
          </cell>
        </row>
        <row r="572">
          <cell r="A572" t="str">
            <v>GBP_LIBOR_12M_EOD</v>
          </cell>
          <cell r="C572">
            <v>42943</v>
          </cell>
          <cell r="E572">
            <v>1.13855750772471E-2</v>
          </cell>
        </row>
        <row r="573">
          <cell r="A573" t="str">
            <v>GBP_LIBOR_12M_EOD</v>
          </cell>
          <cell r="C573">
            <v>43035</v>
          </cell>
          <cell r="E573">
            <v>1.1251602888202801E-2</v>
          </cell>
        </row>
        <row r="574">
          <cell r="A574" t="str">
            <v>GBP_LIBOR_12M_EOD</v>
          </cell>
          <cell r="C574">
            <v>43402</v>
          </cell>
          <cell r="E574">
            <v>1.2668129459680899E-2</v>
          </cell>
        </row>
        <row r="575">
          <cell r="A575" t="str">
            <v>GBP_LIBOR_12M_EOD</v>
          </cell>
          <cell r="C575">
            <v>43766</v>
          </cell>
          <cell r="E575">
            <v>1.40550665652269E-2</v>
          </cell>
        </row>
        <row r="576">
          <cell r="A576" t="str">
            <v>GBP_LIBOR_12M_EOD</v>
          </cell>
          <cell r="C576">
            <v>44131</v>
          </cell>
          <cell r="E576">
            <v>1.53438212667148E-2</v>
          </cell>
        </row>
        <row r="577">
          <cell r="A577" t="str">
            <v>GBP_LIBOR_12M_EOD</v>
          </cell>
          <cell r="C577">
            <v>44496</v>
          </cell>
          <cell r="E577">
            <v>1.6470665906584098E-2</v>
          </cell>
        </row>
        <row r="578">
          <cell r="A578" t="str">
            <v>GBP_LIBOR_12M_EOD</v>
          </cell>
          <cell r="C578">
            <v>44861</v>
          </cell>
          <cell r="E578">
            <v>1.7407708082653E-2</v>
          </cell>
        </row>
        <row r="579">
          <cell r="A579" t="str">
            <v>GBP_LIBOR_12M_EOD</v>
          </cell>
          <cell r="C579">
            <v>45226</v>
          </cell>
          <cell r="E579">
            <v>1.8170249402194E-2</v>
          </cell>
        </row>
        <row r="580">
          <cell r="A580" t="str">
            <v>GBP_LIBOR_12M_EOD</v>
          </cell>
          <cell r="C580">
            <v>45593</v>
          </cell>
          <cell r="E580">
            <v>1.8798274472382599E-2</v>
          </cell>
        </row>
        <row r="581">
          <cell r="A581" t="str">
            <v>GBP_LIBOR_12M_EOD</v>
          </cell>
          <cell r="C581">
            <v>45957</v>
          </cell>
          <cell r="E581">
            <v>1.9359137420110001E-2</v>
          </cell>
        </row>
        <row r="582">
          <cell r="A582" t="str">
            <v>GBP_LIBOR_12M_EOD</v>
          </cell>
          <cell r="C582">
            <v>46687</v>
          </cell>
          <cell r="E582">
            <v>2.02920967609257E-2</v>
          </cell>
        </row>
        <row r="583">
          <cell r="A583" t="str">
            <v>GBP_LIBOR_12M_EOD</v>
          </cell>
          <cell r="C583">
            <v>47784</v>
          </cell>
          <cell r="E583">
            <v>2.1232880184483799E-2</v>
          </cell>
        </row>
        <row r="584">
          <cell r="A584" t="str">
            <v>GBP_LIBOR_12M_EOD</v>
          </cell>
          <cell r="C584">
            <v>49611</v>
          </cell>
          <cell r="E584">
            <v>2.1827259190609599E-2</v>
          </cell>
        </row>
        <row r="585">
          <cell r="A585" t="str">
            <v>GBP_LIBOR_12M_EOD</v>
          </cell>
          <cell r="C585">
            <v>51438</v>
          </cell>
          <cell r="E585">
            <v>2.1711753336989201E-2</v>
          </cell>
        </row>
        <row r="586">
          <cell r="A586" t="str">
            <v>GBP_LIBOR_12M_EOD</v>
          </cell>
          <cell r="C586">
            <v>53262</v>
          </cell>
          <cell r="E586">
            <v>2.1486254348496301E-2</v>
          </cell>
        </row>
        <row r="587">
          <cell r="A587" t="str">
            <v>GBP_LIBOR_12M_EOD</v>
          </cell>
          <cell r="C587">
            <v>56914</v>
          </cell>
          <cell r="E587">
            <v>2.0673393118001499E-2</v>
          </cell>
        </row>
        <row r="588">
          <cell r="A588" t="str">
            <v>GBP_LIBOR_12M_EOD</v>
          </cell>
          <cell r="C588">
            <v>60567</v>
          </cell>
          <cell r="E588">
            <v>2.0201069970263E-2</v>
          </cell>
        </row>
        <row r="589">
          <cell r="A589" t="str">
            <v>GBP_LIBOR_12M_EOD</v>
          </cell>
          <cell r="C589">
            <v>64220</v>
          </cell>
          <cell r="E589">
            <v>1.9885610144344E-2</v>
          </cell>
        </row>
        <row r="590">
          <cell r="A590" t="str">
            <v>GBP_LIBOR_1M_EOD</v>
          </cell>
          <cell r="C590">
            <v>42335</v>
          </cell>
          <cell r="E590">
            <v>5.0620117031729903E-3</v>
          </cell>
        </row>
        <row r="591">
          <cell r="A591" t="str">
            <v>GBP_LIBOR_1M_EOD</v>
          </cell>
          <cell r="C591">
            <v>42367</v>
          </cell>
          <cell r="E591">
            <v>5.0978789530447301E-3</v>
          </cell>
        </row>
        <row r="592">
          <cell r="A592" t="str">
            <v>GBP_LIBOR_1M_EOD</v>
          </cell>
          <cell r="C592">
            <v>42396</v>
          </cell>
          <cell r="E592">
            <v>5.1120564274804202E-3</v>
          </cell>
        </row>
        <row r="593">
          <cell r="A593" t="str">
            <v>GBP_LIBOR_1M_EOD</v>
          </cell>
          <cell r="C593">
            <v>42487</v>
          </cell>
          <cell r="E593">
            <v>5.2789246954112997E-3</v>
          </cell>
        </row>
        <row r="594">
          <cell r="A594" t="str">
            <v>GBP_LIBOR_1M_EOD</v>
          </cell>
          <cell r="C594">
            <v>42578</v>
          </cell>
          <cell r="E594">
            <v>5.4650064113161301E-3</v>
          </cell>
        </row>
        <row r="595">
          <cell r="A595" t="str">
            <v>GBP_LIBOR_1M_EOD</v>
          </cell>
          <cell r="C595">
            <v>42670</v>
          </cell>
          <cell r="E595">
            <v>5.7133496745507698E-3</v>
          </cell>
        </row>
        <row r="596">
          <cell r="A596" t="str">
            <v>GBP_LIBOR_1M_EOD</v>
          </cell>
          <cell r="C596">
            <v>43035</v>
          </cell>
          <cell r="E596">
            <v>7.0835226101165797E-3</v>
          </cell>
        </row>
        <row r="597">
          <cell r="A597" t="str">
            <v>GBP_LIBOR_1M_EOD</v>
          </cell>
          <cell r="C597">
            <v>43402</v>
          </cell>
          <cell r="E597">
            <v>8.6938340768893101E-3</v>
          </cell>
        </row>
        <row r="598">
          <cell r="A598" t="str">
            <v>GBP_LIBOR_1M_EOD</v>
          </cell>
          <cell r="C598">
            <v>43766</v>
          </cell>
          <cell r="E598">
            <v>1.02374192146474E-2</v>
          </cell>
        </row>
        <row r="599">
          <cell r="A599" t="str">
            <v>GBP_LIBOR_1M_EOD</v>
          </cell>
          <cell r="C599">
            <v>44131</v>
          </cell>
          <cell r="E599">
            <v>1.1645200281979301E-2</v>
          </cell>
        </row>
        <row r="600">
          <cell r="A600" t="str">
            <v>GBP_LIBOR_1M_EOD</v>
          </cell>
          <cell r="C600">
            <v>44496</v>
          </cell>
          <cell r="E600">
            <v>1.28774209586288E-2</v>
          </cell>
        </row>
        <row r="601">
          <cell r="A601" t="str">
            <v>GBP_LIBOR_1M_EOD</v>
          </cell>
          <cell r="C601">
            <v>44861</v>
          </cell>
          <cell r="E601">
            <v>1.39327100441976E-2</v>
          </cell>
        </row>
        <row r="602">
          <cell r="A602" t="str">
            <v>GBP_LIBOR_1M_EOD</v>
          </cell>
          <cell r="C602">
            <v>45226</v>
          </cell>
          <cell r="E602">
            <v>1.47874683763102E-2</v>
          </cell>
        </row>
        <row r="603">
          <cell r="A603" t="str">
            <v>GBP_LIBOR_1M_EOD</v>
          </cell>
          <cell r="C603">
            <v>45593</v>
          </cell>
          <cell r="E603">
            <v>1.55341654226193E-2</v>
          </cell>
        </row>
        <row r="604">
          <cell r="A604" t="str">
            <v>GBP_LIBOR_1M_EOD</v>
          </cell>
          <cell r="C604">
            <v>45957</v>
          </cell>
          <cell r="E604">
            <v>1.6201653927048001E-2</v>
          </cell>
        </row>
        <row r="605">
          <cell r="A605" t="str">
            <v>GBP_LIBOR_1M_EOD</v>
          </cell>
          <cell r="C605">
            <v>46687</v>
          </cell>
          <cell r="E605">
            <v>1.7362055993075699E-2</v>
          </cell>
        </row>
        <row r="606">
          <cell r="A606" t="str">
            <v>GBP_LIBOR_1M_EOD</v>
          </cell>
          <cell r="C606">
            <v>47784</v>
          </cell>
          <cell r="E606">
            <v>1.86579954331056E-2</v>
          </cell>
        </row>
        <row r="607">
          <cell r="A607" t="str">
            <v>GBP_LIBOR_1M_EOD</v>
          </cell>
          <cell r="C607">
            <v>49611</v>
          </cell>
          <cell r="E607">
            <v>1.9611552998973499E-2</v>
          </cell>
        </row>
        <row r="608">
          <cell r="A608" t="str">
            <v>GBP_LIBOR_1M_EOD</v>
          </cell>
          <cell r="C608">
            <v>51438</v>
          </cell>
          <cell r="E608">
            <v>1.9811573993909998E-2</v>
          </cell>
        </row>
        <row r="609">
          <cell r="A609" t="str">
            <v>GBP_LIBOR_1M_EOD</v>
          </cell>
          <cell r="C609">
            <v>53262</v>
          </cell>
          <cell r="E609">
            <v>1.9785797493708901E-2</v>
          </cell>
        </row>
        <row r="610">
          <cell r="A610" t="str">
            <v>GBP_LIBOR_1M_EOD</v>
          </cell>
          <cell r="C610">
            <v>56914</v>
          </cell>
          <cell r="E610">
            <v>1.9094186357982899E-2</v>
          </cell>
        </row>
        <row r="611">
          <cell r="A611" t="str">
            <v>GBP_LIBOR_1M_EOD</v>
          </cell>
          <cell r="C611">
            <v>60567</v>
          </cell>
          <cell r="E611">
            <v>1.8712865887906199E-2</v>
          </cell>
        </row>
        <row r="612">
          <cell r="A612" t="str">
            <v>GBP_LIBOR_1M_EOD</v>
          </cell>
          <cell r="C612">
            <v>64220</v>
          </cell>
          <cell r="E612">
            <v>1.8858302853251099E-2</v>
          </cell>
        </row>
        <row r="613">
          <cell r="A613" t="str">
            <v>GBP_LIBOR_3M_EOD</v>
          </cell>
          <cell r="C613">
            <v>42396</v>
          </cell>
          <cell r="E613">
            <v>5.7895736115866304E-3</v>
          </cell>
        </row>
        <row r="614">
          <cell r="A614" t="str">
            <v>GBP_LIBOR_3M_EOD</v>
          </cell>
          <cell r="C614">
            <v>42445</v>
          </cell>
          <cell r="E614">
            <v>5.9205540210378899E-3</v>
          </cell>
        </row>
        <row r="615">
          <cell r="A615" t="str">
            <v>GBP_LIBOR_3M_EOD</v>
          </cell>
          <cell r="C615">
            <v>42536</v>
          </cell>
          <cell r="E615">
            <v>6.0627285009346903E-3</v>
          </cell>
        </row>
        <row r="616">
          <cell r="A616" t="str">
            <v>GBP_LIBOR_3M_EOD</v>
          </cell>
          <cell r="C616">
            <v>42634</v>
          </cell>
          <cell r="E616">
            <v>6.2722373910306497E-3</v>
          </cell>
        </row>
        <row r="617">
          <cell r="A617" t="str">
            <v>GBP_LIBOR_3M_EOD</v>
          </cell>
          <cell r="C617">
            <v>42725</v>
          </cell>
          <cell r="E617">
            <v>6.5484045724587799E-3</v>
          </cell>
        </row>
        <row r="618">
          <cell r="A618" t="str">
            <v>GBP_LIBOR_3M_EOD</v>
          </cell>
          <cell r="C618">
            <v>42809</v>
          </cell>
          <cell r="E618">
            <v>6.8778580744058102E-3</v>
          </cell>
        </row>
        <row r="619">
          <cell r="A619" t="str">
            <v>GBP_LIBOR_3M_EOD</v>
          </cell>
          <cell r="C619">
            <v>42907</v>
          </cell>
          <cell r="E619">
            <v>7.2797870091298403E-3</v>
          </cell>
        </row>
        <row r="620">
          <cell r="A620" t="str">
            <v>GBP_LIBOR_3M_EOD</v>
          </cell>
          <cell r="C620">
            <v>42998</v>
          </cell>
          <cell r="E620">
            <v>7.6783749297650904E-3</v>
          </cell>
        </row>
        <row r="621">
          <cell r="A621" t="str">
            <v>GBP_LIBOR_3M_EOD</v>
          </cell>
          <cell r="C621">
            <v>43089</v>
          </cell>
          <cell r="E621">
            <v>8.0850361364114606E-3</v>
          </cell>
        </row>
        <row r="622">
          <cell r="A622" t="str">
            <v>GBP_LIBOR_3M_EOD</v>
          </cell>
          <cell r="C622">
            <v>43402</v>
          </cell>
          <cell r="E622">
            <v>9.4893737674577195E-3</v>
          </cell>
        </row>
        <row r="623">
          <cell r="A623" t="str">
            <v>GBP_LIBOR_3M_EOD</v>
          </cell>
          <cell r="C623">
            <v>43766</v>
          </cell>
          <cell r="E623">
            <v>1.10348884922755E-2</v>
          </cell>
        </row>
        <row r="624">
          <cell r="A624" t="str">
            <v>GBP_LIBOR_3M_EOD</v>
          </cell>
          <cell r="C624">
            <v>44131</v>
          </cell>
          <cell r="E624">
            <v>1.2428560017496801E-2</v>
          </cell>
        </row>
        <row r="625">
          <cell r="A625" t="str">
            <v>GBP_LIBOR_3M_EOD</v>
          </cell>
          <cell r="C625">
            <v>44496</v>
          </cell>
          <cell r="E625">
            <v>1.36345145786509E-2</v>
          </cell>
        </row>
        <row r="626">
          <cell r="A626" t="str">
            <v>GBP_LIBOR_3M_EOD</v>
          </cell>
          <cell r="C626">
            <v>44861</v>
          </cell>
          <cell r="E626">
            <v>1.4637692014011701E-2</v>
          </cell>
        </row>
        <row r="627">
          <cell r="A627" t="str">
            <v>GBP_LIBOR_3M_EOD</v>
          </cell>
          <cell r="C627">
            <v>45226</v>
          </cell>
          <cell r="E627">
            <v>1.54663524940992E-2</v>
          </cell>
        </row>
        <row r="628">
          <cell r="A628" t="str">
            <v>GBP_LIBOR_3M_EOD</v>
          </cell>
          <cell r="C628">
            <v>45593</v>
          </cell>
          <cell r="E628">
            <v>1.6186789763274301E-2</v>
          </cell>
        </row>
        <row r="629">
          <cell r="A629" t="str">
            <v>GBP_LIBOR_3M_EOD</v>
          </cell>
          <cell r="C629">
            <v>45957</v>
          </cell>
          <cell r="E629">
            <v>1.68542691987183E-2</v>
          </cell>
        </row>
        <row r="630">
          <cell r="A630" t="str">
            <v>GBP_LIBOR_3M_EOD</v>
          </cell>
          <cell r="C630">
            <v>46687</v>
          </cell>
          <cell r="E630">
            <v>1.8015309664772602E-2</v>
          </cell>
        </row>
        <row r="631">
          <cell r="A631" t="str">
            <v>GBP_LIBOR_3M_EOD</v>
          </cell>
          <cell r="C631">
            <v>47784</v>
          </cell>
          <cell r="E631">
            <v>1.9284169148952601E-2</v>
          </cell>
        </row>
        <row r="632">
          <cell r="A632" t="str">
            <v>GBP_LIBOR_3M_EOD</v>
          </cell>
          <cell r="C632">
            <v>49611</v>
          </cell>
          <cell r="E632">
            <v>2.0224459459332801E-2</v>
          </cell>
        </row>
        <row r="633">
          <cell r="A633" t="str">
            <v>GBP_LIBOR_3M_EOD</v>
          </cell>
          <cell r="C633">
            <v>51438</v>
          </cell>
          <cell r="E633">
            <v>2.0363658947083599E-2</v>
          </cell>
        </row>
        <row r="634">
          <cell r="A634" t="str">
            <v>GBP_LIBOR_3M_EOD</v>
          </cell>
          <cell r="C634">
            <v>53262</v>
          </cell>
          <cell r="E634">
            <v>2.03114729319127E-2</v>
          </cell>
        </row>
        <row r="635">
          <cell r="A635" t="str">
            <v>GBP_LIBOR_3M_EOD</v>
          </cell>
          <cell r="C635">
            <v>56914</v>
          </cell>
          <cell r="E635">
            <v>1.95878113985649E-2</v>
          </cell>
        </row>
        <row r="636">
          <cell r="A636" t="str">
            <v>GBP_LIBOR_3M_EOD</v>
          </cell>
          <cell r="C636">
            <v>60567</v>
          </cell>
          <cell r="E636">
            <v>1.9174724096136301E-2</v>
          </cell>
        </row>
        <row r="637">
          <cell r="A637" t="str">
            <v>GBP_LIBOR_3M_EOD</v>
          </cell>
          <cell r="C637">
            <v>64220</v>
          </cell>
          <cell r="E637">
            <v>1.92637133384965E-2</v>
          </cell>
        </row>
        <row r="638">
          <cell r="A638" t="str">
            <v>GBP_LIBOR_6M_EOD</v>
          </cell>
          <cell r="C638">
            <v>42487</v>
          </cell>
          <cell r="E638">
            <v>7.3863063529035298E-3</v>
          </cell>
        </row>
        <row r="639">
          <cell r="A639" t="str">
            <v>GBP_LIBOR_6M_EOD</v>
          </cell>
          <cell r="C639">
            <v>42670</v>
          </cell>
          <cell r="E639">
            <v>7.7623400500323901E-3</v>
          </cell>
        </row>
        <row r="640">
          <cell r="A640" t="str">
            <v>GBP_LIBOR_6M_EOD</v>
          </cell>
          <cell r="C640">
            <v>42852</v>
          </cell>
          <cell r="E640">
            <v>8.3799249189011292E-3</v>
          </cell>
        </row>
        <row r="641">
          <cell r="A641" t="str">
            <v>GBP_LIBOR_6M_EOD</v>
          </cell>
          <cell r="C641">
            <v>43035</v>
          </cell>
          <cell r="E641">
            <v>9.1639005281135208E-3</v>
          </cell>
        </row>
        <row r="642">
          <cell r="A642" t="str">
            <v>GBP_LIBOR_6M_EOD</v>
          </cell>
          <cell r="C642">
            <v>43402</v>
          </cell>
          <cell r="E642">
            <v>1.0771390168372299E-2</v>
          </cell>
        </row>
        <row r="643">
          <cell r="A643" t="str">
            <v>GBP_LIBOR_6M_EOD</v>
          </cell>
          <cell r="C643">
            <v>43766</v>
          </cell>
          <cell r="E643">
            <v>1.23126152838514E-2</v>
          </cell>
        </row>
        <row r="644">
          <cell r="A644" t="str">
            <v>GBP_LIBOR_6M_EOD</v>
          </cell>
          <cell r="C644">
            <v>44131</v>
          </cell>
          <cell r="E644">
            <v>1.37046211518303E-2</v>
          </cell>
        </row>
        <row r="645">
          <cell r="A645" t="str">
            <v>GBP_LIBOR_6M_EOD</v>
          </cell>
          <cell r="C645">
            <v>44496</v>
          </cell>
          <cell r="E645">
            <v>1.49094565370133E-2</v>
          </cell>
        </row>
        <row r="646">
          <cell r="A646" t="str">
            <v>GBP_LIBOR_6M_EOD</v>
          </cell>
          <cell r="C646">
            <v>44861</v>
          </cell>
          <cell r="E646">
            <v>1.5898801445211799E-2</v>
          </cell>
        </row>
        <row r="647">
          <cell r="A647" t="str">
            <v>GBP_LIBOR_6M_EOD</v>
          </cell>
          <cell r="C647">
            <v>45226</v>
          </cell>
          <cell r="E647">
            <v>1.6726843443259299E-2</v>
          </cell>
        </row>
        <row r="648">
          <cell r="A648" t="str">
            <v>GBP_LIBOR_6M_EOD</v>
          </cell>
          <cell r="C648">
            <v>45593</v>
          </cell>
          <cell r="E648">
            <v>1.7433595263814401E-2</v>
          </cell>
        </row>
        <row r="649">
          <cell r="A649" t="str">
            <v>GBP_LIBOR_6M_EOD</v>
          </cell>
          <cell r="C649">
            <v>45957</v>
          </cell>
          <cell r="E649">
            <v>1.80604731589682E-2</v>
          </cell>
        </row>
        <row r="650">
          <cell r="A650" t="str">
            <v>GBP_LIBOR_6M_EOD</v>
          </cell>
          <cell r="C650">
            <v>46687</v>
          </cell>
          <cell r="E650">
            <v>1.9126230342066401E-2</v>
          </cell>
        </row>
        <row r="651">
          <cell r="A651" t="str">
            <v>GBP_LIBOR_6M_EOD</v>
          </cell>
          <cell r="C651">
            <v>47784</v>
          </cell>
          <cell r="E651">
            <v>2.0214722801331301E-2</v>
          </cell>
        </row>
        <row r="652">
          <cell r="A652" t="str">
            <v>GBP_LIBOR_6M_EOD</v>
          </cell>
          <cell r="C652">
            <v>49611</v>
          </cell>
          <cell r="E652">
            <v>2.0957923461792899E-2</v>
          </cell>
        </row>
        <row r="653">
          <cell r="A653" t="str">
            <v>GBP_LIBOR_6M_EOD</v>
          </cell>
          <cell r="C653">
            <v>51438</v>
          </cell>
          <cell r="E653">
            <v>2.09689120804884E-2</v>
          </cell>
        </row>
        <row r="654">
          <cell r="A654" t="str">
            <v>GBP_LIBOR_6M_EOD</v>
          </cell>
          <cell r="C654">
            <v>53262</v>
          </cell>
          <cell r="E654">
            <v>2.08278465721995E-2</v>
          </cell>
        </row>
        <row r="655">
          <cell r="A655" t="str">
            <v>GBP_LIBOR_6M_EOD</v>
          </cell>
          <cell r="C655">
            <v>56914</v>
          </cell>
          <cell r="E655">
            <v>1.9992319308250999E-2</v>
          </cell>
        </row>
        <row r="656">
          <cell r="A656" t="str">
            <v>GBP_LIBOR_6M_EOD</v>
          </cell>
          <cell r="C656">
            <v>60567</v>
          </cell>
          <cell r="E656">
            <v>1.9506382890971501E-2</v>
          </cell>
        </row>
        <row r="657">
          <cell r="A657" t="str">
            <v>GBP_LIBOR_6M_EOD</v>
          </cell>
          <cell r="C657">
            <v>64220</v>
          </cell>
          <cell r="E657">
            <v>1.9552210596212101E-2</v>
          </cell>
        </row>
        <row r="658">
          <cell r="A658" t="str">
            <v>GBP_LIBOR_EOD</v>
          </cell>
          <cell r="C658">
            <v>42305</v>
          </cell>
          <cell r="E658">
            <v>4.82496810900557E-3</v>
          </cell>
        </row>
        <row r="659">
          <cell r="A659" t="str">
            <v>GBP_LIBOR_EOD</v>
          </cell>
          <cell r="C659">
            <v>42311</v>
          </cell>
          <cell r="E659">
            <v>4.8528741673604103E-3</v>
          </cell>
        </row>
        <row r="660">
          <cell r="A660" t="str">
            <v>GBP_LIBOR_EOD</v>
          </cell>
          <cell r="C660">
            <v>42335</v>
          </cell>
          <cell r="E660">
            <v>5.0620117031714802E-3</v>
          </cell>
        </row>
        <row r="661">
          <cell r="A661" t="str">
            <v>GBP_LIBOR_EOD</v>
          </cell>
          <cell r="C661">
            <v>42445</v>
          </cell>
          <cell r="E661">
            <v>5.7017370365378198E-3</v>
          </cell>
        </row>
        <row r="662">
          <cell r="A662" t="str">
            <v>GBP_LIBOR_EOD</v>
          </cell>
          <cell r="C662">
            <v>42536</v>
          </cell>
          <cell r="E662">
            <v>5.9297405922514399E-3</v>
          </cell>
        </row>
        <row r="663">
          <cell r="A663" t="str">
            <v>GBP_LIBOR_EOD</v>
          </cell>
          <cell r="C663">
            <v>42634</v>
          </cell>
          <cell r="E663">
            <v>6.1787428612896196E-3</v>
          </cell>
        </row>
        <row r="664">
          <cell r="A664" t="str">
            <v>GBP_LIBOR_EOD</v>
          </cell>
          <cell r="C664">
            <v>42725</v>
          </cell>
          <cell r="E664">
            <v>6.4751190740869498E-3</v>
          </cell>
        </row>
        <row r="665">
          <cell r="A665" t="str">
            <v>GBP_LIBOR_EOD</v>
          </cell>
          <cell r="C665">
            <v>42809</v>
          </cell>
          <cell r="E665">
            <v>6.8167626391294296E-3</v>
          </cell>
        </row>
        <row r="666">
          <cell r="A666" t="str">
            <v>GBP_LIBOR_EOD</v>
          </cell>
          <cell r="C666">
            <v>42907</v>
          </cell>
          <cell r="E666">
            <v>7.2286208485750399E-3</v>
          </cell>
        </row>
        <row r="667">
          <cell r="A667" t="str">
            <v>GBP_LIBOR_EOD</v>
          </cell>
          <cell r="C667">
            <v>42998</v>
          </cell>
          <cell r="E667">
            <v>7.6339178767181898E-3</v>
          </cell>
        </row>
        <row r="668">
          <cell r="A668" t="str">
            <v>GBP_LIBOR_EOD</v>
          </cell>
          <cell r="C668">
            <v>43089</v>
          </cell>
          <cell r="E668">
            <v>8.0457327035267402E-3</v>
          </cell>
        </row>
        <row r="669">
          <cell r="A669" t="str">
            <v>GBP_LIBOR_EOD</v>
          </cell>
          <cell r="C669">
            <v>43402</v>
          </cell>
          <cell r="E669">
            <v>1.07949840237858E-2</v>
          </cell>
        </row>
        <row r="670">
          <cell r="A670" t="str">
            <v>GBP_LIBOR_EOD</v>
          </cell>
          <cell r="C670">
            <v>43766</v>
          </cell>
          <cell r="E670">
            <v>1.2340512519110201E-2</v>
          </cell>
        </row>
        <row r="671">
          <cell r="A671" t="str">
            <v>GBP_LIBOR_EOD</v>
          </cell>
          <cell r="C671">
            <v>44131</v>
          </cell>
          <cell r="E671">
            <v>1.3738790395158801E-2</v>
          </cell>
        </row>
        <row r="672">
          <cell r="A672" t="str">
            <v>GBP_LIBOR_EOD</v>
          </cell>
          <cell r="C672">
            <v>44496</v>
          </cell>
          <cell r="E672">
            <v>1.49498573762725E-2</v>
          </cell>
        </row>
        <row r="673">
          <cell r="A673" t="str">
            <v>GBP_LIBOR_EOD</v>
          </cell>
          <cell r="C673">
            <v>44861</v>
          </cell>
          <cell r="E673">
            <v>1.59448227268967E-2</v>
          </cell>
        </row>
        <row r="674">
          <cell r="A674" t="str">
            <v>GBP_LIBOR_EOD</v>
          </cell>
          <cell r="C674">
            <v>45226</v>
          </cell>
          <cell r="E674">
            <v>1.6778004039591499E-2</v>
          </cell>
        </row>
        <row r="675">
          <cell r="A675" t="str">
            <v>GBP_LIBOR_EOD</v>
          </cell>
          <cell r="C675">
            <v>45593</v>
          </cell>
          <cell r="E675">
            <v>1.7489251616811499E-2</v>
          </cell>
        </row>
        <row r="676">
          <cell r="A676" t="str">
            <v>GBP_LIBOR_EOD</v>
          </cell>
          <cell r="C676">
            <v>45957</v>
          </cell>
          <cell r="E676">
            <v>1.81203745346558E-2</v>
          </cell>
        </row>
        <row r="677">
          <cell r="A677" t="str">
            <v>GBP_LIBOR_EOD</v>
          </cell>
          <cell r="C677">
            <v>46687</v>
          </cell>
          <cell r="E677">
            <v>1.9193779450445699E-2</v>
          </cell>
        </row>
        <row r="678">
          <cell r="A678" t="str">
            <v>GBP_LIBOR_EOD</v>
          </cell>
          <cell r="C678">
            <v>47784</v>
          </cell>
          <cell r="E678">
            <v>2.02875790432447E-2</v>
          </cell>
        </row>
        <row r="679">
          <cell r="A679" t="str">
            <v>GBP_LIBOR_EOD</v>
          </cell>
          <cell r="C679">
            <v>49611</v>
          </cell>
          <cell r="E679">
            <v>2.1027189471263301E-2</v>
          </cell>
        </row>
        <row r="680">
          <cell r="A680" t="str">
            <v>GBP_LIBOR_EOD</v>
          </cell>
          <cell r="C680">
            <v>51438</v>
          </cell>
          <cell r="E680">
            <v>2.1026030894637102E-2</v>
          </cell>
        </row>
        <row r="681">
          <cell r="A681" t="str">
            <v>GBP_LIBOR_EOD</v>
          </cell>
          <cell r="C681">
            <v>53262</v>
          </cell>
          <cell r="E681">
            <v>2.0873673535757802E-2</v>
          </cell>
        </row>
        <row r="682">
          <cell r="A682" t="str">
            <v>GBP_LIBOR_EOD</v>
          </cell>
          <cell r="C682">
            <v>56914</v>
          </cell>
          <cell r="E682">
            <v>2.00092266534641E-2</v>
          </cell>
        </row>
        <row r="683">
          <cell r="A683" t="str">
            <v>GBP_LIBOR_EOD</v>
          </cell>
          <cell r="C683">
            <v>60567</v>
          </cell>
          <cell r="E683">
            <v>1.9507280819019899E-2</v>
          </cell>
        </row>
        <row r="684">
          <cell r="A684" t="str">
            <v>GBP_LIBOR_EOD</v>
          </cell>
          <cell r="C684">
            <v>64220</v>
          </cell>
          <cell r="E684">
            <v>1.9553434115597401E-2</v>
          </cell>
        </row>
        <row r="685">
          <cell r="A685" t="str">
            <v>GBP_SONIA_EOD</v>
          </cell>
          <cell r="C685">
            <v>42305</v>
          </cell>
          <cell r="E685">
            <v>4.6329705965802402E-3</v>
          </cell>
        </row>
        <row r="686">
          <cell r="A686" t="str">
            <v>GBP_SONIA_EOD</v>
          </cell>
          <cell r="C686">
            <v>42311</v>
          </cell>
          <cell r="E686">
            <v>4.6047966665268497E-3</v>
          </cell>
        </row>
        <row r="687">
          <cell r="A687" t="str">
            <v>GBP_SONIA_EOD</v>
          </cell>
          <cell r="C687">
            <v>42318</v>
          </cell>
          <cell r="E687">
            <v>4.6260895512541403E-3</v>
          </cell>
        </row>
        <row r="688">
          <cell r="A688" t="str">
            <v>GBP_SONIA_EOD</v>
          </cell>
          <cell r="C688">
            <v>42335</v>
          </cell>
          <cell r="E688">
            <v>4.6370867571261199E-3</v>
          </cell>
        </row>
        <row r="689">
          <cell r="A689" t="str">
            <v>GBP_SONIA_EOD</v>
          </cell>
          <cell r="C689">
            <v>42367</v>
          </cell>
          <cell r="E689">
            <v>4.6041700658822496E-3</v>
          </cell>
        </row>
        <row r="690">
          <cell r="A690" t="str">
            <v>GBP_SONIA_EOD</v>
          </cell>
          <cell r="C690">
            <v>42396</v>
          </cell>
          <cell r="E690">
            <v>4.5802301155349803E-3</v>
          </cell>
        </row>
        <row r="691">
          <cell r="A691" t="str">
            <v>GBP_SONIA_EOD</v>
          </cell>
          <cell r="C691">
            <v>42429</v>
          </cell>
          <cell r="E691">
            <v>4.6456774367947904E-3</v>
          </cell>
        </row>
        <row r="692">
          <cell r="A692" t="str">
            <v>GBP_SONIA_EOD</v>
          </cell>
          <cell r="C692">
            <v>42458</v>
          </cell>
          <cell r="E692">
            <v>4.69218566434645E-3</v>
          </cell>
        </row>
        <row r="693">
          <cell r="A693" t="str">
            <v>GBP_SONIA_EOD</v>
          </cell>
          <cell r="C693">
            <v>42487</v>
          </cell>
          <cell r="E693">
            <v>4.7317578405407798E-3</v>
          </cell>
        </row>
        <row r="694">
          <cell r="A694" t="str">
            <v>GBP_SONIA_EOD</v>
          </cell>
          <cell r="C694">
            <v>42517</v>
          </cell>
          <cell r="E694">
            <v>4.7836917557293997E-3</v>
          </cell>
        </row>
        <row r="695">
          <cell r="A695" t="str">
            <v>GBP_SONIA_EOD</v>
          </cell>
          <cell r="C695">
            <v>42548</v>
          </cell>
          <cell r="E695">
            <v>4.8248979873158999E-3</v>
          </cell>
        </row>
        <row r="696">
          <cell r="A696" t="str">
            <v>GBP_SONIA_EOD</v>
          </cell>
          <cell r="C696">
            <v>42578</v>
          </cell>
          <cell r="E696">
            <v>4.8747572502383799E-3</v>
          </cell>
        </row>
        <row r="697">
          <cell r="A697" t="str">
            <v>GBP_SONIA_EOD</v>
          </cell>
          <cell r="C697">
            <v>42612</v>
          </cell>
          <cell r="E697">
            <v>4.9227612493985204E-3</v>
          </cell>
        </row>
        <row r="698">
          <cell r="A698" t="str">
            <v>GBP_SONIA_EOD</v>
          </cell>
          <cell r="C698">
            <v>42640</v>
          </cell>
          <cell r="E698">
            <v>5.0417819142411996E-3</v>
          </cell>
        </row>
        <row r="699">
          <cell r="A699" t="str">
            <v>GBP_SONIA_EOD</v>
          </cell>
          <cell r="C699">
            <v>42670</v>
          </cell>
          <cell r="E699">
            <v>5.1037512018345301E-3</v>
          </cell>
        </row>
        <row r="700">
          <cell r="A700" t="str">
            <v>GBP_SONIA_EOD</v>
          </cell>
          <cell r="C700">
            <v>42762</v>
          </cell>
          <cell r="E700">
            <v>5.3609592499286101E-3</v>
          </cell>
        </row>
        <row r="701">
          <cell r="A701" t="str">
            <v>GBP_SONIA_EOD</v>
          </cell>
          <cell r="C701">
            <v>42852</v>
          </cell>
          <cell r="E701">
            <v>5.6565344088850902E-3</v>
          </cell>
        </row>
        <row r="702">
          <cell r="A702" t="str">
            <v>GBP_SONIA_EOD</v>
          </cell>
          <cell r="C702">
            <v>42943</v>
          </cell>
          <cell r="E702">
            <v>5.9784042885360298E-3</v>
          </cell>
        </row>
        <row r="703">
          <cell r="A703" t="str">
            <v>GBP_SONIA_EOD</v>
          </cell>
          <cell r="C703">
            <v>43035</v>
          </cell>
          <cell r="E703">
            <v>6.3338076203985003E-3</v>
          </cell>
        </row>
        <row r="704">
          <cell r="A704" t="str">
            <v>GBP_SONIA_EOD</v>
          </cell>
          <cell r="C704">
            <v>43402</v>
          </cell>
          <cell r="E704">
            <v>7.7309785399009697E-3</v>
          </cell>
        </row>
        <row r="705">
          <cell r="A705" t="str">
            <v>GBP_SONIA_EOD</v>
          </cell>
          <cell r="C705">
            <v>43766</v>
          </cell>
          <cell r="E705">
            <v>9.1262402718920999E-3</v>
          </cell>
        </row>
        <row r="706">
          <cell r="A706" t="str">
            <v>GBP_SONIA_EOD</v>
          </cell>
          <cell r="C706">
            <v>44131</v>
          </cell>
          <cell r="E706">
            <v>1.0445258388782399E-2</v>
          </cell>
        </row>
        <row r="707">
          <cell r="A707" t="str">
            <v>GBP_SONIA_EOD</v>
          </cell>
          <cell r="C707">
            <v>44496</v>
          </cell>
          <cell r="E707">
            <v>1.1627052172447701E-2</v>
          </cell>
        </row>
        <row r="708">
          <cell r="A708" t="str">
            <v>GBP_SONIA_EOD</v>
          </cell>
          <cell r="C708">
            <v>44861</v>
          </cell>
          <cell r="E708">
            <v>1.2631595595124299E-2</v>
          </cell>
        </row>
        <row r="709">
          <cell r="A709" t="str">
            <v>GBP_SONIA_EOD</v>
          </cell>
          <cell r="C709">
            <v>45226</v>
          </cell>
          <cell r="E709">
            <v>1.3474488557959401E-2</v>
          </cell>
        </row>
        <row r="710">
          <cell r="A710" t="str">
            <v>GBP_SONIA_EOD</v>
          </cell>
          <cell r="C710">
            <v>45593</v>
          </cell>
          <cell r="E710">
            <v>1.42489113150657E-2</v>
          </cell>
        </row>
        <row r="711">
          <cell r="A711" t="str">
            <v>GBP_SONIA_EOD</v>
          </cell>
          <cell r="C711">
            <v>45957</v>
          </cell>
          <cell r="E711">
            <v>1.4930103059764501E-2</v>
          </cell>
        </row>
        <row r="712">
          <cell r="A712" t="str">
            <v>GBP_SONIA_EOD</v>
          </cell>
          <cell r="C712">
            <v>46687</v>
          </cell>
          <cell r="E712">
            <v>1.6187339470535401E-2</v>
          </cell>
        </row>
        <row r="713">
          <cell r="A713" t="str">
            <v>GBP_SONIA_EOD</v>
          </cell>
          <cell r="C713">
            <v>47784</v>
          </cell>
          <cell r="E713">
            <v>1.7567107096774299E-2</v>
          </cell>
        </row>
        <row r="714">
          <cell r="A714" t="str">
            <v>GBP_SONIA_EOD</v>
          </cell>
          <cell r="C714">
            <v>49611</v>
          </cell>
          <cell r="E714">
            <v>1.8708373755546698E-2</v>
          </cell>
        </row>
        <row r="715">
          <cell r="A715" t="str">
            <v>GBP_SONIA_EOD</v>
          </cell>
          <cell r="C715">
            <v>51438</v>
          </cell>
          <cell r="E715">
            <v>1.8977997592530601E-2</v>
          </cell>
        </row>
        <row r="716">
          <cell r="A716" t="str">
            <v>GBP_SONIA_EOD</v>
          </cell>
          <cell r="C716">
            <v>53262</v>
          </cell>
          <cell r="E716">
            <v>1.90128927268222E-2</v>
          </cell>
        </row>
        <row r="717">
          <cell r="A717" t="str">
            <v>GBP_SONIA_EOD</v>
          </cell>
          <cell r="C717">
            <v>56914</v>
          </cell>
          <cell r="E717">
            <v>1.8423690784900498E-2</v>
          </cell>
        </row>
        <row r="718">
          <cell r="A718" t="str">
            <v>GBP_SONIA_EOD</v>
          </cell>
          <cell r="C718">
            <v>60567</v>
          </cell>
          <cell r="E718">
            <v>1.8102262295625501E-2</v>
          </cell>
        </row>
        <row r="719">
          <cell r="A719" t="str">
            <v>GBP_SONIA_EOD</v>
          </cell>
          <cell r="C719">
            <v>64220</v>
          </cell>
          <cell r="E719">
            <v>1.8254159207417402E-2</v>
          </cell>
        </row>
        <row r="720">
          <cell r="A720" t="str">
            <v>HKD_HIBOR_3M_EOD</v>
          </cell>
          <cell r="C720">
            <v>42396</v>
          </cell>
          <cell r="E720">
            <v>3.8381428486599302E-3</v>
          </cell>
        </row>
        <row r="721">
          <cell r="A721" t="str">
            <v>HKD_HIBOR_3M_EOD</v>
          </cell>
          <cell r="C721">
            <v>42487</v>
          </cell>
          <cell r="E721">
            <v>4.31501633023911E-3</v>
          </cell>
        </row>
        <row r="722">
          <cell r="A722" t="str">
            <v>HKD_HIBOR_3M_EOD</v>
          </cell>
          <cell r="C722">
            <v>42578</v>
          </cell>
          <cell r="E722">
            <v>4.7736488175722704E-3</v>
          </cell>
        </row>
        <row r="723">
          <cell r="A723" t="str">
            <v>HKD_HIBOR_3M_EOD</v>
          </cell>
          <cell r="C723">
            <v>42670</v>
          </cell>
          <cell r="E723">
            <v>5.2815416862996602E-3</v>
          </cell>
        </row>
        <row r="724">
          <cell r="A724" t="str">
            <v>HKD_HIBOR_3M_EOD</v>
          </cell>
          <cell r="C724">
            <v>43035</v>
          </cell>
          <cell r="E724">
            <v>7.6038590122971201E-3</v>
          </cell>
        </row>
        <row r="725">
          <cell r="A725" t="str">
            <v>HKD_HIBOR_3M_EOD</v>
          </cell>
          <cell r="C725">
            <v>43402</v>
          </cell>
          <cell r="E725">
            <v>9.6166653034819305E-3</v>
          </cell>
        </row>
        <row r="726">
          <cell r="A726" t="str">
            <v>HKD_HIBOR_3M_EOD</v>
          </cell>
          <cell r="C726">
            <v>43766</v>
          </cell>
          <cell r="E726">
            <v>1.1518274944776899E-2</v>
          </cell>
        </row>
        <row r="727">
          <cell r="A727" t="str">
            <v>HKD_HIBOR_3M_EOD</v>
          </cell>
          <cell r="C727">
            <v>44131</v>
          </cell>
          <cell r="E727">
            <v>1.29709014011149E-2</v>
          </cell>
        </row>
        <row r="728">
          <cell r="A728" t="str">
            <v>HKD_HIBOR_3M_EOD</v>
          </cell>
          <cell r="C728">
            <v>44861</v>
          </cell>
          <cell r="E728">
            <v>1.55135633007748E-2</v>
          </cell>
        </row>
        <row r="729">
          <cell r="A729" t="str">
            <v>HKD_HIBOR_3M_EOD</v>
          </cell>
          <cell r="C729">
            <v>45957</v>
          </cell>
          <cell r="E729">
            <v>1.81864046351593E-2</v>
          </cell>
        </row>
        <row r="730">
          <cell r="A730" t="str">
            <v>HKD_HIBOR_3M_EOD</v>
          </cell>
          <cell r="C730">
            <v>46687</v>
          </cell>
          <cell r="E730">
            <v>1.90241146522446E-2</v>
          </cell>
        </row>
        <row r="731">
          <cell r="A731" t="str">
            <v>HKD_HIBOR_3M_EOD</v>
          </cell>
          <cell r="C731">
            <v>47784</v>
          </cell>
          <cell r="E731">
            <v>2.0344278898042599E-2</v>
          </cell>
        </row>
        <row r="732">
          <cell r="A732" t="str">
            <v>HKD_HIBOR_6M_EOD</v>
          </cell>
          <cell r="C732">
            <v>42487</v>
          </cell>
          <cell r="E732">
            <v>5.4924306927116003E-3</v>
          </cell>
        </row>
        <row r="733">
          <cell r="A733" t="str">
            <v>HKD_HIBOR_6M_EOD</v>
          </cell>
          <cell r="C733">
            <v>42670</v>
          </cell>
          <cell r="E733">
            <v>6.7948481515009498E-3</v>
          </cell>
        </row>
        <row r="734">
          <cell r="A734" t="str">
            <v>HKD_HIBOR_6M_EOD</v>
          </cell>
          <cell r="C734">
            <v>43035</v>
          </cell>
          <cell r="E734">
            <v>8.9991499683586204E-3</v>
          </cell>
        </row>
        <row r="735">
          <cell r="A735" t="str">
            <v>HKD_HIBOR_6M_EOD</v>
          </cell>
          <cell r="C735">
            <v>43402</v>
          </cell>
          <cell r="E735">
            <v>1.0911805126874501E-2</v>
          </cell>
        </row>
        <row r="736">
          <cell r="A736" t="str">
            <v>HKD_HIBOR_6M_EOD</v>
          </cell>
          <cell r="C736">
            <v>43766</v>
          </cell>
          <cell r="E736">
            <v>1.2711111948405501E-2</v>
          </cell>
        </row>
        <row r="737">
          <cell r="A737" t="str">
            <v>HKD_HIBOR_6M_EOD</v>
          </cell>
          <cell r="C737">
            <v>44131</v>
          </cell>
          <cell r="E737">
            <v>1.4061027458900401E-2</v>
          </cell>
        </row>
        <row r="738">
          <cell r="A738" t="str">
            <v>HKD_HIBOR_6M_EOD</v>
          </cell>
          <cell r="C738">
            <v>44861</v>
          </cell>
          <cell r="E738">
            <v>1.65000130881417E-2</v>
          </cell>
        </row>
        <row r="739">
          <cell r="A739" t="str">
            <v>HKD_HIBOR_6M_EOD</v>
          </cell>
          <cell r="C739">
            <v>45957</v>
          </cell>
          <cell r="E739">
            <v>1.9173901636342101E-2</v>
          </cell>
        </row>
        <row r="740">
          <cell r="A740" t="str">
            <v>HKD_HIBOR_6M_EOD</v>
          </cell>
          <cell r="C740">
            <v>46687</v>
          </cell>
          <cell r="E740">
            <v>2.0123252650833E-2</v>
          </cell>
        </row>
        <row r="741">
          <cell r="A741" t="str">
            <v>HKD_HIBOR_6M_EOD</v>
          </cell>
          <cell r="C741">
            <v>47784</v>
          </cell>
          <cell r="E741">
            <v>2.1441561971617201E-2</v>
          </cell>
        </row>
        <row r="742">
          <cell r="A742" t="str">
            <v>HKD_HIBOR_EOD</v>
          </cell>
          <cell r="C742">
            <v>42305</v>
          </cell>
          <cell r="E742">
            <v>4.5709971377663001E-4</v>
          </cell>
        </row>
        <row r="743">
          <cell r="A743" t="str">
            <v>HKD_HIBOR_EOD</v>
          </cell>
          <cell r="C743">
            <v>42311</v>
          </cell>
          <cell r="E743">
            <v>9.0069222088812997E-4</v>
          </cell>
        </row>
        <row r="744">
          <cell r="A744" t="str">
            <v>HKD_HIBOR_EOD</v>
          </cell>
          <cell r="C744">
            <v>42335</v>
          </cell>
          <cell r="E744">
            <v>2.16810037071482E-3</v>
          </cell>
        </row>
        <row r="745">
          <cell r="A745" t="str">
            <v>HKD_HIBOR_EOD</v>
          </cell>
          <cell r="C745">
            <v>42366</v>
          </cell>
          <cell r="E745">
            <v>3.0708989209196802E-3</v>
          </cell>
        </row>
        <row r="746">
          <cell r="A746" t="str">
            <v>HKD_HIBOR_EOD</v>
          </cell>
          <cell r="C746">
            <v>42396</v>
          </cell>
          <cell r="E746">
            <v>3.8381428486594701E-3</v>
          </cell>
        </row>
        <row r="747">
          <cell r="A747" t="str">
            <v>HKD_HIBOR_EOD</v>
          </cell>
          <cell r="C747">
            <v>42487</v>
          </cell>
          <cell r="E747">
            <v>5.49243069271136E-3</v>
          </cell>
        </row>
        <row r="748">
          <cell r="A748" t="str">
            <v>HKD_HIBOR_EOD</v>
          </cell>
          <cell r="C748">
            <v>42670</v>
          </cell>
          <cell r="E748">
            <v>5.2967460337453101E-3</v>
          </cell>
        </row>
        <row r="749">
          <cell r="A749" t="str">
            <v>HKD_HIBOR_EOD</v>
          </cell>
          <cell r="C749">
            <v>43035</v>
          </cell>
          <cell r="E749">
            <v>7.6031211201445098E-3</v>
          </cell>
        </row>
        <row r="750">
          <cell r="A750" t="str">
            <v>HKD_HIBOR_EOD</v>
          </cell>
          <cell r="C750">
            <v>43402</v>
          </cell>
          <cell r="E750">
            <v>9.61755300595089E-3</v>
          </cell>
        </row>
        <row r="751">
          <cell r="A751" t="str">
            <v>HKD_HIBOR_EOD</v>
          </cell>
          <cell r="C751">
            <v>43766</v>
          </cell>
          <cell r="E751">
            <v>1.15184185192497E-2</v>
          </cell>
        </row>
        <row r="752">
          <cell r="A752" t="str">
            <v>HKD_HIBOR_EOD</v>
          </cell>
          <cell r="C752">
            <v>44131</v>
          </cell>
          <cell r="E752">
            <v>1.2971450573209401E-2</v>
          </cell>
        </row>
        <row r="753">
          <cell r="A753" t="str">
            <v>HKD_HIBOR_EOD</v>
          </cell>
          <cell r="C753">
            <v>44861</v>
          </cell>
          <cell r="E753">
            <v>1.5513955372160999E-2</v>
          </cell>
        </row>
        <row r="754">
          <cell r="A754" t="str">
            <v>HKD_HIBOR_EOD</v>
          </cell>
          <cell r="C754">
            <v>45957</v>
          </cell>
          <cell r="E754">
            <v>1.81856865462834E-2</v>
          </cell>
        </row>
        <row r="755">
          <cell r="A755" t="str">
            <v>HKD_HIBOR_EOD</v>
          </cell>
          <cell r="C755">
            <v>46687</v>
          </cell>
          <cell r="E755">
            <v>1.9023516314138601E-2</v>
          </cell>
        </row>
        <row r="756">
          <cell r="A756" t="str">
            <v>HKD_HIBOR_EOD</v>
          </cell>
          <cell r="C756">
            <v>47784</v>
          </cell>
          <cell r="E756">
            <v>2.0342853957761701E-2</v>
          </cell>
        </row>
        <row r="757">
          <cell r="A757" t="str">
            <v>HUF_BUBOR_3M_EOD</v>
          </cell>
          <cell r="C757">
            <v>42398</v>
          </cell>
          <cell r="E757">
            <v>1.3663943227528799E-2</v>
          </cell>
        </row>
        <row r="758">
          <cell r="A758" t="str">
            <v>HUF_BUBOR_3M_EOD</v>
          </cell>
          <cell r="C758">
            <v>42489</v>
          </cell>
          <cell r="E758">
            <v>1.3166978659019999E-2</v>
          </cell>
        </row>
        <row r="759">
          <cell r="A759" t="str">
            <v>HUF_BUBOR_3M_EOD</v>
          </cell>
          <cell r="C759">
            <v>42580</v>
          </cell>
          <cell r="E759">
            <v>1.29310736273473E-2</v>
          </cell>
        </row>
        <row r="760">
          <cell r="A760" t="str">
            <v>HUF_BUBOR_3M_EOD</v>
          </cell>
          <cell r="C760">
            <v>42671</v>
          </cell>
          <cell r="E760">
            <v>1.28497493644841E-2</v>
          </cell>
        </row>
        <row r="761">
          <cell r="A761" t="str">
            <v>HUF_BUBOR_3M_EOD</v>
          </cell>
          <cell r="C761">
            <v>43038</v>
          </cell>
          <cell r="E761">
            <v>1.33038612739172E-2</v>
          </cell>
        </row>
        <row r="762">
          <cell r="A762" t="str">
            <v>HUF_BUBOR_3M_EOD</v>
          </cell>
          <cell r="C762">
            <v>43402</v>
          </cell>
          <cell r="E762">
            <v>1.4161336068215E-2</v>
          </cell>
        </row>
        <row r="763">
          <cell r="A763" t="str">
            <v>HUF_BUBOR_3M_EOD</v>
          </cell>
          <cell r="C763">
            <v>43767</v>
          </cell>
          <cell r="E763">
            <v>1.5660878312443501E-2</v>
          </cell>
        </row>
        <row r="764">
          <cell r="A764" t="str">
            <v>HUF_BUBOR_3M_EOD</v>
          </cell>
          <cell r="C764">
            <v>44133</v>
          </cell>
          <cell r="E764">
            <v>1.7825497256039099E-2</v>
          </cell>
        </row>
        <row r="765">
          <cell r="A765" t="str">
            <v>HUF_BUBOR_3M_EOD</v>
          </cell>
          <cell r="C765">
            <v>44498</v>
          </cell>
          <cell r="E765">
            <v>2.0159447579491199E-2</v>
          </cell>
        </row>
        <row r="766">
          <cell r="A766" t="str">
            <v>HUF_BUBOR_3M_EOD</v>
          </cell>
          <cell r="C766">
            <v>44862</v>
          </cell>
          <cell r="E766">
            <v>2.2420603148158101E-2</v>
          </cell>
        </row>
        <row r="767">
          <cell r="A767" t="str">
            <v>HUF_BUBOR_3M_EOD</v>
          </cell>
          <cell r="C767">
            <v>45229</v>
          </cell>
          <cell r="E767">
            <v>2.4318705394316398E-2</v>
          </cell>
        </row>
        <row r="768">
          <cell r="A768" t="str">
            <v>HUF_BUBOR_3M_EOD</v>
          </cell>
          <cell r="C768">
            <v>45594</v>
          </cell>
          <cell r="E768">
            <v>2.5917769378556301E-2</v>
          </cell>
        </row>
        <row r="769">
          <cell r="A769" t="str">
            <v>HUF_BUBOR_3M_EOD</v>
          </cell>
          <cell r="C769">
            <v>45959</v>
          </cell>
          <cell r="E769">
            <v>2.71964385189826E-2</v>
          </cell>
        </row>
        <row r="770">
          <cell r="A770" t="str">
            <v>HUF_BUBOR_3M_EOD</v>
          </cell>
          <cell r="C770">
            <v>46689</v>
          </cell>
          <cell r="E770">
            <v>2.81663290886369E-2</v>
          </cell>
        </row>
        <row r="771">
          <cell r="A771" t="str">
            <v>HUF_BUBOR_3M_EOD</v>
          </cell>
          <cell r="C771">
            <v>47785</v>
          </cell>
          <cell r="E771">
            <v>2.8923778564978402E-2</v>
          </cell>
        </row>
        <row r="772">
          <cell r="A772" t="str">
            <v>HUF_BUBOR_3M_EOD</v>
          </cell>
          <cell r="C772">
            <v>49611</v>
          </cell>
          <cell r="E772">
            <v>2.903294385197E-2</v>
          </cell>
        </row>
        <row r="773">
          <cell r="A773" t="str">
            <v>HUF_BUBOR_6M_EOD</v>
          </cell>
          <cell r="C773">
            <v>42489</v>
          </cell>
          <cell r="E773">
            <v>1.3640748531720599E-2</v>
          </cell>
        </row>
        <row r="774">
          <cell r="A774" t="str">
            <v>HUF_BUBOR_6M_EOD</v>
          </cell>
          <cell r="C774">
            <v>42671</v>
          </cell>
          <cell r="E774">
            <v>1.31247021909416E-2</v>
          </cell>
        </row>
        <row r="775">
          <cell r="A775" t="str">
            <v>HUF_BUBOR_6M_EOD</v>
          </cell>
          <cell r="C775">
            <v>42853</v>
          </cell>
          <cell r="E775">
            <v>1.3187355856126799E-2</v>
          </cell>
        </row>
        <row r="776">
          <cell r="A776" t="str">
            <v>HUF_BUBOR_6M_EOD</v>
          </cell>
          <cell r="C776">
            <v>43038</v>
          </cell>
          <cell r="E776">
            <v>1.3362193039405701E-2</v>
          </cell>
        </row>
        <row r="777">
          <cell r="A777" t="str">
            <v>HUF_BUBOR_6M_EOD</v>
          </cell>
          <cell r="C777">
            <v>43402</v>
          </cell>
          <cell r="E777">
            <v>1.4060838348513601E-2</v>
          </cell>
        </row>
        <row r="778">
          <cell r="A778" t="str">
            <v>HUF_BUBOR_6M_EOD</v>
          </cell>
          <cell r="C778">
            <v>43767</v>
          </cell>
          <cell r="E778">
            <v>1.54189991572301E-2</v>
          </cell>
        </row>
        <row r="779">
          <cell r="A779" t="str">
            <v>HUF_BUBOR_6M_EOD</v>
          </cell>
          <cell r="C779">
            <v>44133</v>
          </cell>
          <cell r="E779">
            <v>1.7451525838107801E-2</v>
          </cell>
        </row>
        <row r="780">
          <cell r="A780" t="str">
            <v>HUF_BUBOR_6M_EOD</v>
          </cell>
          <cell r="C780">
            <v>44498</v>
          </cell>
          <cell r="E780">
            <v>1.9714433932601701E-2</v>
          </cell>
        </row>
        <row r="781">
          <cell r="A781" t="str">
            <v>HUF_BUBOR_6M_EOD</v>
          </cell>
          <cell r="C781">
            <v>44862</v>
          </cell>
          <cell r="E781">
            <v>2.1956455393695999E-2</v>
          </cell>
        </row>
        <row r="782">
          <cell r="A782" t="str">
            <v>HUF_BUBOR_6M_EOD</v>
          </cell>
          <cell r="C782">
            <v>45229</v>
          </cell>
          <cell r="E782">
            <v>2.3855196255848199E-2</v>
          </cell>
        </row>
        <row r="783">
          <cell r="A783" t="str">
            <v>HUF_BUBOR_6M_EOD</v>
          </cell>
          <cell r="C783">
            <v>45594</v>
          </cell>
          <cell r="E783">
            <v>2.54557005029162E-2</v>
          </cell>
        </row>
        <row r="784">
          <cell r="A784" t="str">
            <v>HUF_BUBOR_6M_EOD</v>
          </cell>
          <cell r="C784">
            <v>45959</v>
          </cell>
          <cell r="E784">
            <v>2.6747043655327402E-2</v>
          </cell>
        </row>
        <row r="785">
          <cell r="A785" t="str">
            <v>HUF_BUBOR_6M_EOD</v>
          </cell>
          <cell r="C785">
            <v>46689</v>
          </cell>
          <cell r="E785">
            <v>2.7718358425145102E-2</v>
          </cell>
        </row>
        <row r="786">
          <cell r="A786" t="str">
            <v>HUF_BUBOR_6M_EOD</v>
          </cell>
          <cell r="C786">
            <v>47785</v>
          </cell>
          <cell r="E786">
            <v>2.8501178976185999E-2</v>
          </cell>
        </row>
        <row r="787">
          <cell r="A787" t="str">
            <v>HUF_BUBOR_6M_EOD</v>
          </cell>
          <cell r="C787">
            <v>49611</v>
          </cell>
          <cell r="E787">
            <v>2.86611355510271E-2</v>
          </cell>
        </row>
        <row r="788">
          <cell r="A788" t="str">
            <v>HUF_BUBOR_EOD</v>
          </cell>
          <cell r="C788">
            <v>42305</v>
          </cell>
          <cell r="E788">
            <v>8.9221131745613799E-3</v>
          </cell>
        </row>
        <row r="789">
          <cell r="A789" t="str">
            <v>HUF_BUBOR_EOD</v>
          </cell>
          <cell r="C789">
            <v>42306</v>
          </cell>
          <cell r="E789">
            <v>8.9221131745904503E-3</v>
          </cell>
        </row>
        <row r="790">
          <cell r="A790" t="str">
            <v>HUF_BUBOR_EOD</v>
          </cell>
          <cell r="C790">
            <v>42313</v>
          </cell>
          <cell r="E790">
            <v>1.2232939563604E-2</v>
          </cell>
        </row>
        <row r="791">
          <cell r="A791" t="str">
            <v>HUF_BUBOR_EOD</v>
          </cell>
          <cell r="C791">
            <v>42338</v>
          </cell>
          <cell r="E791">
            <v>1.33994598941216E-2</v>
          </cell>
        </row>
        <row r="792">
          <cell r="A792" t="str">
            <v>HUF_BUBOR_EOD</v>
          </cell>
          <cell r="C792">
            <v>42367</v>
          </cell>
          <cell r="E792">
            <v>1.35210828635433E-2</v>
          </cell>
        </row>
        <row r="793">
          <cell r="A793" t="str">
            <v>HUF_BUBOR_EOD</v>
          </cell>
          <cell r="C793">
            <v>42398</v>
          </cell>
          <cell r="E793">
            <v>1.35630532264011E-2</v>
          </cell>
        </row>
        <row r="794">
          <cell r="A794" t="str">
            <v>HUF_BUBOR_EOD</v>
          </cell>
          <cell r="C794">
            <v>42489</v>
          </cell>
          <cell r="E794">
            <v>1.3115715631421601E-2</v>
          </cell>
        </row>
        <row r="795">
          <cell r="A795" t="str">
            <v>HUF_BUBOR_EOD</v>
          </cell>
          <cell r="C795">
            <v>42580</v>
          </cell>
          <cell r="E795">
            <v>1.28967125400078E-2</v>
          </cell>
        </row>
        <row r="796">
          <cell r="A796" t="str">
            <v>HUF_BUBOR_EOD</v>
          </cell>
          <cell r="C796">
            <v>42671</v>
          </cell>
          <cell r="E796">
            <v>1.2823908328773901E-2</v>
          </cell>
        </row>
        <row r="797">
          <cell r="A797" t="str">
            <v>HUF_BUBOR_EOD</v>
          </cell>
          <cell r="C797">
            <v>43038</v>
          </cell>
          <cell r="E797">
            <v>1.3351460812975301E-2</v>
          </cell>
        </row>
        <row r="798">
          <cell r="A798" t="str">
            <v>HUF_BUBOR_EOD</v>
          </cell>
          <cell r="C798">
            <v>43402</v>
          </cell>
          <cell r="E798">
            <v>1.40536661687503E-2</v>
          </cell>
        </row>
        <row r="799">
          <cell r="A799" t="str">
            <v>HUF_BUBOR_EOD</v>
          </cell>
          <cell r="C799">
            <v>43767</v>
          </cell>
          <cell r="E799">
            <v>1.5413617393778599E-2</v>
          </cell>
        </row>
        <row r="800">
          <cell r="A800" t="str">
            <v>HUF_BUBOR_EOD</v>
          </cell>
          <cell r="C800">
            <v>44133</v>
          </cell>
          <cell r="E800">
            <v>1.7447221679650699E-2</v>
          </cell>
        </row>
        <row r="801">
          <cell r="A801" t="str">
            <v>HUF_BUBOR_EOD</v>
          </cell>
          <cell r="C801">
            <v>44498</v>
          </cell>
          <cell r="E801">
            <v>1.9710846270596501E-2</v>
          </cell>
        </row>
        <row r="802">
          <cell r="A802" t="str">
            <v>HUF_BUBOR_EOD</v>
          </cell>
          <cell r="C802">
            <v>44862</v>
          </cell>
          <cell r="E802">
            <v>2.19533785624699E-2</v>
          </cell>
        </row>
        <row r="803">
          <cell r="A803" t="str">
            <v>HUF_BUBOR_EOD</v>
          </cell>
          <cell r="C803">
            <v>45229</v>
          </cell>
          <cell r="E803">
            <v>2.3852505693188499E-2</v>
          </cell>
        </row>
        <row r="804">
          <cell r="A804" t="str">
            <v>HUF_BUBOR_EOD</v>
          </cell>
          <cell r="C804">
            <v>45594</v>
          </cell>
          <cell r="E804">
            <v>2.5453660425977701E-2</v>
          </cell>
        </row>
        <row r="805">
          <cell r="A805" t="str">
            <v>HUF_BUBOR_EOD</v>
          </cell>
          <cell r="C805">
            <v>45959</v>
          </cell>
          <cell r="E805">
            <v>2.6745207402755902E-2</v>
          </cell>
        </row>
        <row r="806">
          <cell r="A806" t="str">
            <v>HUF_BUBOR_EOD</v>
          </cell>
          <cell r="C806">
            <v>46689</v>
          </cell>
          <cell r="E806">
            <v>2.77168283804941E-2</v>
          </cell>
        </row>
        <row r="807">
          <cell r="A807" t="str">
            <v>HUF_BUBOR_EOD</v>
          </cell>
          <cell r="C807">
            <v>47785</v>
          </cell>
          <cell r="E807">
            <v>2.84999558248414E-2</v>
          </cell>
        </row>
        <row r="808">
          <cell r="A808" t="str">
            <v>HUF_BUBOR_EOD</v>
          </cell>
          <cell r="C808">
            <v>49611</v>
          </cell>
          <cell r="E808">
            <v>2.8660219908501101E-2</v>
          </cell>
        </row>
        <row r="809">
          <cell r="A809" t="str">
            <v>JPY_LIBOR_1M_EOD</v>
          </cell>
          <cell r="C809">
            <v>42338</v>
          </cell>
          <cell r="E809">
            <v>4.0554834585110002E-4</v>
          </cell>
        </row>
        <row r="810">
          <cell r="A810" t="str">
            <v>JPY_LIBOR_1M_EOD</v>
          </cell>
          <cell r="C810">
            <v>42367</v>
          </cell>
          <cell r="E810">
            <v>5.0191621460711001E-4</v>
          </cell>
        </row>
        <row r="811">
          <cell r="A811" t="str">
            <v>JPY_LIBOR_1M_EOD</v>
          </cell>
          <cell r="C811">
            <v>42398</v>
          </cell>
          <cell r="E811">
            <v>4.2712705124438001E-4</v>
          </cell>
        </row>
        <row r="812">
          <cell r="A812" t="str">
            <v>JPY_LIBOR_1M_EOD</v>
          </cell>
          <cell r="C812">
            <v>42488</v>
          </cell>
          <cell r="E812">
            <v>4.3196925414870001E-4</v>
          </cell>
        </row>
        <row r="813">
          <cell r="A813" t="str">
            <v>JPY_LIBOR_1M_EOD</v>
          </cell>
          <cell r="C813">
            <v>42580</v>
          </cell>
          <cell r="E813">
            <v>4.3157240933801999E-4</v>
          </cell>
        </row>
        <row r="814">
          <cell r="A814" t="str">
            <v>JPY_LIBOR_1M_EOD</v>
          </cell>
          <cell r="C814">
            <v>42674</v>
          </cell>
          <cell r="E814">
            <v>4.2533595070614997E-4</v>
          </cell>
        </row>
        <row r="815">
          <cell r="A815" t="str">
            <v>JPY_LIBOR_1M_EOD</v>
          </cell>
          <cell r="C815">
            <v>43038</v>
          </cell>
          <cell r="E815">
            <v>4.0035147711586999E-4</v>
          </cell>
        </row>
        <row r="816">
          <cell r="A816" t="str">
            <v>JPY_LIBOR_1M_EOD</v>
          </cell>
          <cell r="C816">
            <v>43402</v>
          </cell>
          <cell r="E816">
            <v>4.5098617161760002E-4</v>
          </cell>
        </row>
        <row r="817">
          <cell r="A817" t="str">
            <v>JPY_LIBOR_1M_EOD</v>
          </cell>
          <cell r="C817">
            <v>43767</v>
          </cell>
          <cell r="E817">
            <v>6.9945555788452002E-4</v>
          </cell>
        </row>
        <row r="818">
          <cell r="A818" t="str">
            <v>JPY_LIBOR_1M_EOD</v>
          </cell>
          <cell r="C818">
            <v>44133</v>
          </cell>
          <cell r="E818">
            <v>1.1122619851633301E-3</v>
          </cell>
        </row>
        <row r="819">
          <cell r="A819" t="str">
            <v>JPY_LIBOR_1M_EOD</v>
          </cell>
          <cell r="C819">
            <v>44498</v>
          </cell>
          <cell r="E819">
            <v>1.6261425684828499E-3</v>
          </cell>
        </row>
        <row r="820">
          <cell r="A820" t="str">
            <v>JPY_LIBOR_1M_EOD</v>
          </cell>
          <cell r="C820">
            <v>44865</v>
          </cell>
          <cell r="E820">
            <v>2.1915317020208898E-3</v>
          </cell>
        </row>
        <row r="821">
          <cell r="A821" t="str">
            <v>JPY_LIBOR_1M_EOD</v>
          </cell>
          <cell r="C821">
            <v>45229</v>
          </cell>
          <cell r="E821">
            <v>2.8099842937830302E-3</v>
          </cell>
        </row>
        <row r="822">
          <cell r="A822" t="str">
            <v>JPY_LIBOR_1M_EOD</v>
          </cell>
          <cell r="C822">
            <v>45594</v>
          </cell>
          <cell r="E822">
            <v>3.42898566434888E-3</v>
          </cell>
        </row>
        <row r="823">
          <cell r="A823" t="str">
            <v>JPY_LIBOR_1M_EOD</v>
          </cell>
          <cell r="C823">
            <v>45959</v>
          </cell>
          <cell r="E823">
            <v>4.1017915445684299E-3</v>
          </cell>
        </row>
        <row r="824">
          <cell r="A824" t="str">
            <v>JPY_LIBOR_1M_EOD</v>
          </cell>
          <cell r="C824">
            <v>46689</v>
          </cell>
          <cell r="E824">
            <v>5.5115728375993902E-3</v>
          </cell>
        </row>
        <row r="825">
          <cell r="A825" t="str">
            <v>JPY_LIBOR_1M_EOD</v>
          </cell>
          <cell r="C825">
            <v>47785</v>
          </cell>
          <cell r="E825">
            <v>7.7739761990614897E-3</v>
          </cell>
        </row>
        <row r="826">
          <cell r="A826" t="str">
            <v>JPY_LIBOR_1M_EOD</v>
          </cell>
          <cell r="C826">
            <v>49611</v>
          </cell>
          <cell r="E826">
            <v>1.07344921361086E-2</v>
          </cell>
        </row>
        <row r="827">
          <cell r="A827" t="str">
            <v>JPY_LIBOR_1M_EOD</v>
          </cell>
          <cell r="C827">
            <v>51438</v>
          </cell>
          <cell r="E827">
            <v>1.23878026285124E-2</v>
          </cell>
        </row>
        <row r="828">
          <cell r="A828" t="str">
            <v>JPY_LIBOR_1M_EOD</v>
          </cell>
          <cell r="C828">
            <v>53265</v>
          </cell>
          <cell r="E828">
            <v>1.3320502531376399E-2</v>
          </cell>
        </row>
        <row r="829">
          <cell r="A829" t="str">
            <v>JPY_LIBOR_1M_EOD</v>
          </cell>
          <cell r="C829">
            <v>56916</v>
          </cell>
          <cell r="E829">
            <v>1.47758742464894E-2</v>
          </cell>
        </row>
        <row r="830">
          <cell r="A830" t="str">
            <v>JPY_LIBOR_3M_EOD</v>
          </cell>
          <cell r="C830">
            <v>42398</v>
          </cell>
          <cell r="E830">
            <v>8.3272093677675004E-4</v>
          </cell>
        </row>
        <row r="831">
          <cell r="A831" t="str">
            <v>JPY_LIBOR_3M_EOD</v>
          </cell>
          <cell r="C831">
            <v>42429</v>
          </cell>
          <cell r="E831">
            <v>8.0770474869619002E-4</v>
          </cell>
        </row>
        <row r="832">
          <cell r="A832" t="str">
            <v>JPY_LIBOR_3M_EOD</v>
          </cell>
          <cell r="C832">
            <v>42458</v>
          </cell>
          <cell r="E832">
            <v>8.0492811593500997E-4</v>
          </cell>
        </row>
        <row r="833">
          <cell r="A833" t="str">
            <v>JPY_LIBOR_3M_EOD</v>
          </cell>
          <cell r="C833">
            <v>42488</v>
          </cell>
          <cell r="E833">
            <v>7.9512993202064002E-4</v>
          </cell>
        </row>
        <row r="834">
          <cell r="A834" t="str">
            <v>JPY_LIBOR_3M_EOD</v>
          </cell>
          <cell r="C834">
            <v>42520</v>
          </cell>
          <cell r="E834">
            <v>7.8523033910388998E-4</v>
          </cell>
        </row>
        <row r="835">
          <cell r="A835" t="str">
            <v>JPY_LIBOR_3M_EOD</v>
          </cell>
          <cell r="C835">
            <v>42550</v>
          </cell>
          <cell r="E835">
            <v>7.7650199700007004E-4</v>
          </cell>
        </row>
        <row r="836">
          <cell r="A836" t="str">
            <v>JPY_LIBOR_3M_EOD</v>
          </cell>
          <cell r="C836">
            <v>42580</v>
          </cell>
          <cell r="E836">
            <v>7.7968310900453997E-4</v>
          </cell>
        </row>
        <row r="837">
          <cell r="A837" t="str">
            <v>JPY_LIBOR_3M_EOD</v>
          </cell>
          <cell r="C837">
            <v>42611</v>
          </cell>
          <cell r="E837">
            <v>7.7420163004795995E-4</v>
          </cell>
        </row>
        <row r="838">
          <cell r="A838" t="str">
            <v>JPY_LIBOR_3M_EOD</v>
          </cell>
          <cell r="C838">
            <v>42642</v>
          </cell>
          <cell r="E838">
            <v>7.6865494219823004E-4</v>
          </cell>
        </row>
        <row r="839">
          <cell r="A839" t="str">
            <v>JPY_LIBOR_3M_EOD</v>
          </cell>
          <cell r="C839">
            <v>42674</v>
          </cell>
          <cell r="E839">
            <v>7.6350238159908002E-4</v>
          </cell>
        </row>
        <row r="840">
          <cell r="A840" t="str">
            <v>JPY_LIBOR_3M_EOD</v>
          </cell>
          <cell r="C840">
            <v>43038</v>
          </cell>
          <cell r="E840">
            <v>6.7503489768864003E-4</v>
          </cell>
        </row>
        <row r="841">
          <cell r="A841" t="str">
            <v>JPY_LIBOR_3M_EOD</v>
          </cell>
          <cell r="C841">
            <v>43402</v>
          </cell>
          <cell r="E841">
            <v>7.1274837060276996E-4</v>
          </cell>
        </row>
        <row r="842">
          <cell r="A842" t="str">
            <v>JPY_LIBOR_3M_EOD</v>
          </cell>
          <cell r="C842">
            <v>43767</v>
          </cell>
          <cell r="E842">
            <v>9.4926035850207997E-4</v>
          </cell>
        </row>
        <row r="843">
          <cell r="A843" t="str">
            <v>JPY_LIBOR_3M_EOD</v>
          </cell>
          <cell r="C843">
            <v>44133</v>
          </cell>
          <cell r="E843">
            <v>1.34948871499171E-3</v>
          </cell>
        </row>
        <row r="844">
          <cell r="A844" t="str">
            <v>JPY_LIBOR_3M_EOD</v>
          </cell>
          <cell r="C844">
            <v>44498</v>
          </cell>
          <cell r="E844">
            <v>1.8758059013726301E-3</v>
          </cell>
        </row>
        <row r="845">
          <cell r="A845" t="str">
            <v>JPY_LIBOR_3M_EOD</v>
          </cell>
          <cell r="C845">
            <v>44865</v>
          </cell>
          <cell r="E845">
            <v>2.4287112614156899E-3</v>
          </cell>
        </row>
        <row r="846">
          <cell r="A846" t="str">
            <v>JPY_LIBOR_3M_EOD</v>
          </cell>
          <cell r="C846">
            <v>45229</v>
          </cell>
          <cell r="E846">
            <v>3.04721225767943E-3</v>
          </cell>
        </row>
        <row r="847">
          <cell r="A847" t="str">
            <v>JPY_LIBOR_3M_EOD</v>
          </cell>
          <cell r="C847">
            <v>45594</v>
          </cell>
          <cell r="E847">
            <v>3.6662657263819899E-3</v>
          </cell>
        </row>
        <row r="848">
          <cell r="A848" t="str">
            <v>JPY_LIBOR_3M_EOD</v>
          </cell>
          <cell r="C848">
            <v>45959</v>
          </cell>
          <cell r="E848">
            <v>4.3516087708870502E-3</v>
          </cell>
        </row>
        <row r="849">
          <cell r="A849" t="str">
            <v>JPY_LIBOR_3M_EOD</v>
          </cell>
          <cell r="C849">
            <v>46689</v>
          </cell>
          <cell r="E849">
            <v>5.7815335634207998E-3</v>
          </cell>
        </row>
        <row r="850">
          <cell r="A850" t="str">
            <v>JPY_LIBOR_3M_EOD</v>
          </cell>
          <cell r="C850">
            <v>47785</v>
          </cell>
          <cell r="E850">
            <v>7.9957545732821309E-3</v>
          </cell>
        </row>
        <row r="851">
          <cell r="A851" t="str">
            <v>JPY_LIBOR_3M_EOD</v>
          </cell>
          <cell r="C851">
            <v>49611</v>
          </cell>
          <cell r="E851">
            <v>1.09434266266697E-2</v>
          </cell>
        </row>
        <row r="852">
          <cell r="A852" t="str">
            <v>JPY_LIBOR_3M_EOD</v>
          </cell>
          <cell r="C852">
            <v>51438</v>
          </cell>
          <cell r="E852">
            <v>1.25827040202189E-2</v>
          </cell>
        </row>
        <row r="853">
          <cell r="A853" t="str">
            <v>JPY_LIBOR_3M_EOD</v>
          </cell>
          <cell r="C853">
            <v>53265</v>
          </cell>
          <cell r="E853">
            <v>1.3500586146356301E-2</v>
          </cell>
        </row>
        <row r="854">
          <cell r="A854" t="str">
            <v>JPY_LIBOR_3M_EOD</v>
          </cell>
          <cell r="C854">
            <v>56916</v>
          </cell>
          <cell r="E854">
            <v>1.4957104605286301E-2</v>
          </cell>
        </row>
        <row r="855">
          <cell r="A855" t="str">
            <v>JPY_LIBOR_6M_EOD</v>
          </cell>
          <cell r="C855">
            <v>42488</v>
          </cell>
          <cell r="E855">
            <v>1.22501189922896E-3</v>
          </cell>
        </row>
        <row r="856">
          <cell r="A856" t="str">
            <v>JPY_LIBOR_6M_EOD</v>
          </cell>
          <cell r="C856">
            <v>42520</v>
          </cell>
          <cell r="E856">
            <v>1.22965589470167E-3</v>
          </cell>
        </row>
        <row r="857">
          <cell r="A857" t="str">
            <v>JPY_LIBOR_6M_EOD</v>
          </cell>
          <cell r="C857">
            <v>42550</v>
          </cell>
          <cell r="E857">
            <v>1.1902611054727199E-3</v>
          </cell>
        </row>
        <row r="858">
          <cell r="A858" t="str">
            <v>JPY_LIBOR_6M_EOD</v>
          </cell>
          <cell r="C858">
            <v>42580</v>
          </cell>
          <cell r="E858">
            <v>1.16915165372906E-3</v>
          </cell>
        </row>
        <row r="859">
          <cell r="A859" t="str">
            <v>JPY_LIBOR_6M_EOD</v>
          </cell>
          <cell r="C859">
            <v>42611</v>
          </cell>
          <cell r="E859">
            <v>1.1450406093563199E-3</v>
          </cell>
        </row>
        <row r="860">
          <cell r="A860" t="str">
            <v>JPY_LIBOR_6M_EOD</v>
          </cell>
          <cell r="C860">
            <v>42642</v>
          </cell>
          <cell r="E860">
            <v>1.1306269867000401E-3</v>
          </cell>
        </row>
        <row r="861">
          <cell r="A861" t="str">
            <v>JPY_LIBOR_6M_EOD</v>
          </cell>
          <cell r="C861">
            <v>42674</v>
          </cell>
          <cell r="E861">
            <v>1.1010453493220101E-3</v>
          </cell>
        </row>
        <row r="862">
          <cell r="A862" t="str">
            <v>JPY_LIBOR_6M_EOD</v>
          </cell>
          <cell r="C862">
            <v>43038</v>
          </cell>
          <cell r="E862">
            <v>1.02436327633282E-3</v>
          </cell>
        </row>
        <row r="863">
          <cell r="A863" t="str">
            <v>JPY_LIBOR_6M_EOD</v>
          </cell>
          <cell r="C863">
            <v>43402</v>
          </cell>
          <cell r="E863">
            <v>1.08770519228296E-3</v>
          </cell>
        </row>
        <row r="864">
          <cell r="A864" t="str">
            <v>JPY_LIBOR_6M_EOD</v>
          </cell>
          <cell r="C864">
            <v>43767</v>
          </cell>
          <cell r="E864">
            <v>1.3485850687535599E-3</v>
          </cell>
        </row>
        <row r="865">
          <cell r="A865" t="str">
            <v>JPY_LIBOR_6M_EOD</v>
          </cell>
          <cell r="C865">
            <v>44133</v>
          </cell>
          <cell r="E865">
            <v>1.77342735353116E-3</v>
          </cell>
        </row>
        <row r="866">
          <cell r="A866" t="str">
            <v>JPY_LIBOR_6M_EOD</v>
          </cell>
          <cell r="C866">
            <v>44498</v>
          </cell>
          <cell r="E866">
            <v>2.2997386064041898E-3</v>
          </cell>
        </row>
        <row r="867">
          <cell r="A867" t="str">
            <v>JPY_LIBOR_6M_EOD</v>
          </cell>
          <cell r="C867">
            <v>44865</v>
          </cell>
          <cell r="E867">
            <v>2.8779411351755502E-3</v>
          </cell>
        </row>
        <row r="868">
          <cell r="A868" t="str">
            <v>JPY_LIBOR_6M_EOD</v>
          </cell>
          <cell r="C868">
            <v>45229</v>
          </cell>
          <cell r="E868">
            <v>3.4961292642640002E-3</v>
          </cell>
        </row>
        <row r="869">
          <cell r="A869" t="str">
            <v>JPY_LIBOR_6M_EOD</v>
          </cell>
          <cell r="C869">
            <v>45594</v>
          </cell>
          <cell r="E869">
            <v>4.1401371651150903E-3</v>
          </cell>
        </row>
        <row r="870">
          <cell r="A870" t="str">
            <v>JPY_LIBOR_6M_EOD</v>
          </cell>
          <cell r="C870">
            <v>45959</v>
          </cell>
          <cell r="E870">
            <v>4.8250517481277797E-3</v>
          </cell>
        </row>
        <row r="871">
          <cell r="A871" t="str">
            <v>JPY_LIBOR_6M_EOD</v>
          </cell>
          <cell r="C871">
            <v>46689</v>
          </cell>
          <cell r="E871">
            <v>6.2337829982986002E-3</v>
          </cell>
        </row>
        <row r="872">
          <cell r="A872" t="str">
            <v>JPY_LIBOR_6M_EOD</v>
          </cell>
          <cell r="C872">
            <v>47785</v>
          </cell>
          <cell r="E872">
            <v>8.4160889194352904E-3</v>
          </cell>
        </row>
        <row r="873">
          <cell r="A873" t="str">
            <v>JPY_LIBOR_6M_EOD</v>
          </cell>
          <cell r="C873">
            <v>49611</v>
          </cell>
          <cell r="E873">
            <v>1.1307964722417199E-2</v>
          </cell>
        </row>
        <row r="874">
          <cell r="A874" t="str">
            <v>JPY_LIBOR_6M_EOD</v>
          </cell>
          <cell r="C874">
            <v>51438</v>
          </cell>
          <cell r="E874">
            <v>1.29043177778073E-2</v>
          </cell>
        </row>
        <row r="875">
          <cell r="A875" t="str">
            <v>JPY_LIBOR_6M_EOD</v>
          </cell>
          <cell r="C875">
            <v>53265</v>
          </cell>
          <cell r="E875">
            <v>1.3778115695976201E-2</v>
          </cell>
        </row>
        <row r="876">
          <cell r="A876" t="str">
            <v>JPY_LIBOR_6M_EOD</v>
          </cell>
          <cell r="C876">
            <v>56916</v>
          </cell>
          <cell r="E876">
            <v>1.5238890354613E-2</v>
          </cell>
        </row>
        <row r="877">
          <cell r="A877" t="str">
            <v>JPY_LIBOR_EOD</v>
          </cell>
          <cell r="C877">
            <v>42305</v>
          </cell>
          <cell r="E877">
            <v>2.6797073492879E-4</v>
          </cell>
        </row>
        <row r="878">
          <cell r="A878" t="str">
            <v>JPY_LIBOR_EOD</v>
          </cell>
          <cell r="C878">
            <v>42306</v>
          </cell>
          <cell r="E878">
            <v>2.6797073494335002E-4</v>
          </cell>
        </row>
        <row r="879">
          <cell r="A879" t="str">
            <v>JPY_LIBOR_EOD</v>
          </cell>
          <cell r="C879">
            <v>42313</v>
          </cell>
          <cell r="E879">
            <v>3.1299795160573998E-4</v>
          </cell>
        </row>
        <row r="880">
          <cell r="A880" t="str">
            <v>JPY_LIBOR_EOD</v>
          </cell>
          <cell r="C880">
            <v>42338</v>
          </cell>
          <cell r="E880">
            <v>3.9745554520922999E-4</v>
          </cell>
        </row>
        <row r="881">
          <cell r="A881" t="str">
            <v>JPY_LIBOR_EOD</v>
          </cell>
          <cell r="C881">
            <v>42367</v>
          </cell>
          <cell r="E881">
            <v>6.7465164637921997E-4</v>
          </cell>
        </row>
        <row r="882">
          <cell r="A882" t="str">
            <v>JPY_LIBOR_EOD</v>
          </cell>
          <cell r="C882">
            <v>42398</v>
          </cell>
          <cell r="E882">
            <v>8.2070497503552997E-4</v>
          </cell>
        </row>
        <row r="883">
          <cell r="A883" t="str">
            <v>JPY_LIBOR_EOD</v>
          </cell>
          <cell r="C883">
            <v>42488</v>
          </cell>
          <cell r="E883">
            <v>1.21460927787811E-3</v>
          </cell>
        </row>
        <row r="884">
          <cell r="A884" t="str">
            <v>JPY_LIBOR_EOD</v>
          </cell>
          <cell r="C884">
            <v>42674</v>
          </cell>
          <cell r="E884">
            <v>1.1087208561354699E-3</v>
          </cell>
        </row>
        <row r="885">
          <cell r="A885" t="str">
            <v>JPY_LIBOR_EOD</v>
          </cell>
          <cell r="C885">
            <v>43038</v>
          </cell>
          <cell r="E885">
            <v>1.0226093260103501E-3</v>
          </cell>
        </row>
        <row r="886">
          <cell r="A886" t="str">
            <v>JPY_LIBOR_EOD</v>
          </cell>
          <cell r="C886">
            <v>43402</v>
          </cell>
          <cell r="E886">
            <v>1.0865854194058999E-3</v>
          </cell>
        </row>
        <row r="887">
          <cell r="A887" t="str">
            <v>JPY_LIBOR_EOD</v>
          </cell>
          <cell r="C887">
            <v>43767</v>
          </cell>
          <cell r="E887">
            <v>1.3486306441202599E-3</v>
          </cell>
        </row>
        <row r="888">
          <cell r="A888" t="str">
            <v>JPY_LIBOR_EOD</v>
          </cell>
          <cell r="C888">
            <v>44133</v>
          </cell>
          <cell r="E888">
            <v>1.7746900701576601E-3</v>
          </cell>
        </row>
        <row r="889">
          <cell r="A889" t="str">
            <v>JPY_LIBOR_EOD</v>
          </cell>
          <cell r="C889">
            <v>44498</v>
          </cell>
          <cell r="E889">
            <v>2.3021837640531898E-3</v>
          </cell>
        </row>
        <row r="890">
          <cell r="A890" t="str">
            <v>JPY_LIBOR_EOD</v>
          </cell>
          <cell r="C890">
            <v>44865</v>
          </cell>
          <cell r="E890">
            <v>2.88167104056496E-3</v>
          </cell>
        </row>
        <row r="891">
          <cell r="A891" t="str">
            <v>JPY_LIBOR_EOD</v>
          </cell>
          <cell r="C891">
            <v>45229</v>
          </cell>
          <cell r="E891">
            <v>3.50211710055089E-3</v>
          </cell>
        </row>
        <row r="892">
          <cell r="A892" t="str">
            <v>JPY_LIBOR_EOD</v>
          </cell>
          <cell r="C892">
            <v>45594</v>
          </cell>
          <cell r="E892">
            <v>4.14923663802985E-3</v>
          </cell>
        </row>
        <row r="893">
          <cell r="A893" t="str">
            <v>JPY_LIBOR_EOD</v>
          </cell>
          <cell r="C893">
            <v>45959</v>
          </cell>
          <cell r="E893">
            <v>4.8379940699747898E-3</v>
          </cell>
        </row>
        <row r="894">
          <cell r="A894" t="str">
            <v>JPY_LIBOR_EOD</v>
          </cell>
          <cell r="C894">
            <v>46689</v>
          </cell>
          <cell r="E894">
            <v>6.2561092603609101E-3</v>
          </cell>
        </row>
        <row r="895">
          <cell r="A895" t="str">
            <v>JPY_LIBOR_EOD</v>
          </cell>
          <cell r="C895">
            <v>47785</v>
          </cell>
          <cell r="E895">
            <v>8.45535604537467E-3</v>
          </cell>
        </row>
        <row r="896">
          <cell r="A896" t="str">
            <v>JPY_LIBOR_EOD</v>
          </cell>
          <cell r="C896">
            <v>49611</v>
          </cell>
          <cell r="E896">
            <v>1.13733626330242E-2</v>
          </cell>
        </row>
        <row r="897">
          <cell r="A897" t="str">
            <v>JPY_LIBOR_EOD</v>
          </cell>
          <cell r="C897">
            <v>51438</v>
          </cell>
          <cell r="E897">
            <v>1.2983865400207399E-2</v>
          </cell>
        </row>
        <row r="898">
          <cell r="A898" t="str">
            <v>JPY_LIBOR_EOD</v>
          </cell>
          <cell r="C898">
            <v>53265</v>
          </cell>
          <cell r="E898">
            <v>1.3864185482371101E-2</v>
          </cell>
        </row>
        <row r="899">
          <cell r="A899" t="str">
            <v>JPY_LIBOR_EOD</v>
          </cell>
          <cell r="C899">
            <v>56916</v>
          </cell>
          <cell r="E899">
            <v>1.53460808943714E-2</v>
          </cell>
        </row>
        <row r="900">
          <cell r="A900" t="str">
            <v>JPY_TONA_EOD</v>
          </cell>
          <cell r="C900">
            <v>42305</v>
          </cell>
          <cell r="E900">
            <v>7.5999920875011E-4</v>
          </cell>
        </row>
        <row r="901">
          <cell r="A901" t="str">
            <v>JPY_TONA_EOD</v>
          </cell>
          <cell r="C901">
            <v>42306</v>
          </cell>
          <cell r="E901">
            <v>7.5999920871991995E-4</v>
          </cell>
        </row>
        <row r="902">
          <cell r="A902" t="str">
            <v>JPY_TONA_EOD</v>
          </cell>
          <cell r="C902">
            <v>42313</v>
          </cell>
          <cell r="E902">
            <v>6.8412432904370996E-4</v>
          </cell>
        </row>
        <row r="903">
          <cell r="A903" t="str">
            <v>JPY_TONA_EOD</v>
          </cell>
          <cell r="C903">
            <v>42320</v>
          </cell>
          <cell r="E903">
            <v>6.7463628712168997E-4</v>
          </cell>
        </row>
        <row r="904">
          <cell r="A904" t="str">
            <v>JPY_TONA_EOD</v>
          </cell>
          <cell r="C904">
            <v>42327</v>
          </cell>
          <cell r="E904">
            <v>6.7093014385851996E-4</v>
          </cell>
        </row>
        <row r="905">
          <cell r="A905" t="str">
            <v>JPY_TONA_EOD</v>
          </cell>
          <cell r="C905">
            <v>42338</v>
          </cell>
          <cell r="E905">
            <v>7.0350915009155003E-4</v>
          </cell>
        </row>
        <row r="906">
          <cell r="A906" t="str">
            <v>JPY_TONA_EOD</v>
          </cell>
          <cell r="C906">
            <v>42367</v>
          </cell>
          <cell r="E906">
            <v>6.9580453050980997E-4</v>
          </cell>
        </row>
        <row r="907">
          <cell r="A907" t="str">
            <v>JPY_TONA_EOD</v>
          </cell>
          <cell r="C907">
            <v>42398</v>
          </cell>
          <cell r="E907">
            <v>6.6207391919557003E-4</v>
          </cell>
        </row>
        <row r="908">
          <cell r="A908" t="str">
            <v>JPY_TONA_EOD</v>
          </cell>
          <cell r="C908">
            <v>42429</v>
          </cell>
          <cell r="E908">
            <v>6.6386425616641004E-4</v>
          </cell>
        </row>
        <row r="909">
          <cell r="A909" t="str">
            <v>JPY_TONA_EOD</v>
          </cell>
          <cell r="C909">
            <v>42458</v>
          </cell>
          <cell r="E909">
            <v>6.2913986021112002E-4</v>
          </cell>
        </row>
        <row r="910">
          <cell r="A910" t="str">
            <v>JPY_TONA_EOD</v>
          </cell>
          <cell r="C910">
            <v>42488</v>
          </cell>
          <cell r="E910">
            <v>6.3566598018992E-4</v>
          </cell>
        </row>
        <row r="911">
          <cell r="A911" t="str">
            <v>JPY_TONA_EOD</v>
          </cell>
          <cell r="C911">
            <v>42520</v>
          </cell>
          <cell r="E911">
            <v>6.0137694159166004E-4</v>
          </cell>
        </row>
        <row r="912">
          <cell r="A912" t="str">
            <v>JPY_TONA_EOD</v>
          </cell>
          <cell r="C912">
            <v>42550</v>
          </cell>
          <cell r="E912">
            <v>5.9480630777501004E-4</v>
          </cell>
        </row>
        <row r="913">
          <cell r="A913" t="str">
            <v>JPY_TONA_EOD</v>
          </cell>
          <cell r="C913">
            <v>42580</v>
          </cell>
          <cell r="E913">
            <v>5.8240950639792E-4</v>
          </cell>
        </row>
        <row r="914">
          <cell r="A914" t="str">
            <v>JPY_TONA_EOD</v>
          </cell>
          <cell r="C914">
            <v>42611</v>
          </cell>
          <cell r="E914">
            <v>5.5124254786142004E-4</v>
          </cell>
        </row>
        <row r="915">
          <cell r="A915" t="str">
            <v>JPY_TONA_EOD</v>
          </cell>
          <cell r="C915">
            <v>42642</v>
          </cell>
          <cell r="E915">
            <v>5.4116839295160004E-4</v>
          </cell>
        </row>
        <row r="916">
          <cell r="A916" t="str">
            <v>JPY_TONA_EOD</v>
          </cell>
          <cell r="C916">
            <v>42674</v>
          </cell>
          <cell r="E916">
            <v>5.1996887713702999E-4</v>
          </cell>
        </row>
        <row r="917">
          <cell r="A917" t="str">
            <v>JPY_TONA_EOD</v>
          </cell>
          <cell r="C917">
            <v>42853</v>
          </cell>
          <cell r="E917">
            <v>4.3392349032119002E-4</v>
          </cell>
        </row>
        <row r="918">
          <cell r="A918" t="str">
            <v>JPY_TONA_EOD</v>
          </cell>
          <cell r="C918">
            <v>43038</v>
          </cell>
          <cell r="E918">
            <v>3.5451563684287999E-4</v>
          </cell>
        </row>
        <row r="919">
          <cell r="A919" t="str">
            <v>JPY_TONA_EOD</v>
          </cell>
          <cell r="C919">
            <v>43402</v>
          </cell>
          <cell r="E919">
            <v>3.5135106990454999E-4</v>
          </cell>
        </row>
        <row r="920">
          <cell r="A920" t="str">
            <v>JPY_TONA_EOD</v>
          </cell>
          <cell r="C920">
            <v>43767</v>
          </cell>
          <cell r="E920">
            <v>5.5028867391611E-4</v>
          </cell>
        </row>
        <row r="921">
          <cell r="A921" t="str">
            <v>JPY_TONA_EOD</v>
          </cell>
          <cell r="C921">
            <v>44133</v>
          </cell>
          <cell r="E921">
            <v>9.1313901112924996E-4</v>
          </cell>
        </row>
        <row r="922">
          <cell r="A922" t="str">
            <v>JPY_TONA_EOD</v>
          </cell>
          <cell r="C922">
            <v>44498</v>
          </cell>
          <cell r="E922">
            <v>1.37608463839958E-3</v>
          </cell>
        </row>
        <row r="923">
          <cell r="A923" t="str">
            <v>JPY_TONA_EOD</v>
          </cell>
          <cell r="C923">
            <v>44865</v>
          </cell>
          <cell r="E923">
            <v>1.8884952884803E-3</v>
          </cell>
        </row>
        <row r="924">
          <cell r="A924" t="str">
            <v>JPY_TONA_EOD</v>
          </cell>
          <cell r="C924">
            <v>45229</v>
          </cell>
          <cell r="E924">
            <v>2.4304615038181401E-3</v>
          </cell>
        </row>
        <row r="925">
          <cell r="A925" t="str">
            <v>JPY_TONA_EOD</v>
          </cell>
          <cell r="C925">
            <v>45594</v>
          </cell>
          <cell r="E925">
            <v>2.99228385217855E-3</v>
          </cell>
        </row>
        <row r="926">
          <cell r="A926" t="str">
            <v>JPY_TONA_EOD</v>
          </cell>
          <cell r="C926">
            <v>45959</v>
          </cell>
          <cell r="E926">
            <v>3.6062741344197401E-3</v>
          </cell>
        </row>
        <row r="927">
          <cell r="A927" t="str">
            <v>JPY_TONA_EOD</v>
          </cell>
          <cell r="C927">
            <v>46689</v>
          </cell>
          <cell r="E927">
            <v>4.9089661929371401E-3</v>
          </cell>
        </row>
        <row r="928">
          <cell r="A928" t="str">
            <v>JPY_TONA_EOD</v>
          </cell>
          <cell r="C928">
            <v>47785</v>
          </cell>
          <cell r="E928">
            <v>7.08635545434016E-3</v>
          </cell>
        </row>
        <row r="929">
          <cell r="A929" t="str">
            <v>JPY_TONA_EOD</v>
          </cell>
          <cell r="C929">
            <v>49611</v>
          </cell>
          <cell r="E929">
            <v>9.9879098152604404E-3</v>
          </cell>
        </row>
        <row r="930">
          <cell r="A930" t="str">
            <v>JPY_TONA_EOD</v>
          </cell>
          <cell r="C930">
            <v>51438</v>
          </cell>
          <cell r="E930">
            <v>1.1582283267306599E-2</v>
          </cell>
        </row>
        <row r="931">
          <cell r="A931" t="str">
            <v>JPY_TONA_EOD</v>
          </cell>
          <cell r="C931">
            <v>53265</v>
          </cell>
          <cell r="E931">
            <v>1.24545714383486E-2</v>
          </cell>
        </row>
        <row r="932">
          <cell r="A932" t="str">
            <v>JPY_TONA_EOD</v>
          </cell>
          <cell r="C932">
            <v>56916</v>
          </cell>
          <cell r="E932">
            <v>1.3893555835143999E-2</v>
          </cell>
        </row>
        <row r="933">
          <cell r="A933" t="str">
            <v>MXN_TIIE_EOD</v>
          </cell>
          <cell r="C933">
            <v>42389</v>
          </cell>
          <cell r="E933">
            <v>3.3921105281297097E-2</v>
          </cell>
        </row>
        <row r="934">
          <cell r="A934" t="str">
            <v>MXN_TIIE_EOD</v>
          </cell>
          <cell r="C934">
            <v>42473</v>
          </cell>
          <cell r="E934">
            <v>3.4627427896153598E-2</v>
          </cell>
        </row>
        <row r="935">
          <cell r="A935" t="str">
            <v>MXN_TIIE_EOD</v>
          </cell>
          <cell r="C935">
            <v>42557</v>
          </cell>
          <cell r="E935">
            <v>3.5845402922699401E-2</v>
          </cell>
        </row>
        <row r="936">
          <cell r="A936" t="str">
            <v>MXN_TIIE_EOD</v>
          </cell>
          <cell r="C936">
            <v>42669</v>
          </cell>
          <cell r="E936">
            <v>3.7476390412292698E-2</v>
          </cell>
        </row>
        <row r="937">
          <cell r="A937" t="str">
            <v>MXN_TIIE_EOD</v>
          </cell>
          <cell r="C937">
            <v>43033</v>
          </cell>
          <cell r="E937">
            <v>4.2002823252931101E-2</v>
          </cell>
        </row>
        <row r="938">
          <cell r="A938" t="str">
            <v>MXN_TIIE_EOD</v>
          </cell>
          <cell r="C938">
            <v>43397</v>
          </cell>
          <cell r="E938">
            <v>4.6051637481353998E-2</v>
          </cell>
        </row>
        <row r="939">
          <cell r="A939" t="str">
            <v>MXN_TIIE_EOD</v>
          </cell>
          <cell r="C939">
            <v>43761</v>
          </cell>
          <cell r="E939">
            <v>5.0017734869377002E-2</v>
          </cell>
        </row>
        <row r="940">
          <cell r="A940" t="str">
            <v>MXN_TIIE_EOD</v>
          </cell>
          <cell r="C940">
            <v>44125</v>
          </cell>
          <cell r="E940">
            <v>5.3373704973789099E-2</v>
          </cell>
        </row>
        <row r="941">
          <cell r="A941" t="str">
            <v>MXN_TIIE_EOD</v>
          </cell>
          <cell r="C941">
            <v>44853</v>
          </cell>
          <cell r="E941">
            <v>5.9364112514344099E-2</v>
          </cell>
        </row>
        <row r="942">
          <cell r="A942" t="str">
            <v>MXN_TIIE_EOD</v>
          </cell>
          <cell r="C942">
            <v>45945</v>
          </cell>
          <cell r="E942">
            <v>6.4414642646596798E-2</v>
          </cell>
        </row>
        <row r="943">
          <cell r="A943" t="str">
            <v>MXN_TIIE_EOD</v>
          </cell>
          <cell r="C943">
            <v>47765</v>
          </cell>
          <cell r="E943">
            <v>7.0021770074743403E-2</v>
          </cell>
        </row>
        <row r="944">
          <cell r="A944" t="str">
            <v>MXN_TIIE_EOD</v>
          </cell>
          <cell r="C944">
            <v>49585</v>
          </cell>
          <cell r="E944">
            <v>7.3204493297307896E-2</v>
          </cell>
        </row>
        <row r="945">
          <cell r="A945" t="str">
            <v>MXN_TIIE_EOD</v>
          </cell>
          <cell r="C945">
            <v>53225</v>
          </cell>
          <cell r="E945">
            <v>7.6330118651978002E-2</v>
          </cell>
        </row>
        <row r="946">
          <cell r="A946" t="str">
            <v>MXN_USDMXNBASIS_EOD</v>
          </cell>
          <cell r="C946">
            <v>42307</v>
          </cell>
          <cell r="E946">
            <v>2.9778774669083699E-2</v>
          </cell>
        </row>
        <row r="947">
          <cell r="A947" t="str">
            <v>MXN_USDMXNBASIS_EOD</v>
          </cell>
          <cell r="C947">
            <v>42338</v>
          </cell>
          <cell r="E947">
            <v>2.8636934724321401E-2</v>
          </cell>
        </row>
        <row r="948">
          <cell r="A948" t="str">
            <v>MXN_USDMXNBASIS_EOD</v>
          </cell>
          <cell r="C948">
            <v>42367</v>
          </cell>
          <cell r="E948">
            <v>2.8056831007645999E-2</v>
          </cell>
        </row>
        <row r="949">
          <cell r="A949" t="str">
            <v>MXN_USDMXNBASIS_EOD</v>
          </cell>
          <cell r="C949">
            <v>42398</v>
          </cell>
          <cell r="E949">
            <v>2.74836711562691E-2</v>
          </cell>
        </row>
        <row r="950">
          <cell r="A950" t="str">
            <v>MXN_USDMXNBASIS_EOD</v>
          </cell>
          <cell r="C950">
            <v>42489</v>
          </cell>
          <cell r="E950">
            <v>2.8903197902904802E-2</v>
          </cell>
        </row>
        <row r="951">
          <cell r="A951" t="str">
            <v>MXN_USDMXNBASIS_EOD</v>
          </cell>
          <cell r="C951">
            <v>42580</v>
          </cell>
          <cell r="E951">
            <v>3.02270727331207E-2</v>
          </cell>
        </row>
        <row r="952">
          <cell r="A952" t="str">
            <v>MXN_USDMXNBASIS_EOD</v>
          </cell>
          <cell r="C952">
            <v>42674</v>
          </cell>
          <cell r="E952">
            <v>3.1259644504179798E-2</v>
          </cell>
        </row>
        <row r="953">
          <cell r="A953" t="str">
            <v>MXN_USDMXNBASIS_EOD</v>
          </cell>
          <cell r="C953">
            <v>42853</v>
          </cell>
          <cell r="E953">
            <v>3.3225395546990097E-2</v>
          </cell>
        </row>
        <row r="954">
          <cell r="A954" t="str">
            <v>MXN_USDMXNBASIS_EOD</v>
          </cell>
          <cell r="C954">
            <v>43034</v>
          </cell>
          <cell r="E954">
            <v>3.4790780670092399E-2</v>
          </cell>
        </row>
        <row r="955">
          <cell r="A955" t="str">
            <v>MXN_USDMXNBASIS_EOD</v>
          </cell>
          <cell r="C955">
            <v>43398</v>
          </cell>
          <cell r="E955">
            <v>3.8202254378382601E-2</v>
          </cell>
        </row>
        <row r="956">
          <cell r="A956" t="str">
            <v>MXN_USDMXNBASIS_EOD</v>
          </cell>
          <cell r="C956">
            <v>43762</v>
          </cell>
          <cell r="E956">
            <v>4.0873713139823499E-2</v>
          </cell>
        </row>
        <row r="957">
          <cell r="A957" t="str">
            <v>MXN_USDMXNBASIS_EOD</v>
          </cell>
          <cell r="C957">
            <v>44126</v>
          </cell>
          <cell r="E957">
            <v>4.3090342790546597E-2</v>
          </cell>
        </row>
        <row r="958">
          <cell r="A958" t="str">
            <v>MXN_USDMXNBASIS_EOD</v>
          </cell>
          <cell r="C958">
            <v>44854</v>
          </cell>
          <cell r="E958">
            <v>4.7595684032090801E-2</v>
          </cell>
        </row>
        <row r="959">
          <cell r="A959" t="str">
            <v>MXN_USDMXNBASIS_EOD</v>
          </cell>
          <cell r="C959">
            <v>45946</v>
          </cell>
          <cell r="E959">
            <v>5.1857093150982199E-2</v>
          </cell>
        </row>
        <row r="960">
          <cell r="A960" t="str">
            <v>MXN_USDMXNBASIS_EOD</v>
          </cell>
          <cell r="C960">
            <v>47766</v>
          </cell>
          <cell r="E960">
            <v>5.6455610441893303E-2</v>
          </cell>
        </row>
        <row r="961">
          <cell r="A961" t="str">
            <v>MXN_USDMXNBASIS_EOD</v>
          </cell>
          <cell r="C961">
            <v>49586</v>
          </cell>
          <cell r="E961">
            <v>5.8210339228118503E-2</v>
          </cell>
        </row>
        <row r="962">
          <cell r="A962" t="str">
            <v>MXN_USDMXNBASIS_EOD</v>
          </cell>
          <cell r="C962">
            <v>53226</v>
          </cell>
          <cell r="E962">
            <v>5.8004813831701002E-2</v>
          </cell>
        </row>
        <row r="963">
          <cell r="A963" t="str">
            <v>NOK_NIBOR_3M_EOD</v>
          </cell>
          <cell r="C963">
            <v>42398</v>
          </cell>
          <cell r="E963">
            <v>1.12382346290857E-2</v>
          </cell>
        </row>
        <row r="964">
          <cell r="A964" t="str">
            <v>NOK_NIBOR_3M_EOD</v>
          </cell>
          <cell r="C964">
            <v>42445</v>
          </cell>
          <cell r="E964">
            <v>1.03899273313746E-2</v>
          </cell>
        </row>
        <row r="965">
          <cell r="A965" t="str">
            <v>NOK_NIBOR_3M_EOD</v>
          </cell>
          <cell r="C965">
            <v>42536</v>
          </cell>
          <cell r="E965">
            <v>9.5920872976973503E-3</v>
          </cell>
        </row>
        <row r="966">
          <cell r="A966" t="str">
            <v>NOK_NIBOR_3M_EOD</v>
          </cell>
          <cell r="C966">
            <v>42634</v>
          </cell>
          <cell r="E966">
            <v>8.9994329897644491E-3</v>
          </cell>
        </row>
        <row r="967">
          <cell r="A967" t="str">
            <v>NOK_NIBOR_3M_EOD</v>
          </cell>
          <cell r="C967">
            <v>42725</v>
          </cell>
          <cell r="E967">
            <v>8.6744130547204996E-3</v>
          </cell>
        </row>
        <row r="968">
          <cell r="A968" t="str">
            <v>NOK_NIBOR_3M_EOD</v>
          </cell>
          <cell r="C968">
            <v>43038</v>
          </cell>
          <cell r="E968">
            <v>8.39905101217653E-3</v>
          </cell>
        </row>
        <row r="969">
          <cell r="A969" t="str">
            <v>NOK_NIBOR_3M_EOD</v>
          </cell>
          <cell r="C969">
            <v>43402</v>
          </cell>
          <cell r="E969">
            <v>8.9965492111060402E-3</v>
          </cell>
        </row>
        <row r="970">
          <cell r="A970" t="str">
            <v>NOK_NIBOR_3M_EOD</v>
          </cell>
          <cell r="C970">
            <v>43767</v>
          </cell>
          <cell r="E970">
            <v>1.02064110347715E-2</v>
          </cell>
        </row>
        <row r="971">
          <cell r="A971" t="str">
            <v>NOK_NIBOR_3M_EOD</v>
          </cell>
          <cell r="C971">
            <v>44133</v>
          </cell>
          <cell r="E971">
            <v>1.1713241468543399E-2</v>
          </cell>
        </row>
        <row r="972">
          <cell r="A972" t="str">
            <v>NOK_NIBOR_3M_EOD</v>
          </cell>
          <cell r="C972">
            <v>44498</v>
          </cell>
          <cell r="E972">
            <v>1.32043128886135E-2</v>
          </cell>
        </row>
        <row r="973">
          <cell r="A973" t="str">
            <v>NOK_NIBOR_3M_EOD</v>
          </cell>
          <cell r="C973">
            <v>44865</v>
          </cell>
          <cell r="E973">
            <v>1.46207741707745E-2</v>
          </cell>
        </row>
        <row r="974">
          <cell r="A974" t="str">
            <v>NOK_NIBOR_3M_EOD</v>
          </cell>
          <cell r="C974">
            <v>45229</v>
          </cell>
          <cell r="E974">
            <v>1.5825603049093001E-2</v>
          </cell>
        </row>
        <row r="975">
          <cell r="A975" t="str">
            <v>NOK_NIBOR_3M_EOD</v>
          </cell>
          <cell r="C975">
            <v>45594</v>
          </cell>
          <cell r="E975">
            <v>1.6992002824317301E-2</v>
          </cell>
        </row>
        <row r="976">
          <cell r="A976" t="str">
            <v>NOK_NIBOR_3M_EOD</v>
          </cell>
          <cell r="C976">
            <v>45959</v>
          </cell>
          <cell r="E976">
            <v>1.78590167041528E-2</v>
          </cell>
        </row>
        <row r="977">
          <cell r="A977" t="str">
            <v>NOK_NIBOR_3M_EOD</v>
          </cell>
          <cell r="C977">
            <v>46689</v>
          </cell>
          <cell r="E977">
            <v>1.91652311123728E-2</v>
          </cell>
        </row>
        <row r="978">
          <cell r="A978" t="str">
            <v>NOK_NIBOR_3M_EOD</v>
          </cell>
          <cell r="C978">
            <v>47785</v>
          </cell>
          <cell r="E978">
            <v>2.0098503204113102E-2</v>
          </cell>
        </row>
        <row r="979">
          <cell r="A979" t="str">
            <v>NOK_NIBOR_3M_EOD</v>
          </cell>
          <cell r="C979">
            <v>49611</v>
          </cell>
          <cell r="E979">
            <v>2.0811920971056101E-2</v>
          </cell>
        </row>
        <row r="980">
          <cell r="A980" t="str">
            <v>NOK_NIBOR_3M_EOD</v>
          </cell>
          <cell r="C980">
            <v>51438</v>
          </cell>
          <cell r="E980">
            <v>2.1142425923987698E-2</v>
          </cell>
        </row>
        <row r="981">
          <cell r="A981" t="str">
            <v>NOK_NIBOR_3M_EOD</v>
          </cell>
          <cell r="C981">
            <v>53265</v>
          </cell>
          <cell r="E981">
            <v>2.1006049948915698E-2</v>
          </cell>
        </row>
        <row r="982">
          <cell r="A982" t="str">
            <v>NOK_NIBOR_6M_EOD</v>
          </cell>
          <cell r="C982">
            <v>42489</v>
          </cell>
          <cell r="E982">
            <v>1.1323352245710299E-2</v>
          </cell>
        </row>
        <row r="983">
          <cell r="A983" t="str">
            <v>NOK_NIBOR_6M_EOD</v>
          </cell>
          <cell r="C983">
            <v>42674</v>
          </cell>
          <cell r="E983">
            <v>1.01558542331981E-2</v>
          </cell>
        </row>
        <row r="984">
          <cell r="A984" t="str">
            <v>NOK_NIBOR_6M_EOD</v>
          </cell>
          <cell r="C984">
            <v>43038</v>
          </cell>
          <cell r="E984">
            <v>9.3626949152060893E-3</v>
          </cell>
        </row>
        <row r="985">
          <cell r="A985" t="str">
            <v>NOK_NIBOR_6M_EOD</v>
          </cell>
          <cell r="C985">
            <v>43402</v>
          </cell>
          <cell r="E985">
            <v>9.9199287113223792E-3</v>
          </cell>
        </row>
        <row r="986">
          <cell r="A986" t="str">
            <v>NOK_NIBOR_6M_EOD</v>
          </cell>
          <cell r="C986">
            <v>43767</v>
          </cell>
          <cell r="E986">
            <v>1.1109119097991499E-2</v>
          </cell>
        </row>
        <row r="987">
          <cell r="A987" t="str">
            <v>NOK_NIBOR_6M_EOD</v>
          </cell>
          <cell r="C987">
            <v>44133</v>
          </cell>
          <cell r="E987">
            <v>1.2584263889981601E-2</v>
          </cell>
        </row>
        <row r="988">
          <cell r="A988" t="str">
            <v>NOK_NIBOR_6M_EOD</v>
          </cell>
          <cell r="C988">
            <v>44498</v>
          </cell>
          <cell r="E988">
            <v>1.4064561298838599E-2</v>
          </cell>
        </row>
        <row r="989">
          <cell r="A989" t="str">
            <v>NOK_NIBOR_6M_EOD</v>
          </cell>
          <cell r="C989">
            <v>44865</v>
          </cell>
          <cell r="E989">
            <v>1.54596989144089E-2</v>
          </cell>
        </row>
        <row r="990">
          <cell r="A990" t="str">
            <v>NOK_NIBOR_6M_EOD</v>
          </cell>
          <cell r="C990">
            <v>45229</v>
          </cell>
          <cell r="E990">
            <v>1.6632540585703199E-2</v>
          </cell>
        </row>
        <row r="991">
          <cell r="A991" t="str">
            <v>NOK_NIBOR_6M_EOD</v>
          </cell>
          <cell r="C991">
            <v>45594</v>
          </cell>
          <cell r="E991">
            <v>1.7787746144461301E-2</v>
          </cell>
        </row>
        <row r="992">
          <cell r="A992" t="str">
            <v>NOK_NIBOR_6M_EOD</v>
          </cell>
          <cell r="C992">
            <v>45959</v>
          </cell>
          <cell r="E992">
            <v>1.8643940127934001E-2</v>
          </cell>
        </row>
        <row r="993">
          <cell r="A993" t="str">
            <v>NOK_NIBOR_6M_EOD</v>
          </cell>
          <cell r="C993">
            <v>46689</v>
          </cell>
          <cell r="E993">
            <v>1.9906050832475201E-2</v>
          </cell>
        </row>
        <row r="994">
          <cell r="A994" t="str">
            <v>NOK_NIBOR_6M_EOD</v>
          </cell>
          <cell r="C994">
            <v>47785</v>
          </cell>
          <cell r="E994">
            <v>2.08292036232566E-2</v>
          </cell>
        </row>
        <row r="995">
          <cell r="A995" t="str">
            <v>NOK_NIBOR_6M_EOD</v>
          </cell>
          <cell r="C995">
            <v>49611</v>
          </cell>
          <cell r="E995">
            <v>2.1499307401666799E-2</v>
          </cell>
        </row>
        <row r="996">
          <cell r="A996" t="str">
            <v>NOK_NIBOR_6M_EOD</v>
          </cell>
          <cell r="C996">
            <v>51438</v>
          </cell>
          <cell r="E996">
            <v>2.18072174500758E-2</v>
          </cell>
        </row>
        <row r="997">
          <cell r="A997" t="str">
            <v>NOK_NIBOR_6M_EOD</v>
          </cell>
          <cell r="C997">
            <v>53265</v>
          </cell>
          <cell r="E997">
            <v>2.16591442607528E-2</v>
          </cell>
        </row>
        <row r="998">
          <cell r="A998" t="str">
            <v>NOK_NIBOR_EOD</v>
          </cell>
          <cell r="C998">
            <v>42305</v>
          </cell>
          <cell r="E998">
            <v>7.6040874577066398E-3</v>
          </cell>
        </row>
        <row r="999">
          <cell r="A999" t="str">
            <v>NOK_NIBOR_EOD</v>
          </cell>
          <cell r="C999">
            <v>42306</v>
          </cell>
          <cell r="E999">
            <v>7.6040874577329E-3</v>
          </cell>
        </row>
        <row r="1000">
          <cell r="A1000" t="str">
            <v>NOK_NIBOR_EOD</v>
          </cell>
          <cell r="C1000">
            <v>42313</v>
          </cell>
          <cell r="E1000">
            <v>9.18061771929112E-3</v>
          </cell>
        </row>
        <row r="1001">
          <cell r="A1001" t="str">
            <v>NOK_NIBOR_EOD</v>
          </cell>
          <cell r="C1001">
            <v>42338</v>
          </cell>
          <cell r="E1001">
            <v>9.9855443300722602E-3</v>
          </cell>
        </row>
        <row r="1002">
          <cell r="A1002" t="str">
            <v>NOK_NIBOR_EOD</v>
          </cell>
          <cell r="C1002">
            <v>42445</v>
          </cell>
          <cell r="E1002">
            <v>9.9434804426884096E-3</v>
          </cell>
        </row>
        <row r="1003">
          <cell r="A1003" t="str">
            <v>NOK_NIBOR_EOD</v>
          </cell>
          <cell r="C1003">
            <v>42536</v>
          </cell>
          <cell r="E1003">
            <v>9.3207553525215502E-3</v>
          </cell>
        </row>
        <row r="1004">
          <cell r="A1004" t="str">
            <v>NOK_NIBOR_EOD</v>
          </cell>
          <cell r="C1004">
            <v>42634</v>
          </cell>
          <cell r="E1004">
            <v>8.8086784105192301E-3</v>
          </cell>
        </row>
        <row r="1005">
          <cell r="A1005" t="str">
            <v>NOK_NIBOR_EOD</v>
          </cell>
          <cell r="C1005">
            <v>42725</v>
          </cell>
          <cell r="E1005">
            <v>8.5248904630526607E-3</v>
          </cell>
        </row>
        <row r="1006">
          <cell r="A1006" t="str">
            <v>NOK_NIBOR_EOD</v>
          </cell>
          <cell r="C1006">
            <v>43038</v>
          </cell>
          <cell r="E1006">
            <v>9.36121423664623E-3</v>
          </cell>
        </row>
        <row r="1007">
          <cell r="A1007" t="str">
            <v>NOK_NIBOR_EOD</v>
          </cell>
          <cell r="C1007">
            <v>43402</v>
          </cell>
          <cell r="E1007">
            <v>9.9209368126341006E-3</v>
          </cell>
        </row>
        <row r="1008">
          <cell r="A1008" t="str">
            <v>NOK_NIBOR_EOD</v>
          </cell>
          <cell r="C1008">
            <v>43767</v>
          </cell>
          <cell r="E1008">
            <v>1.11098755805112E-2</v>
          </cell>
        </row>
        <row r="1009">
          <cell r="A1009" t="str">
            <v>NOK_NIBOR_EOD</v>
          </cell>
          <cell r="C1009">
            <v>44133</v>
          </cell>
          <cell r="E1009">
            <v>1.25848689258772E-2</v>
          </cell>
        </row>
        <row r="1010">
          <cell r="A1010" t="str">
            <v>NOK_NIBOR_EOD</v>
          </cell>
          <cell r="C1010">
            <v>44498</v>
          </cell>
          <cell r="E1010">
            <v>1.40650656359518E-2</v>
          </cell>
        </row>
        <row r="1011">
          <cell r="A1011" t="str">
            <v>NOK_NIBOR_EOD</v>
          </cell>
          <cell r="C1011">
            <v>44865</v>
          </cell>
          <cell r="E1011">
            <v>1.54601309484692E-2</v>
          </cell>
        </row>
        <row r="1012">
          <cell r="A1012" t="str">
            <v>NOK_NIBOR_EOD</v>
          </cell>
          <cell r="C1012">
            <v>45229</v>
          </cell>
          <cell r="E1012">
            <v>1.6632918835597799E-2</v>
          </cell>
        </row>
        <row r="1013">
          <cell r="A1013" t="str">
            <v>NOK_NIBOR_EOD</v>
          </cell>
          <cell r="C1013">
            <v>45594</v>
          </cell>
          <cell r="E1013">
            <v>1.7788311950768999E-2</v>
          </cell>
        </row>
        <row r="1014">
          <cell r="A1014" t="str">
            <v>NOK_NIBOR_EOD</v>
          </cell>
          <cell r="C1014">
            <v>45959</v>
          </cell>
          <cell r="E1014">
            <v>1.86444494127662E-2</v>
          </cell>
        </row>
        <row r="1015">
          <cell r="A1015" t="str">
            <v>NOK_NIBOR_EOD</v>
          </cell>
          <cell r="C1015">
            <v>46689</v>
          </cell>
          <cell r="E1015">
            <v>1.99064752189335E-2</v>
          </cell>
        </row>
        <row r="1016">
          <cell r="A1016" t="str">
            <v>NOK_NIBOR_EOD</v>
          </cell>
          <cell r="C1016">
            <v>47785</v>
          </cell>
          <cell r="E1016">
            <v>2.0829598294457501E-2</v>
          </cell>
        </row>
        <row r="1017">
          <cell r="A1017" t="str">
            <v>NOK_NIBOR_EOD</v>
          </cell>
          <cell r="C1017">
            <v>49611</v>
          </cell>
          <cell r="E1017">
            <v>2.1499442515601999E-2</v>
          </cell>
        </row>
        <row r="1018">
          <cell r="A1018" t="str">
            <v>NOK_NIBOR_EOD</v>
          </cell>
          <cell r="C1018">
            <v>51438</v>
          </cell>
          <cell r="E1018">
            <v>2.1807106274634599E-2</v>
          </cell>
        </row>
        <row r="1019">
          <cell r="A1019" t="str">
            <v>NOK_NIBOR_EOD</v>
          </cell>
          <cell r="C1019">
            <v>53265</v>
          </cell>
          <cell r="E1019">
            <v>2.1659051669777499E-2</v>
          </cell>
        </row>
        <row r="1020">
          <cell r="A1020" t="str">
            <v>NZD_BKBM_EOD</v>
          </cell>
          <cell r="C1020">
            <v>42305</v>
          </cell>
          <cell r="E1020">
            <v>2.7498964093130199E-2</v>
          </cell>
        </row>
        <row r="1021">
          <cell r="A1021" t="str">
            <v>NZD_BKBM_EOD</v>
          </cell>
          <cell r="C1021">
            <v>42311</v>
          </cell>
          <cell r="E1021">
            <v>2.7722629092199001E-2</v>
          </cell>
        </row>
        <row r="1022">
          <cell r="A1022" t="str">
            <v>NZD_BKBM_EOD</v>
          </cell>
          <cell r="C1022">
            <v>42335</v>
          </cell>
          <cell r="E1022">
            <v>2.8615199595608799E-2</v>
          </cell>
        </row>
        <row r="1023">
          <cell r="A1023" t="str">
            <v>NZD_BKBM_EOD</v>
          </cell>
          <cell r="C1023">
            <v>42367</v>
          </cell>
          <cell r="E1023">
            <v>2.85822802931287E-2</v>
          </cell>
        </row>
        <row r="1024">
          <cell r="A1024" t="str">
            <v>NZD_BKBM_EOD</v>
          </cell>
          <cell r="C1024">
            <v>42396</v>
          </cell>
          <cell r="E1024">
            <v>2.8552906905144001E-2</v>
          </cell>
        </row>
        <row r="1025">
          <cell r="A1025" t="str">
            <v>NZD_BKBM_EOD</v>
          </cell>
          <cell r="C1025">
            <v>42487</v>
          </cell>
          <cell r="E1025">
            <v>2.8249004068557598E-2</v>
          </cell>
        </row>
        <row r="1026">
          <cell r="A1026" t="str">
            <v>NZD_BKBM_EOD</v>
          </cell>
          <cell r="C1026">
            <v>42670</v>
          </cell>
          <cell r="E1026">
            <v>2.7370229796078501E-2</v>
          </cell>
        </row>
        <row r="1027">
          <cell r="A1027" t="str">
            <v>NZD_BKBM_EOD</v>
          </cell>
          <cell r="C1027">
            <v>43035</v>
          </cell>
          <cell r="E1027">
            <v>2.73384425043578E-2</v>
          </cell>
        </row>
        <row r="1028">
          <cell r="A1028" t="str">
            <v>NZD_BKBM_EOD</v>
          </cell>
          <cell r="C1028">
            <v>43402</v>
          </cell>
          <cell r="E1028">
            <v>2.80191134883634E-2</v>
          </cell>
        </row>
        <row r="1029">
          <cell r="A1029" t="str">
            <v>NZD_BKBM_EOD</v>
          </cell>
          <cell r="C1029">
            <v>43767</v>
          </cell>
          <cell r="E1029">
            <v>2.90776341288961E-2</v>
          </cell>
        </row>
        <row r="1030">
          <cell r="A1030" t="str">
            <v>NZD_BKBM_EOD</v>
          </cell>
          <cell r="C1030">
            <v>44131</v>
          </cell>
          <cell r="E1030">
            <v>3.0346884432073298E-2</v>
          </cell>
        </row>
        <row r="1031">
          <cell r="A1031" t="str">
            <v>NZD_BKBM_EOD</v>
          </cell>
          <cell r="C1031">
            <v>44861</v>
          </cell>
          <cell r="E1031">
            <v>3.2820485304632302E-2</v>
          </cell>
        </row>
        <row r="1032">
          <cell r="A1032" t="str">
            <v>NZD_BKBM_EOD</v>
          </cell>
          <cell r="C1032">
            <v>45958</v>
          </cell>
          <cell r="E1032">
            <v>3.5466576326908E-2</v>
          </cell>
        </row>
        <row r="1033">
          <cell r="A1033" t="str">
            <v>NZD_BKBM_EOD</v>
          </cell>
          <cell r="C1033">
            <v>46687</v>
          </cell>
          <cell r="E1033">
            <v>3.6883074204283203E-2</v>
          </cell>
        </row>
        <row r="1034">
          <cell r="A1034" t="str">
            <v>NZD_BKBM_EOD</v>
          </cell>
          <cell r="C1034">
            <v>47785</v>
          </cell>
          <cell r="E1034">
            <v>3.8392006226615399E-2</v>
          </cell>
        </row>
        <row r="1035">
          <cell r="A1035" t="str">
            <v>NZD_BKBM_EOD</v>
          </cell>
          <cell r="C1035">
            <v>49611</v>
          </cell>
          <cell r="E1035">
            <v>3.9886289565469801E-2</v>
          </cell>
        </row>
        <row r="1036">
          <cell r="A1036" t="str">
            <v>PLN_WIBOR_3M_EOD</v>
          </cell>
          <cell r="C1036">
            <v>42398</v>
          </cell>
          <cell r="E1036">
            <v>1.72623905525035E-2</v>
          </cell>
        </row>
        <row r="1037">
          <cell r="A1037" t="str">
            <v>PLN_WIBOR_3M_EOD</v>
          </cell>
          <cell r="C1037">
            <v>42489</v>
          </cell>
          <cell r="E1037">
            <v>1.6860539167588801E-2</v>
          </cell>
        </row>
        <row r="1038">
          <cell r="A1038" t="str">
            <v>PLN_WIBOR_3M_EOD</v>
          </cell>
          <cell r="C1038">
            <v>42580</v>
          </cell>
          <cell r="E1038">
            <v>1.60613051202292E-2</v>
          </cell>
        </row>
        <row r="1039">
          <cell r="A1039" t="str">
            <v>PLN_WIBOR_3M_EOD</v>
          </cell>
          <cell r="C1039">
            <v>42674</v>
          </cell>
          <cell r="E1039">
            <v>1.5432495591445701E-2</v>
          </cell>
        </row>
        <row r="1040">
          <cell r="A1040" t="str">
            <v>PLN_WIBOR_3M_EOD</v>
          </cell>
          <cell r="C1040">
            <v>43038</v>
          </cell>
          <cell r="E1040">
            <v>1.4787045334071E-2</v>
          </cell>
        </row>
        <row r="1041">
          <cell r="A1041" t="str">
            <v>PLN_WIBOR_3M_EOD</v>
          </cell>
          <cell r="C1041">
            <v>43402</v>
          </cell>
          <cell r="E1041">
            <v>1.5704104279630399E-2</v>
          </cell>
        </row>
        <row r="1042">
          <cell r="A1042" t="str">
            <v>PLN_WIBOR_3M_EOD</v>
          </cell>
          <cell r="C1042">
            <v>43767</v>
          </cell>
          <cell r="E1042">
            <v>1.6927704218989401E-2</v>
          </cell>
        </row>
        <row r="1043">
          <cell r="A1043" t="str">
            <v>PLN_WIBOR_3M_EOD</v>
          </cell>
          <cell r="C1043">
            <v>44133</v>
          </cell>
          <cell r="E1043">
            <v>1.82648385539451E-2</v>
          </cell>
        </row>
        <row r="1044">
          <cell r="A1044" t="str">
            <v>PLN_WIBOR_3M_EOD</v>
          </cell>
          <cell r="C1044">
            <v>44498</v>
          </cell>
          <cell r="E1044">
            <v>1.9662494854176399E-2</v>
          </cell>
        </row>
        <row r="1045">
          <cell r="A1045" t="str">
            <v>PLN_WIBOR_3M_EOD</v>
          </cell>
          <cell r="C1045">
            <v>44865</v>
          </cell>
          <cell r="E1045">
            <v>2.1042767456429998E-2</v>
          </cell>
        </row>
        <row r="1046">
          <cell r="A1046" t="str">
            <v>PLN_WIBOR_3M_EOD</v>
          </cell>
          <cell r="C1046">
            <v>45229</v>
          </cell>
          <cell r="E1046">
            <v>2.2156370512071099E-2</v>
          </cell>
        </row>
        <row r="1047">
          <cell r="A1047" t="str">
            <v>PLN_WIBOR_3M_EOD</v>
          </cell>
          <cell r="C1047">
            <v>45594</v>
          </cell>
          <cell r="E1047">
            <v>2.3114720688026599E-2</v>
          </cell>
        </row>
        <row r="1048">
          <cell r="A1048" t="str">
            <v>PLN_WIBOR_3M_EOD</v>
          </cell>
          <cell r="C1048">
            <v>45959</v>
          </cell>
          <cell r="E1048">
            <v>2.37728369546252E-2</v>
          </cell>
        </row>
        <row r="1049">
          <cell r="A1049" t="str">
            <v>PLN_WIBOR_3M_EOD</v>
          </cell>
          <cell r="C1049">
            <v>46689</v>
          </cell>
          <cell r="E1049">
            <v>2.4819581986266801E-2</v>
          </cell>
        </row>
        <row r="1050">
          <cell r="A1050" t="str">
            <v>PLN_WIBOR_3M_EOD</v>
          </cell>
          <cell r="C1050">
            <v>47785</v>
          </cell>
          <cell r="E1050">
            <v>2.57730801980347E-2</v>
          </cell>
        </row>
        <row r="1051">
          <cell r="A1051" t="str">
            <v>PLN_WIBOR_3M_EOD</v>
          </cell>
          <cell r="C1051">
            <v>49611</v>
          </cell>
          <cell r="E1051">
            <v>2.6039185523019901E-2</v>
          </cell>
        </row>
        <row r="1052">
          <cell r="A1052" t="str">
            <v>PLN_WIBOR_3M_EOD</v>
          </cell>
          <cell r="C1052">
            <v>51438</v>
          </cell>
          <cell r="E1052">
            <v>2.5631122315284399E-2</v>
          </cell>
        </row>
        <row r="1053">
          <cell r="A1053" t="str">
            <v>PLN_WIBOR_3M_EOD</v>
          </cell>
          <cell r="C1053">
            <v>53265</v>
          </cell>
          <cell r="E1053">
            <v>2.4778789220360101E-2</v>
          </cell>
        </row>
        <row r="1054">
          <cell r="A1054" t="str">
            <v>PLN_WIBOR_6M_EOD</v>
          </cell>
          <cell r="C1054">
            <v>42489</v>
          </cell>
          <cell r="E1054">
            <v>1.8018366608739501E-2</v>
          </cell>
        </row>
        <row r="1055">
          <cell r="A1055" t="str">
            <v>PLN_WIBOR_6M_EOD</v>
          </cell>
          <cell r="C1055">
            <v>42674</v>
          </cell>
          <cell r="E1055">
            <v>1.6292232312155201E-2</v>
          </cell>
        </row>
        <row r="1056">
          <cell r="A1056" t="str">
            <v>PLN_WIBOR_6M_EOD</v>
          </cell>
          <cell r="C1056">
            <v>42853</v>
          </cell>
          <cell r="E1056">
            <v>1.5407812337315301E-2</v>
          </cell>
        </row>
        <row r="1057">
          <cell r="A1057" t="str">
            <v>PLN_WIBOR_6M_EOD</v>
          </cell>
          <cell r="C1057">
            <v>43038</v>
          </cell>
          <cell r="E1057">
            <v>1.50551601670155E-2</v>
          </cell>
        </row>
        <row r="1058">
          <cell r="A1058" t="str">
            <v>PLN_WIBOR_6M_EOD</v>
          </cell>
          <cell r="C1058">
            <v>43402</v>
          </cell>
          <cell r="E1058">
            <v>1.5676344250124999E-2</v>
          </cell>
        </row>
        <row r="1059">
          <cell r="A1059" t="str">
            <v>PLN_WIBOR_6M_EOD</v>
          </cell>
          <cell r="C1059">
            <v>43767</v>
          </cell>
          <cell r="E1059">
            <v>1.6711017554543999E-2</v>
          </cell>
        </row>
        <row r="1060">
          <cell r="A1060" t="str">
            <v>PLN_WIBOR_6M_EOD</v>
          </cell>
          <cell r="C1060">
            <v>44133</v>
          </cell>
          <cell r="E1060">
            <v>1.7956148101312599E-2</v>
          </cell>
        </row>
        <row r="1061">
          <cell r="A1061" t="str">
            <v>PLN_WIBOR_6M_EOD</v>
          </cell>
          <cell r="C1061">
            <v>44498</v>
          </cell>
          <cell r="E1061">
            <v>1.9288301208927699E-2</v>
          </cell>
        </row>
        <row r="1062">
          <cell r="A1062" t="str">
            <v>PLN_WIBOR_6M_EOD</v>
          </cell>
          <cell r="C1062">
            <v>44865</v>
          </cell>
          <cell r="E1062">
            <v>2.0547898052225899E-2</v>
          </cell>
        </row>
        <row r="1063">
          <cell r="A1063" t="str">
            <v>PLN_WIBOR_6M_EOD</v>
          </cell>
          <cell r="C1063">
            <v>45229</v>
          </cell>
          <cell r="E1063">
            <v>2.1627062258058501E-2</v>
          </cell>
        </row>
        <row r="1064">
          <cell r="A1064" t="str">
            <v>PLN_WIBOR_6M_EOD</v>
          </cell>
          <cell r="C1064">
            <v>45594</v>
          </cell>
          <cell r="E1064">
            <v>2.2542264832214502E-2</v>
          </cell>
        </row>
        <row r="1065">
          <cell r="A1065" t="str">
            <v>PLN_WIBOR_6M_EOD</v>
          </cell>
          <cell r="C1065">
            <v>45959</v>
          </cell>
          <cell r="E1065">
            <v>2.3180787769968701E-2</v>
          </cell>
        </row>
        <row r="1066">
          <cell r="A1066" t="str">
            <v>PLN_WIBOR_6M_EOD</v>
          </cell>
          <cell r="C1066">
            <v>46689</v>
          </cell>
          <cell r="E1066">
            <v>2.4233808648755201E-2</v>
          </cell>
        </row>
        <row r="1067">
          <cell r="A1067" t="str">
            <v>PLN_WIBOR_6M_EOD</v>
          </cell>
          <cell r="C1067">
            <v>47785</v>
          </cell>
          <cell r="E1067">
            <v>2.5148249756558601E-2</v>
          </cell>
        </row>
        <row r="1068">
          <cell r="A1068" t="str">
            <v>PLN_WIBOR_6M_EOD</v>
          </cell>
          <cell r="C1068">
            <v>49611</v>
          </cell>
          <cell r="E1068">
            <v>2.5395967228874002E-2</v>
          </cell>
        </row>
        <row r="1069">
          <cell r="A1069" t="str">
            <v>PLN_WIBOR_6M_EOD</v>
          </cell>
          <cell r="C1069">
            <v>51438</v>
          </cell>
          <cell r="E1069">
            <v>2.4990597421545899E-2</v>
          </cell>
        </row>
        <row r="1070">
          <cell r="A1070" t="str">
            <v>PLN_WIBOR_6M_EOD</v>
          </cell>
          <cell r="C1070">
            <v>53265</v>
          </cell>
          <cell r="E1070">
            <v>2.41560417270455E-2</v>
          </cell>
        </row>
        <row r="1071">
          <cell r="A1071" t="str">
            <v>PLN_WIBOR_EOD</v>
          </cell>
          <cell r="C1071">
            <v>42305</v>
          </cell>
          <cell r="E1071">
            <v>1.30997649234229E-2</v>
          </cell>
        </row>
        <row r="1072">
          <cell r="A1072" t="str">
            <v>PLN_WIBOR_EOD</v>
          </cell>
          <cell r="C1072">
            <v>42306</v>
          </cell>
          <cell r="E1072">
            <v>1.31997613071058E-2</v>
          </cell>
        </row>
        <row r="1073">
          <cell r="A1073" t="str">
            <v>PLN_WIBOR_EOD</v>
          </cell>
          <cell r="C1073">
            <v>42313</v>
          </cell>
          <cell r="E1073">
            <v>1.55313233807177E-2</v>
          </cell>
        </row>
        <row r="1074">
          <cell r="A1074" t="str">
            <v>PLN_WIBOR_EOD</v>
          </cell>
          <cell r="C1074">
            <v>42338</v>
          </cell>
          <cell r="E1074">
            <v>1.6482608645966099E-2</v>
          </cell>
        </row>
        <row r="1075">
          <cell r="A1075" t="str">
            <v>PLN_WIBOR_EOD</v>
          </cell>
          <cell r="C1075">
            <v>42367</v>
          </cell>
          <cell r="E1075">
            <v>1.6859316534082298E-2</v>
          </cell>
        </row>
        <row r="1076">
          <cell r="A1076" t="str">
            <v>PLN_WIBOR_EOD</v>
          </cell>
          <cell r="C1076">
            <v>42398</v>
          </cell>
          <cell r="E1076">
            <v>1.7175951632389001E-2</v>
          </cell>
        </row>
        <row r="1077">
          <cell r="A1077" t="str">
            <v>PLN_WIBOR_EOD</v>
          </cell>
          <cell r="C1077">
            <v>42489</v>
          </cell>
          <cell r="E1077">
            <v>1.6816618851422601E-2</v>
          </cell>
        </row>
        <row r="1078">
          <cell r="A1078" t="str">
            <v>PLN_WIBOR_EOD</v>
          </cell>
          <cell r="C1078">
            <v>42580</v>
          </cell>
          <cell r="E1078">
            <v>1.6031865778047199E-2</v>
          </cell>
        </row>
        <row r="1079">
          <cell r="A1079" t="str">
            <v>PLN_WIBOR_EOD</v>
          </cell>
          <cell r="C1079">
            <v>42674</v>
          </cell>
          <cell r="E1079">
            <v>1.54105354335143E-2</v>
          </cell>
        </row>
        <row r="1080">
          <cell r="A1080" t="str">
            <v>PLN_WIBOR_EOD</v>
          </cell>
          <cell r="C1080">
            <v>43038</v>
          </cell>
          <cell r="E1080">
            <v>1.50487049260478E-2</v>
          </cell>
        </row>
        <row r="1081">
          <cell r="A1081" t="str">
            <v>PLN_WIBOR_EOD</v>
          </cell>
          <cell r="C1081">
            <v>43402</v>
          </cell>
          <cell r="E1081">
            <v>1.5673498630090502E-2</v>
          </cell>
        </row>
        <row r="1082">
          <cell r="A1082" t="str">
            <v>PLN_WIBOR_EOD</v>
          </cell>
          <cell r="C1082">
            <v>43767</v>
          </cell>
          <cell r="E1082">
            <v>1.6708882307222998E-2</v>
          </cell>
        </row>
        <row r="1083">
          <cell r="A1083" t="str">
            <v>PLN_WIBOR_EOD</v>
          </cell>
          <cell r="C1083">
            <v>44133</v>
          </cell>
          <cell r="E1083">
            <v>1.7954440376183298E-2</v>
          </cell>
        </row>
        <row r="1084">
          <cell r="A1084" t="str">
            <v>PLN_WIBOR_EOD</v>
          </cell>
          <cell r="C1084">
            <v>44498</v>
          </cell>
          <cell r="E1084">
            <v>1.9286877734861301E-2</v>
          </cell>
        </row>
        <row r="1085">
          <cell r="A1085" t="str">
            <v>PLN_WIBOR_EOD</v>
          </cell>
          <cell r="C1085">
            <v>44865</v>
          </cell>
          <cell r="E1085">
            <v>2.0546678666878499E-2</v>
          </cell>
        </row>
        <row r="1086">
          <cell r="A1086" t="str">
            <v>PLN_WIBOR_EOD</v>
          </cell>
          <cell r="C1086">
            <v>45229</v>
          </cell>
          <cell r="E1086">
            <v>2.16259946848411E-2</v>
          </cell>
        </row>
        <row r="1087">
          <cell r="A1087" t="str">
            <v>PLN_WIBOR_EOD</v>
          </cell>
          <cell r="C1087">
            <v>45594</v>
          </cell>
          <cell r="E1087">
            <v>2.25415213101888E-2</v>
          </cell>
        </row>
        <row r="1088">
          <cell r="A1088" t="str">
            <v>PLN_WIBOR_EOD</v>
          </cell>
          <cell r="C1088">
            <v>45959</v>
          </cell>
          <cell r="E1088">
            <v>2.3180118524892299E-2</v>
          </cell>
        </row>
        <row r="1089">
          <cell r="A1089" t="str">
            <v>PLN_WIBOR_EOD</v>
          </cell>
          <cell r="C1089">
            <v>46689</v>
          </cell>
          <cell r="E1089">
            <v>2.4233250986973799E-2</v>
          </cell>
        </row>
        <row r="1090">
          <cell r="A1090" t="str">
            <v>PLN_WIBOR_EOD</v>
          </cell>
          <cell r="C1090">
            <v>47785</v>
          </cell>
          <cell r="E1090">
            <v>2.5147869295487499E-2</v>
          </cell>
        </row>
        <row r="1091">
          <cell r="A1091" t="str">
            <v>PLN_WIBOR_EOD</v>
          </cell>
          <cell r="C1091">
            <v>49611</v>
          </cell>
          <cell r="E1091">
            <v>2.5395371055845498E-2</v>
          </cell>
        </row>
        <row r="1092">
          <cell r="A1092" t="str">
            <v>PLN_WIBOR_EOD</v>
          </cell>
          <cell r="C1092">
            <v>51438</v>
          </cell>
          <cell r="E1092">
            <v>2.4989908002819399E-2</v>
          </cell>
        </row>
        <row r="1093">
          <cell r="A1093" t="str">
            <v>PLN_WIBOR_EOD</v>
          </cell>
          <cell r="C1093">
            <v>53265</v>
          </cell>
          <cell r="E1093">
            <v>2.4155467540200301E-2</v>
          </cell>
        </row>
        <row r="1094">
          <cell r="A1094" t="str">
            <v>SEK_STIBOR_3M_EOD</v>
          </cell>
          <cell r="C1094">
            <v>42398</v>
          </cell>
          <cell r="E1094">
            <v>-3.2559189854344901E-3</v>
          </cell>
        </row>
        <row r="1095">
          <cell r="A1095" t="str">
            <v>SEK_STIBOR_3M_EOD</v>
          </cell>
          <cell r="C1095">
            <v>42445</v>
          </cell>
          <cell r="E1095">
            <v>-3.4458332875218298E-3</v>
          </cell>
        </row>
        <row r="1096">
          <cell r="A1096" t="str">
            <v>SEK_STIBOR_3M_EOD</v>
          </cell>
          <cell r="C1096">
            <v>42536</v>
          </cell>
          <cell r="E1096">
            <v>-3.5066652865015E-3</v>
          </cell>
        </row>
        <row r="1097">
          <cell r="A1097" t="str">
            <v>SEK_STIBOR_3M_EOD</v>
          </cell>
          <cell r="C1097">
            <v>42634</v>
          </cell>
          <cell r="E1097">
            <v>-3.5045553086928399E-3</v>
          </cell>
        </row>
        <row r="1098">
          <cell r="A1098" t="str">
            <v>SEK_STIBOR_3M_EOD</v>
          </cell>
          <cell r="C1098">
            <v>42725</v>
          </cell>
          <cell r="E1098">
            <v>-3.4157164998410601E-3</v>
          </cell>
        </row>
        <row r="1099">
          <cell r="A1099" t="str">
            <v>SEK_STIBOR_3M_EOD</v>
          </cell>
          <cell r="C1099">
            <v>42809</v>
          </cell>
          <cell r="E1099">
            <v>-3.2524235639775799E-3</v>
          </cell>
        </row>
        <row r="1100">
          <cell r="A1100" t="str">
            <v>SEK_STIBOR_3M_EOD</v>
          </cell>
          <cell r="C1100">
            <v>42907</v>
          </cell>
          <cell r="E1100">
            <v>-2.9792970529799998E-3</v>
          </cell>
        </row>
        <row r="1101">
          <cell r="A1101" t="str">
            <v>SEK_STIBOR_3M_EOD</v>
          </cell>
          <cell r="C1101">
            <v>42998</v>
          </cell>
          <cell r="E1101">
            <v>-2.6617648265918098E-3</v>
          </cell>
        </row>
        <row r="1102">
          <cell r="A1102" t="str">
            <v>SEK_STIBOR_3M_EOD</v>
          </cell>
          <cell r="C1102">
            <v>43089</v>
          </cell>
          <cell r="E1102">
            <v>-2.2885645578737202E-3</v>
          </cell>
        </row>
        <row r="1103">
          <cell r="A1103" t="str">
            <v>SEK_STIBOR_3M_EOD</v>
          </cell>
          <cell r="C1103">
            <v>43402</v>
          </cell>
          <cell r="E1103">
            <v>-7.2385180816099003E-4</v>
          </cell>
        </row>
        <row r="1104">
          <cell r="A1104" t="str">
            <v>SEK_STIBOR_3M_EOD</v>
          </cell>
          <cell r="C1104">
            <v>43767</v>
          </cell>
          <cell r="E1104">
            <v>1.39357655549326E-3</v>
          </cell>
        </row>
        <row r="1105">
          <cell r="A1105" t="str">
            <v>SEK_STIBOR_3M_EOD</v>
          </cell>
          <cell r="C1105">
            <v>44133</v>
          </cell>
          <cell r="E1105">
            <v>3.7789050293617001E-3</v>
          </cell>
        </row>
        <row r="1106">
          <cell r="A1106" t="str">
            <v>SEK_STIBOR_3M_EOD</v>
          </cell>
          <cell r="C1106">
            <v>44498</v>
          </cell>
          <cell r="E1106">
            <v>6.1054099650114102E-3</v>
          </cell>
        </row>
        <row r="1107">
          <cell r="A1107" t="str">
            <v>SEK_STIBOR_3M_EOD</v>
          </cell>
          <cell r="C1107">
            <v>44865</v>
          </cell>
          <cell r="E1107">
            <v>8.2112250566218001E-3</v>
          </cell>
        </row>
        <row r="1108">
          <cell r="A1108" t="str">
            <v>SEK_STIBOR_3M_EOD</v>
          </cell>
          <cell r="C1108">
            <v>45229</v>
          </cell>
          <cell r="E1108">
            <v>1.0014300568464999E-2</v>
          </cell>
        </row>
        <row r="1109">
          <cell r="A1109" t="str">
            <v>SEK_STIBOR_3M_EOD</v>
          </cell>
          <cell r="C1109">
            <v>45594</v>
          </cell>
          <cell r="E1109">
            <v>1.15726171651532E-2</v>
          </cell>
        </row>
        <row r="1110">
          <cell r="A1110" t="str">
            <v>SEK_STIBOR_3M_EOD</v>
          </cell>
          <cell r="C1110">
            <v>45959</v>
          </cell>
          <cell r="E1110">
            <v>1.29132653239042E-2</v>
          </cell>
        </row>
        <row r="1111">
          <cell r="A1111" t="str">
            <v>SEK_STIBOR_3M_EOD</v>
          </cell>
          <cell r="C1111">
            <v>46689</v>
          </cell>
          <cell r="E1111">
            <v>1.5293744642417E-2</v>
          </cell>
        </row>
        <row r="1112">
          <cell r="A1112" t="str">
            <v>SEK_STIBOR_3M_EOD</v>
          </cell>
          <cell r="C1112">
            <v>47785</v>
          </cell>
          <cell r="E1112">
            <v>1.8005630946474799E-2</v>
          </cell>
        </row>
        <row r="1113">
          <cell r="A1113" t="str">
            <v>SEK_STIBOR_3M_EOD</v>
          </cell>
          <cell r="C1113">
            <v>49611</v>
          </cell>
          <cell r="E1113">
            <v>2.0571223167795801E-2</v>
          </cell>
        </row>
        <row r="1114">
          <cell r="A1114" t="str">
            <v>SEK_STIBOR_3M_EOD</v>
          </cell>
          <cell r="C1114">
            <v>51438</v>
          </cell>
          <cell r="E1114">
            <v>2.1636532638303702E-2</v>
          </cell>
        </row>
        <row r="1115">
          <cell r="A1115" t="str">
            <v>SEK_STIBOR_3M_EOD</v>
          </cell>
          <cell r="C1115">
            <v>53265</v>
          </cell>
          <cell r="E1115">
            <v>2.1762477271899301E-2</v>
          </cell>
        </row>
        <row r="1116">
          <cell r="A1116" t="str">
            <v>SEK_STIBOR_6M_EOD</v>
          </cell>
          <cell r="C1116">
            <v>42489</v>
          </cell>
          <cell r="E1116">
            <v>-2.1912031908168299E-3</v>
          </cell>
        </row>
        <row r="1117">
          <cell r="A1117" t="str">
            <v>SEK_STIBOR_6M_EOD</v>
          </cell>
          <cell r="C1117">
            <v>42674</v>
          </cell>
          <cell r="E1117">
            <v>-2.3412771913467602E-3</v>
          </cell>
        </row>
        <row r="1118">
          <cell r="A1118" t="str">
            <v>SEK_STIBOR_6M_EOD</v>
          </cell>
          <cell r="C1118">
            <v>43038</v>
          </cell>
          <cell r="E1118">
            <v>-1.4375887453156101E-3</v>
          </cell>
        </row>
        <row r="1119">
          <cell r="A1119" t="str">
            <v>SEK_STIBOR_6M_EOD</v>
          </cell>
          <cell r="C1119">
            <v>43402</v>
          </cell>
          <cell r="E1119">
            <v>3.1309162254282999E-4</v>
          </cell>
        </row>
        <row r="1120">
          <cell r="A1120" t="str">
            <v>SEK_STIBOR_6M_EOD</v>
          </cell>
          <cell r="C1120">
            <v>43767</v>
          </cell>
          <cell r="E1120">
            <v>2.4159073052919802E-3</v>
          </cell>
        </row>
        <row r="1121">
          <cell r="A1121" t="str">
            <v>SEK_STIBOR_6M_EOD</v>
          </cell>
          <cell r="C1121">
            <v>44133</v>
          </cell>
          <cell r="E1121">
            <v>4.7898234667424298E-3</v>
          </cell>
        </row>
        <row r="1122">
          <cell r="A1122" t="str">
            <v>SEK_STIBOR_6M_EOD</v>
          </cell>
          <cell r="C1122">
            <v>44498</v>
          </cell>
          <cell r="E1122">
            <v>7.1065732348936797E-3</v>
          </cell>
        </row>
        <row r="1123">
          <cell r="A1123" t="str">
            <v>SEK_STIBOR_6M_EOD</v>
          </cell>
          <cell r="C1123">
            <v>44865</v>
          </cell>
          <cell r="E1123">
            <v>9.2037356399653596E-3</v>
          </cell>
        </row>
        <row r="1124">
          <cell r="A1124" t="str">
            <v>SEK_STIBOR_6M_EOD</v>
          </cell>
          <cell r="C1124">
            <v>45229</v>
          </cell>
          <cell r="E1124">
            <v>1.0997779038668E-2</v>
          </cell>
        </row>
        <row r="1125">
          <cell r="A1125" t="str">
            <v>SEK_STIBOR_6M_EOD</v>
          </cell>
          <cell r="C1125">
            <v>45594</v>
          </cell>
          <cell r="E1125">
            <v>1.2549416375035901E-2</v>
          </cell>
        </row>
        <row r="1126">
          <cell r="A1126" t="str">
            <v>SEK_STIBOR_6M_EOD</v>
          </cell>
          <cell r="C1126">
            <v>45959</v>
          </cell>
          <cell r="E1126">
            <v>1.38796725828211E-2</v>
          </cell>
        </row>
        <row r="1127">
          <cell r="A1127" t="str">
            <v>SEK_STIBOR_6M_EOD</v>
          </cell>
          <cell r="C1127">
            <v>46689</v>
          </cell>
          <cell r="E1127">
            <v>1.62239545001608E-2</v>
          </cell>
        </row>
        <row r="1128">
          <cell r="A1128" t="str">
            <v>SEK_STIBOR_6M_EOD</v>
          </cell>
          <cell r="C1128">
            <v>47785</v>
          </cell>
          <cell r="E1128">
            <v>1.8852033270132199E-2</v>
          </cell>
        </row>
        <row r="1129">
          <cell r="A1129" t="str">
            <v>SEK_STIBOR_6M_EOD</v>
          </cell>
          <cell r="C1129">
            <v>49611</v>
          </cell>
          <cell r="E1129">
            <v>2.12985742095077E-2</v>
          </cell>
        </row>
        <row r="1130">
          <cell r="A1130" t="str">
            <v>SEK_STIBOR_6M_EOD</v>
          </cell>
          <cell r="C1130">
            <v>51438</v>
          </cell>
          <cell r="E1130">
            <v>2.2277831294995599E-2</v>
          </cell>
        </row>
        <row r="1131">
          <cell r="A1131" t="str">
            <v>SEK_STIBOR_6M_EOD</v>
          </cell>
          <cell r="C1131">
            <v>53265</v>
          </cell>
          <cell r="E1131">
            <v>2.2332922297012E-2</v>
          </cell>
        </row>
        <row r="1132">
          <cell r="A1132" t="str">
            <v>SEK_STIBOR_EOD</v>
          </cell>
          <cell r="C1132">
            <v>42305</v>
          </cell>
          <cell r="E1132">
            <v>-3.8730761044133998E-3</v>
          </cell>
        </row>
        <row r="1133">
          <cell r="A1133" t="str">
            <v>SEK_STIBOR_EOD</v>
          </cell>
          <cell r="C1133">
            <v>42306</v>
          </cell>
          <cell r="E1133">
            <v>-3.87307610443663E-3</v>
          </cell>
        </row>
        <row r="1134">
          <cell r="A1134" t="str">
            <v>SEK_STIBOR_EOD</v>
          </cell>
          <cell r="C1134">
            <v>42313</v>
          </cell>
          <cell r="E1134">
            <v>-3.84162646307692E-3</v>
          </cell>
        </row>
        <row r="1135">
          <cell r="A1135" t="str">
            <v>SEK_STIBOR_EOD</v>
          </cell>
          <cell r="C1135">
            <v>42338</v>
          </cell>
          <cell r="E1135">
            <v>-4.2268734170941898E-3</v>
          </cell>
        </row>
        <row r="1136">
          <cell r="A1136" t="str">
            <v>SEK_STIBOR_EOD</v>
          </cell>
          <cell r="C1136">
            <v>42445</v>
          </cell>
          <cell r="E1136">
            <v>-3.7656886879363898E-3</v>
          </cell>
        </row>
        <row r="1137">
          <cell r="A1137" t="str">
            <v>SEK_STIBOR_EOD</v>
          </cell>
          <cell r="C1137">
            <v>42536</v>
          </cell>
          <cell r="E1137">
            <v>-3.7010601634775999E-3</v>
          </cell>
        </row>
        <row r="1138">
          <cell r="A1138" t="str">
            <v>SEK_STIBOR_EOD</v>
          </cell>
          <cell r="C1138">
            <v>42634</v>
          </cell>
          <cell r="E1138">
            <v>-3.6412207979610901E-3</v>
          </cell>
        </row>
        <row r="1139">
          <cell r="A1139" t="str">
            <v>SEK_STIBOR_EOD</v>
          </cell>
          <cell r="C1139">
            <v>42725</v>
          </cell>
          <cell r="E1139">
            <v>-3.5228414676759098E-3</v>
          </cell>
        </row>
        <row r="1140">
          <cell r="A1140" t="str">
            <v>SEK_STIBOR_EOD</v>
          </cell>
          <cell r="C1140">
            <v>42809</v>
          </cell>
          <cell r="E1140">
            <v>-3.3417297252814702E-3</v>
          </cell>
        </row>
        <row r="1141">
          <cell r="A1141" t="str">
            <v>SEK_STIBOR_EOD</v>
          </cell>
          <cell r="C1141">
            <v>42907</v>
          </cell>
          <cell r="E1141">
            <v>-3.0540891117835302E-3</v>
          </cell>
        </row>
        <row r="1142">
          <cell r="A1142" t="str">
            <v>SEK_STIBOR_EOD</v>
          </cell>
          <cell r="C1142">
            <v>42998</v>
          </cell>
          <cell r="E1142">
            <v>-2.7267498575119301E-3</v>
          </cell>
        </row>
        <row r="1143">
          <cell r="A1143" t="str">
            <v>SEK_STIBOR_EOD</v>
          </cell>
          <cell r="C1143">
            <v>43089</v>
          </cell>
          <cell r="E1143">
            <v>-2.34601629221581E-3</v>
          </cell>
        </row>
        <row r="1144">
          <cell r="A1144" t="str">
            <v>SEK_STIBOR_EOD</v>
          </cell>
          <cell r="C1144">
            <v>43402</v>
          </cell>
          <cell r="E1144">
            <v>-7.2383949739644E-4</v>
          </cell>
        </row>
        <row r="1145">
          <cell r="A1145" t="str">
            <v>SEK_STIBOR_EOD</v>
          </cell>
          <cell r="C1145">
            <v>43767</v>
          </cell>
          <cell r="E1145">
            <v>1.3935857940123599E-3</v>
          </cell>
        </row>
        <row r="1146">
          <cell r="A1146" t="str">
            <v>SEK_STIBOR_EOD</v>
          </cell>
          <cell r="C1146">
            <v>44133</v>
          </cell>
          <cell r="E1146">
            <v>3.7789124184295399E-3</v>
          </cell>
        </row>
        <row r="1147">
          <cell r="A1147" t="str">
            <v>SEK_STIBOR_EOD</v>
          </cell>
          <cell r="C1147">
            <v>44498</v>
          </cell>
          <cell r="E1147">
            <v>6.1054161242644197E-3</v>
          </cell>
        </row>
        <row r="1148">
          <cell r="A1148" t="str">
            <v>SEK_STIBOR_EOD</v>
          </cell>
          <cell r="C1148">
            <v>44865</v>
          </cell>
          <cell r="E1148">
            <v>8.2112303328308097E-3</v>
          </cell>
        </row>
        <row r="1149">
          <cell r="A1149" t="str">
            <v>SEK_STIBOR_EOD</v>
          </cell>
          <cell r="C1149">
            <v>45229</v>
          </cell>
          <cell r="E1149">
            <v>1.0013439024204301E-2</v>
          </cell>
        </row>
        <row r="1150">
          <cell r="A1150" t="str">
            <v>SEK_STIBOR_EOD</v>
          </cell>
          <cell r="C1150">
            <v>45594</v>
          </cell>
          <cell r="E1150">
            <v>1.1571990424285999E-2</v>
          </cell>
        </row>
        <row r="1151">
          <cell r="A1151" t="str">
            <v>SEK_STIBOR_EOD</v>
          </cell>
          <cell r="C1151">
            <v>45959</v>
          </cell>
          <cell r="E1151">
            <v>1.2912701195463901E-2</v>
          </cell>
        </row>
        <row r="1152">
          <cell r="A1152" t="str">
            <v>SEK_STIBOR_EOD</v>
          </cell>
          <cell r="C1152">
            <v>46689</v>
          </cell>
          <cell r="E1152">
            <v>1.52932745663858E-2</v>
          </cell>
        </row>
        <row r="1153">
          <cell r="A1153" t="str">
            <v>SEK_STIBOR_EOD</v>
          </cell>
          <cell r="C1153">
            <v>47785</v>
          </cell>
          <cell r="E1153">
            <v>1.8005250605987799E-2</v>
          </cell>
        </row>
        <row r="1154">
          <cell r="A1154" t="str">
            <v>SEK_STIBOR_EOD</v>
          </cell>
          <cell r="C1154">
            <v>49611</v>
          </cell>
          <cell r="E1154">
            <v>2.0570203826157901E-2</v>
          </cell>
        </row>
        <row r="1155">
          <cell r="A1155" t="str">
            <v>SEK_STIBOR_EOD</v>
          </cell>
          <cell r="C1155">
            <v>51438</v>
          </cell>
          <cell r="E1155">
            <v>2.16352679984178E-2</v>
          </cell>
        </row>
        <row r="1156">
          <cell r="A1156" t="str">
            <v>SEK_STIBOR_EOD</v>
          </cell>
          <cell r="C1156">
            <v>53265</v>
          </cell>
          <cell r="E1156">
            <v>2.1761352649544301E-2</v>
          </cell>
        </row>
        <row r="1157">
          <cell r="A1157" t="str">
            <v>SGD_SOR_3M_EOD</v>
          </cell>
          <cell r="C1157">
            <v>42398</v>
          </cell>
          <cell r="E1157">
            <v>1.2982934062690899E-2</v>
          </cell>
        </row>
        <row r="1158">
          <cell r="A1158" t="str">
            <v>SGD_SOR_3M_EOD</v>
          </cell>
          <cell r="C1158">
            <v>42489</v>
          </cell>
          <cell r="E1158">
            <v>1.3299659314423199E-2</v>
          </cell>
        </row>
        <row r="1159">
          <cell r="A1159" t="str">
            <v>SGD_SOR_3M_EOD</v>
          </cell>
          <cell r="C1159">
            <v>42580</v>
          </cell>
          <cell r="E1159">
            <v>1.3506103404164201E-2</v>
          </cell>
        </row>
        <row r="1160">
          <cell r="A1160" t="str">
            <v>SGD_SOR_3M_EOD</v>
          </cell>
          <cell r="C1160">
            <v>42674</v>
          </cell>
          <cell r="E1160">
            <v>1.39415592602199E-2</v>
          </cell>
        </row>
        <row r="1161">
          <cell r="A1161" t="str">
            <v>SGD_SOR_3M_EOD</v>
          </cell>
          <cell r="C1161">
            <v>43038</v>
          </cell>
          <cell r="E1161">
            <v>1.6825594177584599E-2</v>
          </cell>
        </row>
        <row r="1162">
          <cell r="A1162" t="str">
            <v>SGD_SOR_3M_EOD</v>
          </cell>
          <cell r="C1162">
            <v>43402</v>
          </cell>
          <cell r="E1162">
            <v>1.9152671704695801E-2</v>
          </cell>
        </row>
        <row r="1163">
          <cell r="A1163" t="str">
            <v>SGD_SOR_3M_EOD</v>
          </cell>
          <cell r="C1163">
            <v>43767</v>
          </cell>
          <cell r="E1163">
            <v>2.1140101066287099E-2</v>
          </cell>
        </row>
        <row r="1164">
          <cell r="A1164" t="str">
            <v>SGD_SOR_3M_EOD</v>
          </cell>
          <cell r="C1164">
            <v>44133</v>
          </cell>
          <cell r="E1164">
            <v>2.2593938066245101E-2</v>
          </cell>
        </row>
        <row r="1165">
          <cell r="A1165" t="str">
            <v>SGD_SOR_3M_EOD</v>
          </cell>
          <cell r="C1165">
            <v>44865</v>
          </cell>
          <cell r="E1165">
            <v>2.5253336931498099E-2</v>
          </cell>
        </row>
        <row r="1166">
          <cell r="A1166" t="str">
            <v>SGD_SOR_3M_EOD</v>
          </cell>
          <cell r="C1166">
            <v>45959</v>
          </cell>
          <cell r="E1166">
            <v>2.7814127031654701E-2</v>
          </cell>
        </row>
        <row r="1167">
          <cell r="A1167" t="str">
            <v>SGD_SOR_3M_EOD</v>
          </cell>
          <cell r="C1167">
            <v>46689</v>
          </cell>
          <cell r="E1167">
            <v>2.8826010768292699E-2</v>
          </cell>
        </row>
        <row r="1168">
          <cell r="A1168" t="str">
            <v>SGD_SOR_3M_EOD</v>
          </cell>
          <cell r="C1168">
            <v>47785</v>
          </cell>
          <cell r="E1168">
            <v>2.9826788654944501E-2</v>
          </cell>
        </row>
        <row r="1169">
          <cell r="A1169" t="str">
            <v>SGD_SOR_3M_EOD</v>
          </cell>
          <cell r="C1169">
            <v>49611</v>
          </cell>
          <cell r="E1169">
            <v>3.02417077830568E-2</v>
          </cell>
        </row>
        <row r="1170">
          <cell r="A1170" t="str">
            <v>SGD_SOR_3M_EOD</v>
          </cell>
          <cell r="C1170">
            <v>51438</v>
          </cell>
          <cell r="E1170">
            <v>3.0586806045110299E-2</v>
          </cell>
        </row>
        <row r="1171">
          <cell r="A1171" t="str">
            <v>SGD_SOR_3M_EOD</v>
          </cell>
          <cell r="C1171">
            <v>53265</v>
          </cell>
          <cell r="E1171">
            <v>3.09972083892938E-2</v>
          </cell>
        </row>
        <row r="1172">
          <cell r="A1172" t="str">
            <v>SGD_SOR_3M_EOD</v>
          </cell>
          <cell r="C1172">
            <v>56916</v>
          </cell>
          <cell r="E1172">
            <v>3.1595420580372603E-2</v>
          </cell>
        </row>
        <row r="1173">
          <cell r="A1173" t="str">
            <v>SGD_SOR_6M_EOD</v>
          </cell>
          <cell r="C1173">
            <v>42489</v>
          </cell>
          <cell r="E1173">
            <v>1.42925681686513E-2</v>
          </cell>
        </row>
        <row r="1174">
          <cell r="A1174" t="str">
            <v>SGD_SOR_6M_EOD</v>
          </cell>
          <cell r="C1174">
            <v>42674</v>
          </cell>
          <cell r="E1174">
            <v>1.4660043703993901E-2</v>
          </cell>
        </row>
        <row r="1175">
          <cell r="A1175" t="str">
            <v>SGD_SOR_6M_EOD</v>
          </cell>
          <cell r="C1175">
            <v>43038</v>
          </cell>
          <cell r="E1175">
            <v>1.7168397461892599E-2</v>
          </cell>
        </row>
        <row r="1176">
          <cell r="A1176" t="str">
            <v>SGD_SOR_6M_EOD</v>
          </cell>
          <cell r="C1176">
            <v>43402</v>
          </cell>
          <cell r="E1176">
            <v>1.9309367590661299E-2</v>
          </cell>
        </row>
        <row r="1177">
          <cell r="A1177" t="str">
            <v>SGD_SOR_6M_EOD</v>
          </cell>
          <cell r="C1177">
            <v>43767</v>
          </cell>
          <cell r="E1177">
            <v>2.1242040537744099E-2</v>
          </cell>
        </row>
        <row r="1178">
          <cell r="A1178" t="str">
            <v>SGD_SOR_6M_EOD</v>
          </cell>
          <cell r="C1178">
            <v>44133</v>
          </cell>
          <cell r="E1178">
            <v>2.2624362878933001E-2</v>
          </cell>
        </row>
        <row r="1179">
          <cell r="A1179" t="str">
            <v>SGD_SOR_6M_EOD</v>
          </cell>
          <cell r="C1179">
            <v>44865</v>
          </cell>
          <cell r="E1179">
            <v>2.5286369642939201E-2</v>
          </cell>
        </row>
        <row r="1180">
          <cell r="A1180" t="str">
            <v>SGD_SOR_6M_EOD</v>
          </cell>
          <cell r="C1180">
            <v>45959</v>
          </cell>
          <cell r="E1180">
            <v>2.7848994486114099E-2</v>
          </cell>
        </row>
        <row r="1181">
          <cell r="A1181" t="str">
            <v>SGD_SOR_6M_EOD</v>
          </cell>
          <cell r="C1181">
            <v>46689</v>
          </cell>
          <cell r="E1181">
            <v>2.88733180466163E-2</v>
          </cell>
        </row>
        <row r="1182">
          <cell r="A1182" t="str">
            <v>SGD_SOR_6M_EOD</v>
          </cell>
          <cell r="C1182">
            <v>47785</v>
          </cell>
          <cell r="E1182">
            <v>2.9874422240589601E-2</v>
          </cell>
        </row>
        <row r="1183">
          <cell r="A1183" t="str">
            <v>SGD_SOR_6M_EOD</v>
          </cell>
          <cell r="C1183">
            <v>49611</v>
          </cell>
          <cell r="E1183">
            <v>3.0289730154455598E-2</v>
          </cell>
        </row>
        <row r="1184">
          <cell r="A1184" t="str">
            <v>SGD_SOR_6M_EOD</v>
          </cell>
          <cell r="C1184">
            <v>51438</v>
          </cell>
          <cell r="E1184">
            <v>3.0635104848304201E-2</v>
          </cell>
        </row>
        <row r="1185">
          <cell r="A1185" t="str">
            <v>SGD_SOR_6M_EOD</v>
          </cell>
          <cell r="C1185">
            <v>53265</v>
          </cell>
          <cell r="E1185">
            <v>3.1045604336075099E-2</v>
          </cell>
        </row>
        <row r="1186">
          <cell r="A1186" t="str">
            <v>SGD_SOR_6M_EOD</v>
          </cell>
          <cell r="C1186">
            <v>56916</v>
          </cell>
          <cell r="E1186">
            <v>3.1644024993734601E-2</v>
          </cell>
        </row>
        <row r="1187">
          <cell r="A1187" t="str">
            <v>SGD_SOR_EOD</v>
          </cell>
          <cell r="C1187">
            <v>42305</v>
          </cell>
          <cell r="E1187">
            <v>9.7016710639791798E-3</v>
          </cell>
        </row>
        <row r="1188">
          <cell r="A1188" t="str">
            <v>SGD_SOR_EOD</v>
          </cell>
          <cell r="C1188">
            <v>42306</v>
          </cell>
          <cell r="E1188">
            <v>9.7016710640289994E-3</v>
          </cell>
        </row>
        <row r="1189">
          <cell r="A1189" t="str">
            <v>SGD_SOR_EOD</v>
          </cell>
          <cell r="C1189">
            <v>42313</v>
          </cell>
          <cell r="E1189">
            <v>1.02553780684718E-2</v>
          </cell>
        </row>
        <row r="1190">
          <cell r="A1190" t="str">
            <v>SGD_SOR_EOD</v>
          </cell>
          <cell r="C1190">
            <v>42338</v>
          </cell>
          <cell r="E1190">
            <v>1.30489845139406E-2</v>
          </cell>
        </row>
        <row r="1191">
          <cell r="A1191" t="str">
            <v>SGD_SOR_EOD</v>
          </cell>
          <cell r="C1191">
            <v>42367</v>
          </cell>
          <cell r="E1191">
            <v>1.30141874967522E-2</v>
          </cell>
        </row>
        <row r="1192">
          <cell r="A1192" t="str">
            <v>SGD_SOR_EOD</v>
          </cell>
          <cell r="C1192">
            <v>42398</v>
          </cell>
          <cell r="E1192">
            <v>1.29131199563361E-2</v>
          </cell>
        </row>
        <row r="1193">
          <cell r="A1193" t="str">
            <v>SGD_SOR_EOD</v>
          </cell>
          <cell r="C1193">
            <v>42489</v>
          </cell>
          <cell r="E1193">
            <v>1.4242936848601E-2</v>
          </cell>
        </row>
        <row r="1194">
          <cell r="A1194" t="str">
            <v>SGD_SOR_EOD</v>
          </cell>
          <cell r="C1194">
            <v>42674</v>
          </cell>
          <cell r="E1194">
            <v>1.46352280439686E-2</v>
          </cell>
        </row>
        <row r="1195">
          <cell r="A1195" t="str">
            <v>SGD_SOR_EOD</v>
          </cell>
          <cell r="C1195">
            <v>43038</v>
          </cell>
          <cell r="E1195">
            <v>1.71559020180082E-2</v>
          </cell>
        </row>
        <row r="1196">
          <cell r="A1196" t="str">
            <v>SGD_SOR_EOD</v>
          </cell>
          <cell r="C1196">
            <v>43402</v>
          </cell>
          <cell r="E1196">
            <v>1.9301544699060699E-2</v>
          </cell>
        </row>
        <row r="1197">
          <cell r="A1197" t="str">
            <v>SGD_SOR_EOD</v>
          </cell>
          <cell r="C1197">
            <v>43767</v>
          </cell>
          <cell r="E1197">
            <v>2.1236170943412999E-2</v>
          </cell>
        </row>
        <row r="1198">
          <cell r="A1198" t="str">
            <v>SGD_SOR_EOD</v>
          </cell>
          <cell r="C1198">
            <v>44133</v>
          </cell>
          <cell r="E1198">
            <v>2.26196686547987E-2</v>
          </cell>
        </row>
        <row r="1199">
          <cell r="A1199" t="str">
            <v>SGD_SOR_EOD</v>
          </cell>
          <cell r="C1199">
            <v>44865</v>
          </cell>
          <cell r="E1199">
            <v>2.52830209081914E-2</v>
          </cell>
        </row>
        <row r="1200">
          <cell r="A1200" t="str">
            <v>SGD_SOR_EOD</v>
          </cell>
          <cell r="C1200">
            <v>45959</v>
          </cell>
          <cell r="E1200">
            <v>2.7846847973963501E-2</v>
          </cell>
        </row>
        <row r="1201">
          <cell r="A1201" t="str">
            <v>SGD_SOR_EOD</v>
          </cell>
          <cell r="C1201">
            <v>46689</v>
          </cell>
          <cell r="E1201">
            <v>2.8871529506556599E-2</v>
          </cell>
        </row>
        <row r="1202">
          <cell r="A1202" t="str">
            <v>SGD_SOR_EOD</v>
          </cell>
          <cell r="C1202">
            <v>47785</v>
          </cell>
          <cell r="E1202">
            <v>2.9873074840490899E-2</v>
          </cell>
        </row>
        <row r="1203">
          <cell r="A1203" t="str">
            <v>SGD_SOR_EOD</v>
          </cell>
          <cell r="C1203">
            <v>49611</v>
          </cell>
          <cell r="E1203">
            <v>3.0288725835660901E-2</v>
          </cell>
        </row>
        <row r="1204">
          <cell r="A1204" t="str">
            <v>SGD_SOR_EOD</v>
          </cell>
          <cell r="C1204">
            <v>51438</v>
          </cell>
          <cell r="E1204">
            <v>3.0634334301501601E-2</v>
          </cell>
        </row>
        <row r="1205">
          <cell r="A1205" t="str">
            <v>SGD_SOR_EOD</v>
          </cell>
          <cell r="C1205">
            <v>53265</v>
          </cell>
          <cell r="E1205">
            <v>3.1044962812052299E-2</v>
          </cell>
        </row>
        <row r="1206">
          <cell r="A1206" t="str">
            <v>SGD_SOR_EOD</v>
          </cell>
          <cell r="C1206">
            <v>56916</v>
          </cell>
          <cell r="E1206">
            <v>3.1643589864137102E-2</v>
          </cell>
        </row>
        <row r="1207">
          <cell r="A1207" t="str">
            <v>USD_FEDFUND_EOD</v>
          </cell>
          <cell r="C1207">
            <v>42305</v>
          </cell>
          <cell r="E1207">
            <v>1.2166646389013701E-3</v>
          </cell>
        </row>
        <row r="1208">
          <cell r="A1208" t="str">
            <v>USD_FEDFUND_EOD</v>
          </cell>
          <cell r="C1208">
            <v>42306</v>
          </cell>
          <cell r="E1208">
            <v>1.21666463891337E-3</v>
          </cell>
        </row>
        <row r="1209">
          <cell r="A1209" t="str">
            <v>USD_FEDFUND_EOD</v>
          </cell>
          <cell r="C1209">
            <v>42313</v>
          </cell>
          <cell r="E1209">
            <v>1.1515987715266401E-3</v>
          </cell>
        </row>
        <row r="1210">
          <cell r="A1210" t="str">
            <v>USD_FEDFUND_EOD</v>
          </cell>
          <cell r="C1210">
            <v>42320</v>
          </cell>
          <cell r="E1210">
            <v>1.2476904508304501E-3</v>
          </cell>
        </row>
        <row r="1211">
          <cell r="A1211" t="str">
            <v>USD_FEDFUND_EOD</v>
          </cell>
          <cell r="C1211">
            <v>42327</v>
          </cell>
          <cell r="E1211">
            <v>1.2929943648966201E-3</v>
          </cell>
        </row>
        <row r="1212">
          <cell r="A1212" t="str">
            <v>USD_FEDFUND_EOD</v>
          </cell>
          <cell r="C1212">
            <v>42338</v>
          </cell>
          <cell r="E1212">
            <v>1.3511393060901199E-3</v>
          </cell>
        </row>
        <row r="1213">
          <cell r="A1213" t="str">
            <v>USD_FEDFUND_EOD</v>
          </cell>
          <cell r="C1213">
            <v>42367</v>
          </cell>
          <cell r="E1213">
            <v>1.52150563119636E-3</v>
          </cell>
        </row>
        <row r="1214">
          <cell r="A1214" t="str">
            <v>USD_FEDFUND_EOD</v>
          </cell>
          <cell r="C1214">
            <v>42398</v>
          </cell>
          <cell r="E1214">
            <v>1.7025398101931E-3</v>
          </cell>
        </row>
        <row r="1215">
          <cell r="A1215" t="str">
            <v>USD_FEDFUND_EOD</v>
          </cell>
          <cell r="C1215">
            <v>42429</v>
          </cell>
          <cell r="E1215">
            <v>1.8894927054298801E-3</v>
          </cell>
        </row>
        <row r="1216">
          <cell r="A1216" t="str">
            <v>USD_FEDFUND_EOD</v>
          </cell>
          <cell r="C1216">
            <v>42458</v>
          </cell>
          <cell r="E1216">
            <v>2.0576438366130601E-3</v>
          </cell>
        </row>
        <row r="1217">
          <cell r="A1217" t="str">
            <v>USD_FEDFUND_EOD</v>
          </cell>
          <cell r="C1217">
            <v>42489</v>
          </cell>
          <cell r="E1217">
            <v>2.2183617232388298E-3</v>
          </cell>
        </row>
        <row r="1218">
          <cell r="A1218" t="str">
            <v>USD_FEDFUND_EOD</v>
          </cell>
          <cell r="C1218">
            <v>42521</v>
          </cell>
          <cell r="E1218">
            <v>2.3822751509447399E-3</v>
          </cell>
        </row>
        <row r="1219">
          <cell r="A1219" t="str">
            <v>USD_FEDFUND_EOD</v>
          </cell>
          <cell r="C1219">
            <v>42550</v>
          </cell>
          <cell r="E1219">
            <v>2.5151857176229E-3</v>
          </cell>
        </row>
        <row r="1220">
          <cell r="A1220" t="str">
            <v>USD_FEDFUND_EOD</v>
          </cell>
          <cell r="C1220">
            <v>42580</v>
          </cell>
          <cell r="E1220">
            <v>2.68978931905621E-3</v>
          </cell>
        </row>
        <row r="1221">
          <cell r="A1221" t="str">
            <v>USD_FEDFUND_EOD</v>
          </cell>
          <cell r="C1221">
            <v>42611</v>
          </cell>
          <cell r="E1221">
            <v>2.8249806326169102E-3</v>
          </cell>
        </row>
        <row r="1222">
          <cell r="A1222" t="str">
            <v>USD_FEDFUND_EOD</v>
          </cell>
          <cell r="C1222">
            <v>42642</v>
          </cell>
          <cell r="E1222">
            <v>3.00151541158438E-3</v>
          </cell>
        </row>
        <row r="1223">
          <cell r="A1223" t="str">
            <v>USD_FEDFUND_EOD</v>
          </cell>
          <cell r="C1223">
            <v>42674</v>
          </cell>
          <cell r="E1223">
            <v>3.14026519978256E-3</v>
          </cell>
        </row>
        <row r="1224">
          <cell r="A1224" t="str">
            <v>USD_FEDFUND_EOD</v>
          </cell>
          <cell r="C1224">
            <v>42853</v>
          </cell>
          <cell r="E1224">
            <v>4.2579977828022799E-3</v>
          </cell>
        </row>
        <row r="1225">
          <cell r="A1225" t="str">
            <v>USD_FEDFUND_EOD</v>
          </cell>
          <cell r="C1225">
            <v>43038</v>
          </cell>
          <cell r="E1225">
            <v>5.3826760415247102E-3</v>
          </cell>
        </row>
        <row r="1226">
          <cell r="A1226" t="str">
            <v>USD_FEDFUND_EOD</v>
          </cell>
          <cell r="C1226">
            <v>43402</v>
          </cell>
          <cell r="E1226">
            <v>7.5659203044116403E-3</v>
          </cell>
        </row>
        <row r="1227">
          <cell r="A1227" t="str">
            <v>USD_FEDFUND_EOD</v>
          </cell>
          <cell r="C1227">
            <v>43767</v>
          </cell>
          <cell r="E1227">
            <v>9.5694257902352708E-3</v>
          </cell>
        </row>
        <row r="1228">
          <cell r="A1228" t="str">
            <v>USD_FEDFUND_EOD</v>
          </cell>
          <cell r="C1228">
            <v>44133</v>
          </cell>
          <cell r="E1228">
            <v>1.1407015321799101E-2</v>
          </cell>
        </row>
        <row r="1229">
          <cell r="A1229" t="str">
            <v>USD_FEDFUND_EOD</v>
          </cell>
          <cell r="C1229">
            <v>44498</v>
          </cell>
          <cell r="E1229">
            <v>1.30533279929426E-2</v>
          </cell>
        </row>
        <row r="1230">
          <cell r="A1230" t="str">
            <v>USD_FEDFUND_EOD</v>
          </cell>
          <cell r="C1230">
            <v>44865</v>
          </cell>
          <cell r="E1230">
            <v>1.44588435943757E-2</v>
          </cell>
        </row>
        <row r="1231">
          <cell r="A1231" t="str">
            <v>USD_FEDFUND_EOD</v>
          </cell>
          <cell r="C1231">
            <v>45229</v>
          </cell>
          <cell r="E1231">
            <v>1.56700085284854E-2</v>
          </cell>
        </row>
        <row r="1232">
          <cell r="A1232" t="str">
            <v>USD_FEDFUND_EOD</v>
          </cell>
          <cell r="C1232">
            <v>45594</v>
          </cell>
          <cell r="E1232">
            <v>1.6663641933820202E-2</v>
          </cell>
        </row>
        <row r="1233">
          <cell r="A1233" t="str">
            <v>USD_FEDFUND_EOD</v>
          </cell>
          <cell r="C1233">
            <v>45959</v>
          </cell>
          <cell r="E1233">
            <v>1.7555921020761301E-2</v>
          </cell>
        </row>
        <row r="1234">
          <cell r="A1234" t="str">
            <v>USD_FEDFUND_EOD</v>
          </cell>
          <cell r="C1234">
            <v>46689</v>
          </cell>
          <cell r="E1234">
            <v>1.9004244676631199E-2</v>
          </cell>
        </row>
        <row r="1235">
          <cell r="A1235" t="str">
            <v>USD_FEDFUND_EOD</v>
          </cell>
          <cell r="C1235">
            <v>47785</v>
          </cell>
          <cell r="E1235">
            <v>2.0491800811700898E-2</v>
          </cell>
        </row>
        <row r="1236">
          <cell r="A1236" t="str">
            <v>USD_FEDFUND_EOD</v>
          </cell>
          <cell r="C1236">
            <v>49611</v>
          </cell>
          <cell r="E1236">
            <v>2.1934497723101999E-2</v>
          </cell>
        </row>
        <row r="1237">
          <cell r="A1237" t="str">
            <v>USD_FEDFUND_EOD</v>
          </cell>
          <cell r="C1237">
            <v>51438</v>
          </cell>
          <cell r="E1237">
            <v>2.26036399450005E-2</v>
          </cell>
        </row>
        <row r="1238">
          <cell r="A1238" t="str">
            <v>USD_FEDFUND_EOD</v>
          </cell>
          <cell r="C1238">
            <v>53265</v>
          </cell>
          <cell r="E1238">
            <v>2.3000900402259002E-2</v>
          </cell>
        </row>
        <row r="1239">
          <cell r="A1239" t="str">
            <v>USD_FEDFUND_EOD</v>
          </cell>
          <cell r="C1239">
            <v>56916</v>
          </cell>
          <cell r="E1239">
            <v>2.3014561952731601E-2</v>
          </cell>
        </row>
        <row r="1240">
          <cell r="A1240" t="str">
            <v>USD_FEDFUND_EOD</v>
          </cell>
          <cell r="C1240">
            <v>60569</v>
          </cell>
          <cell r="E1240">
            <v>2.25833583855489E-2</v>
          </cell>
        </row>
        <row r="1241">
          <cell r="A1241" t="str">
            <v>USD_FEDFUND_EOD</v>
          </cell>
          <cell r="C1241">
            <v>64221</v>
          </cell>
          <cell r="E1241">
            <v>2.2409958385457798E-2</v>
          </cell>
        </row>
        <row r="1242">
          <cell r="A1242" t="str">
            <v>USD_LIBOR_12M_EOD</v>
          </cell>
          <cell r="C1242">
            <v>42674</v>
          </cell>
          <cell r="E1242">
            <v>8.4642255089500407E-3</v>
          </cell>
        </row>
        <row r="1243">
          <cell r="A1243" t="str">
            <v>USD_LIBOR_12M_EOD</v>
          </cell>
          <cell r="C1243">
            <v>42703</v>
          </cell>
          <cell r="E1243">
            <v>7.8991763718975205E-3</v>
          </cell>
        </row>
        <row r="1244">
          <cell r="A1244" t="str">
            <v>USD_LIBOR_12M_EOD</v>
          </cell>
          <cell r="C1244">
            <v>42733</v>
          </cell>
          <cell r="E1244">
            <v>8.0448809125366807E-3</v>
          </cell>
        </row>
        <row r="1245">
          <cell r="A1245" t="str">
            <v>USD_LIBOR_12M_EOD</v>
          </cell>
          <cell r="C1245">
            <v>42765</v>
          </cell>
          <cell r="E1245">
            <v>8.1809422557655997E-3</v>
          </cell>
        </row>
        <row r="1246">
          <cell r="A1246" t="str">
            <v>USD_LIBOR_12M_EOD</v>
          </cell>
          <cell r="C1246">
            <v>42794</v>
          </cell>
          <cell r="E1246">
            <v>8.4988918022088807E-3</v>
          </cell>
        </row>
        <row r="1247">
          <cell r="A1247" t="str">
            <v>USD_LIBOR_12M_EOD</v>
          </cell>
          <cell r="C1247">
            <v>42823</v>
          </cell>
          <cell r="E1247">
            <v>8.77616451153552E-3</v>
          </cell>
        </row>
        <row r="1248">
          <cell r="A1248" t="str">
            <v>USD_LIBOR_12M_EOD</v>
          </cell>
          <cell r="C1248">
            <v>42853</v>
          </cell>
          <cell r="E1248">
            <v>9.04482430085779E-3</v>
          </cell>
        </row>
        <row r="1249">
          <cell r="A1249" t="str">
            <v>USD_LIBOR_12M_EOD</v>
          </cell>
          <cell r="C1249">
            <v>42885</v>
          </cell>
          <cell r="E1249">
            <v>9.3997868227959601E-3</v>
          </cell>
        </row>
        <row r="1250">
          <cell r="A1250" t="str">
            <v>USD_LIBOR_12M_EOD</v>
          </cell>
          <cell r="C1250">
            <v>42915</v>
          </cell>
          <cell r="E1250">
            <v>9.6139922498359402E-3</v>
          </cell>
        </row>
        <row r="1251">
          <cell r="A1251" t="str">
            <v>USD_LIBOR_12M_EOD</v>
          </cell>
          <cell r="C1251">
            <v>42947</v>
          </cell>
          <cell r="E1251">
            <v>9.6942907170969699E-3</v>
          </cell>
        </row>
        <row r="1252">
          <cell r="A1252" t="str">
            <v>USD_LIBOR_12M_EOD</v>
          </cell>
          <cell r="C1252">
            <v>42976</v>
          </cell>
          <cell r="E1252">
            <v>9.9705690371360099E-3</v>
          </cell>
        </row>
        <row r="1253">
          <cell r="A1253" t="str">
            <v>USD_LIBOR_12M_EOD</v>
          </cell>
          <cell r="C1253">
            <v>43007</v>
          </cell>
          <cell r="E1253">
            <v>1.01351468009892E-2</v>
          </cell>
        </row>
        <row r="1254">
          <cell r="A1254" t="str">
            <v>USD_LIBOR_12M_EOD</v>
          </cell>
          <cell r="C1254">
            <v>43038</v>
          </cell>
          <cell r="E1254">
            <v>1.05715517764494E-2</v>
          </cell>
        </row>
        <row r="1255">
          <cell r="A1255" t="str">
            <v>USD_LIBOR_12M_EOD</v>
          </cell>
          <cell r="C1255">
            <v>43402</v>
          </cell>
          <cell r="E1255">
            <v>1.2659060586290001E-2</v>
          </cell>
        </row>
        <row r="1256">
          <cell r="A1256" t="str">
            <v>USD_LIBOR_12M_EOD</v>
          </cell>
          <cell r="C1256">
            <v>43767</v>
          </cell>
          <cell r="E1256">
            <v>1.47031404797472E-2</v>
          </cell>
        </row>
        <row r="1257">
          <cell r="A1257" t="str">
            <v>USD_LIBOR_12M_EOD</v>
          </cell>
          <cell r="C1257">
            <v>44133</v>
          </cell>
          <cell r="E1257">
            <v>1.6531260432954002E-2</v>
          </cell>
        </row>
        <row r="1258">
          <cell r="A1258" t="str">
            <v>USD_LIBOR_12M_EOD</v>
          </cell>
          <cell r="C1258">
            <v>44498</v>
          </cell>
          <cell r="E1258">
            <v>1.8139675160020501E-2</v>
          </cell>
        </row>
        <row r="1259">
          <cell r="A1259" t="str">
            <v>USD_LIBOR_12M_EOD</v>
          </cell>
          <cell r="C1259">
            <v>44865</v>
          </cell>
          <cell r="E1259">
            <v>1.95032855160619E-2</v>
          </cell>
        </row>
        <row r="1260">
          <cell r="A1260" t="str">
            <v>USD_LIBOR_12M_EOD</v>
          </cell>
          <cell r="C1260">
            <v>45229</v>
          </cell>
          <cell r="E1260">
            <v>2.0710710852578699E-2</v>
          </cell>
        </row>
        <row r="1261">
          <cell r="A1261" t="str">
            <v>USD_LIBOR_12M_EOD</v>
          </cell>
          <cell r="C1261">
            <v>45594</v>
          </cell>
          <cell r="E1261">
            <v>2.1699673123005501E-2</v>
          </cell>
        </row>
        <row r="1262">
          <cell r="A1262" t="str">
            <v>USD_LIBOR_12M_EOD</v>
          </cell>
          <cell r="C1262">
            <v>45959</v>
          </cell>
          <cell r="E1262">
            <v>2.25854332065538E-2</v>
          </cell>
        </row>
        <row r="1263">
          <cell r="A1263" t="str">
            <v>USD_LIBOR_12M_EOD</v>
          </cell>
          <cell r="C1263">
            <v>46689</v>
          </cell>
          <cell r="E1263">
            <v>2.4053278403229201E-2</v>
          </cell>
        </row>
        <row r="1264">
          <cell r="A1264" t="str">
            <v>USD_LIBOR_12M_EOD</v>
          </cell>
          <cell r="C1264">
            <v>47785</v>
          </cell>
          <cell r="E1264">
            <v>2.5562716162941201E-2</v>
          </cell>
        </row>
        <row r="1265">
          <cell r="A1265" t="str">
            <v>USD_LIBOR_12M_EOD</v>
          </cell>
          <cell r="C1265">
            <v>49611</v>
          </cell>
          <cell r="E1265">
            <v>2.7012141018023399E-2</v>
          </cell>
        </row>
        <row r="1266">
          <cell r="A1266" t="str">
            <v>USD_LIBOR_12M_EOD</v>
          </cell>
          <cell r="C1266">
            <v>51438</v>
          </cell>
          <cell r="E1266">
            <v>2.7611415029268001E-2</v>
          </cell>
        </row>
        <row r="1267">
          <cell r="A1267" t="str">
            <v>USD_LIBOR_12M_EOD</v>
          </cell>
          <cell r="C1267">
            <v>53265</v>
          </cell>
          <cell r="E1267">
            <v>2.80265127747664E-2</v>
          </cell>
        </row>
        <row r="1268">
          <cell r="A1268" t="str">
            <v>USD_LIBOR_12M_EOD</v>
          </cell>
          <cell r="C1268">
            <v>56916</v>
          </cell>
          <cell r="E1268">
            <v>2.8040435455622601E-2</v>
          </cell>
        </row>
        <row r="1269">
          <cell r="A1269" t="str">
            <v>USD_LIBOR_12M_EOD</v>
          </cell>
          <cell r="C1269">
            <v>60569</v>
          </cell>
          <cell r="E1269">
            <v>2.7612241499590101E-2</v>
          </cell>
        </row>
        <row r="1270">
          <cell r="A1270" t="str">
            <v>USD_LIBOR_12M_EOD</v>
          </cell>
          <cell r="C1270">
            <v>64221</v>
          </cell>
          <cell r="E1270">
            <v>2.7439960157359802E-2</v>
          </cell>
        </row>
        <row r="1271">
          <cell r="A1271" t="str">
            <v>USD_LIBOR_1M_EOD</v>
          </cell>
          <cell r="C1271">
            <v>42338</v>
          </cell>
          <cell r="E1271">
            <v>1.93382911445387E-3</v>
          </cell>
        </row>
        <row r="1272">
          <cell r="A1272" t="str">
            <v>USD_LIBOR_1M_EOD</v>
          </cell>
          <cell r="C1272">
            <v>42367</v>
          </cell>
          <cell r="E1272">
            <v>2.0798520169870599E-3</v>
          </cell>
        </row>
        <row r="1273">
          <cell r="A1273" t="str">
            <v>USD_LIBOR_1M_EOD</v>
          </cell>
          <cell r="C1273">
            <v>42398</v>
          </cell>
          <cell r="E1273">
            <v>2.27425041476495E-3</v>
          </cell>
        </row>
        <row r="1274">
          <cell r="A1274" t="str">
            <v>USD_LIBOR_1M_EOD</v>
          </cell>
          <cell r="C1274">
            <v>42489</v>
          </cell>
          <cell r="E1274">
            <v>2.7979575472034499E-3</v>
          </cell>
        </row>
        <row r="1275">
          <cell r="A1275" t="str">
            <v>USD_LIBOR_1M_EOD</v>
          </cell>
          <cell r="C1275">
            <v>42580</v>
          </cell>
          <cell r="E1275">
            <v>3.2948826279307702E-3</v>
          </cell>
        </row>
        <row r="1276">
          <cell r="A1276" t="str">
            <v>USD_LIBOR_1M_EOD</v>
          </cell>
          <cell r="C1276">
            <v>42674</v>
          </cell>
          <cell r="E1276">
            <v>3.8266160639996399E-3</v>
          </cell>
        </row>
        <row r="1277">
          <cell r="A1277" t="str">
            <v>USD_LIBOR_1M_EOD</v>
          </cell>
          <cell r="C1277">
            <v>43038</v>
          </cell>
          <cell r="E1277">
            <v>6.2286475519046803E-3</v>
          </cell>
        </row>
        <row r="1278">
          <cell r="A1278" t="str">
            <v>USD_LIBOR_1M_EOD</v>
          </cell>
          <cell r="C1278">
            <v>43402</v>
          </cell>
          <cell r="E1278">
            <v>8.4783138929300401E-3</v>
          </cell>
        </row>
        <row r="1279">
          <cell r="A1279" t="str">
            <v>USD_LIBOR_1M_EOD</v>
          </cell>
          <cell r="C1279">
            <v>43767</v>
          </cell>
          <cell r="E1279">
            <v>1.0527452943628401E-2</v>
          </cell>
        </row>
        <row r="1280">
          <cell r="A1280" t="str">
            <v>USD_LIBOR_1M_EOD</v>
          </cell>
          <cell r="C1280">
            <v>44133</v>
          </cell>
          <cell r="E1280">
            <v>1.23897810006542E-2</v>
          </cell>
        </row>
        <row r="1281">
          <cell r="A1281" t="str">
            <v>USD_LIBOR_1M_EOD</v>
          </cell>
          <cell r="C1281">
            <v>44498</v>
          </cell>
          <cell r="E1281">
            <v>1.4080028917862E-2</v>
          </cell>
        </row>
        <row r="1282">
          <cell r="A1282" t="str">
            <v>USD_LIBOR_1M_EOD</v>
          </cell>
          <cell r="C1282">
            <v>44865</v>
          </cell>
          <cell r="E1282">
            <v>1.55638720065774E-2</v>
          </cell>
        </row>
        <row r="1283">
          <cell r="A1283" t="str">
            <v>USD_LIBOR_1M_EOD</v>
          </cell>
          <cell r="C1283">
            <v>45229</v>
          </cell>
          <cell r="E1283">
            <v>1.6823599868233299E-2</v>
          </cell>
        </row>
        <row r="1284">
          <cell r="A1284" t="str">
            <v>USD_LIBOR_1M_EOD</v>
          </cell>
          <cell r="C1284">
            <v>45594</v>
          </cell>
          <cell r="E1284">
            <v>1.78666293657899E-2</v>
          </cell>
        </row>
        <row r="1285">
          <cell r="A1285" t="str">
            <v>USD_LIBOR_1M_EOD</v>
          </cell>
          <cell r="C1285">
            <v>45959</v>
          </cell>
          <cell r="E1285">
            <v>1.8819861721877499E-2</v>
          </cell>
        </row>
        <row r="1286">
          <cell r="A1286" t="str">
            <v>USD_LIBOR_1M_EOD</v>
          </cell>
          <cell r="C1286">
            <v>46689</v>
          </cell>
          <cell r="E1286">
            <v>2.0322405299872E-2</v>
          </cell>
        </row>
        <row r="1287">
          <cell r="A1287" t="str">
            <v>USD_LIBOR_1M_EOD</v>
          </cell>
          <cell r="C1287">
            <v>47785</v>
          </cell>
          <cell r="E1287">
            <v>2.1856195719037901E-2</v>
          </cell>
        </row>
        <row r="1288">
          <cell r="A1288" t="str">
            <v>USD_LIBOR_1M_EOD</v>
          </cell>
          <cell r="C1288">
            <v>49611</v>
          </cell>
          <cell r="E1288">
            <v>2.3273666788217899E-2</v>
          </cell>
        </row>
        <row r="1289">
          <cell r="A1289" t="str">
            <v>USD_LIBOR_1M_EOD</v>
          </cell>
          <cell r="C1289">
            <v>51438</v>
          </cell>
          <cell r="E1289">
            <v>2.3929043476141301E-2</v>
          </cell>
        </row>
        <row r="1290">
          <cell r="A1290" t="str">
            <v>USD_LIBOR_1M_EOD</v>
          </cell>
          <cell r="C1290">
            <v>53265</v>
          </cell>
          <cell r="E1290">
            <v>2.43287954449601E-2</v>
          </cell>
        </row>
        <row r="1291">
          <cell r="A1291" t="str">
            <v>USD_LIBOR_1M_EOD</v>
          </cell>
          <cell r="C1291">
            <v>56916</v>
          </cell>
          <cell r="E1291">
            <v>2.43399965046124E-2</v>
          </cell>
        </row>
        <row r="1292">
          <cell r="A1292" t="str">
            <v>USD_LIBOR_1M_EOD</v>
          </cell>
          <cell r="C1292">
            <v>60569</v>
          </cell>
          <cell r="E1292">
            <v>2.39082867558634E-2</v>
          </cell>
        </row>
        <row r="1293">
          <cell r="A1293" t="str">
            <v>USD_LIBOR_1M_EOD</v>
          </cell>
          <cell r="C1293">
            <v>64221</v>
          </cell>
          <cell r="E1293">
            <v>2.3734129077882301E-2</v>
          </cell>
        </row>
        <row r="1294">
          <cell r="A1294" t="str">
            <v>USD_LIBOR_3M_EOD</v>
          </cell>
          <cell r="C1294">
            <v>42398</v>
          </cell>
          <cell r="E1294">
            <v>3.2826277100360601E-3</v>
          </cell>
        </row>
        <row r="1295">
          <cell r="A1295" t="str">
            <v>USD_LIBOR_3M_EOD</v>
          </cell>
          <cell r="C1295">
            <v>42445</v>
          </cell>
          <cell r="E1295">
            <v>3.6141019964917201E-3</v>
          </cell>
        </row>
        <row r="1296">
          <cell r="A1296" t="str">
            <v>USD_LIBOR_3M_EOD</v>
          </cell>
          <cell r="C1296">
            <v>42536</v>
          </cell>
          <cell r="E1296">
            <v>4.0788180484258897E-3</v>
          </cell>
        </row>
        <row r="1297">
          <cell r="A1297" t="str">
            <v>USD_LIBOR_3M_EOD</v>
          </cell>
          <cell r="C1297">
            <v>42634</v>
          </cell>
          <cell r="E1297">
            <v>4.6333289756255898E-3</v>
          </cell>
        </row>
        <row r="1298">
          <cell r="A1298" t="str">
            <v>USD_LIBOR_3M_EOD</v>
          </cell>
          <cell r="C1298">
            <v>42725</v>
          </cell>
          <cell r="E1298">
            <v>5.1969257572066496E-3</v>
          </cell>
        </row>
        <row r="1299">
          <cell r="A1299" t="str">
            <v>USD_LIBOR_3M_EOD</v>
          </cell>
          <cell r="C1299">
            <v>42809</v>
          </cell>
          <cell r="E1299">
            <v>5.7770901806416903E-3</v>
          </cell>
        </row>
        <row r="1300">
          <cell r="A1300" t="str">
            <v>USD_LIBOR_3M_EOD</v>
          </cell>
          <cell r="C1300">
            <v>42907</v>
          </cell>
          <cell r="E1300">
            <v>6.4417900014521901E-3</v>
          </cell>
        </row>
        <row r="1301">
          <cell r="A1301" t="str">
            <v>USD_LIBOR_3M_EOD</v>
          </cell>
          <cell r="C1301">
            <v>42998</v>
          </cell>
          <cell r="E1301">
            <v>7.0654158559113897E-3</v>
          </cell>
        </row>
        <row r="1302">
          <cell r="A1302" t="str">
            <v>USD_LIBOR_3M_EOD</v>
          </cell>
          <cell r="C1302">
            <v>43089</v>
          </cell>
          <cell r="E1302">
            <v>7.6806490769606396E-3</v>
          </cell>
        </row>
        <row r="1303">
          <cell r="A1303" t="str">
            <v>USD_LIBOR_3M_EOD</v>
          </cell>
          <cell r="C1303">
            <v>43180</v>
          </cell>
          <cell r="E1303">
            <v>8.2948014494886903E-3</v>
          </cell>
        </row>
        <row r="1304">
          <cell r="A1304" t="str">
            <v>USD_LIBOR_3M_EOD</v>
          </cell>
          <cell r="C1304">
            <v>43271</v>
          </cell>
          <cell r="E1304">
            <v>8.8935234779809504E-3</v>
          </cell>
        </row>
        <row r="1305">
          <cell r="A1305" t="str">
            <v>USD_LIBOR_3M_EOD</v>
          </cell>
          <cell r="C1305">
            <v>43362</v>
          </cell>
          <cell r="E1305">
            <v>9.4803812731012495E-3</v>
          </cell>
        </row>
        <row r="1306">
          <cell r="A1306" t="str">
            <v>USD_LIBOR_3M_EOD</v>
          </cell>
          <cell r="C1306">
            <v>43453</v>
          </cell>
          <cell r="E1306">
            <v>1.0049965387769399E-2</v>
          </cell>
        </row>
        <row r="1307">
          <cell r="A1307" t="str">
            <v>USD_LIBOR_3M_EOD</v>
          </cell>
          <cell r="C1307">
            <v>43767</v>
          </cell>
          <cell r="E1307">
            <v>1.17871948788635E-2</v>
          </cell>
        </row>
        <row r="1308">
          <cell r="A1308" t="str">
            <v>USD_LIBOR_3M_EOD</v>
          </cell>
          <cell r="C1308">
            <v>44133</v>
          </cell>
          <cell r="E1308">
            <v>1.36992735145795E-2</v>
          </cell>
        </row>
        <row r="1309">
          <cell r="A1309" t="str">
            <v>USD_LIBOR_3M_EOD</v>
          </cell>
          <cell r="C1309">
            <v>44498</v>
          </cell>
          <cell r="E1309">
            <v>1.53874661675172E-2</v>
          </cell>
        </row>
        <row r="1310">
          <cell r="A1310" t="str">
            <v>USD_LIBOR_3M_EOD</v>
          </cell>
          <cell r="C1310">
            <v>44865</v>
          </cell>
          <cell r="E1310">
            <v>1.6837966882506401E-2</v>
          </cell>
        </row>
        <row r="1311">
          <cell r="A1311" t="str">
            <v>USD_LIBOR_3M_EOD</v>
          </cell>
          <cell r="C1311">
            <v>45229</v>
          </cell>
          <cell r="E1311">
            <v>1.8065189686892E-2</v>
          </cell>
        </row>
        <row r="1312">
          <cell r="A1312" t="str">
            <v>USD_LIBOR_3M_EOD</v>
          </cell>
          <cell r="C1312">
            <v>45594</v>
          </cell>
          <cell r="E1312">
            <v>1.9074600013988099E-2</v>
          </cell>
        </row>
        <row r="1313">
          <cell r="A1313" t="str">
            <v>USD_LIBOR_3M_EOD</v>
          </cell>
          <cell r="C1313">
            <v>45959</v>
          </cell>
          <cell r="E1313">
            <v>1.9983146129387602E-2</v>
          </cell>
        </row>
        <row r="1314">
          <cell r="A1314" t="str">
            <v>USD_LIBOR_3M_EOD</v>
          </cell>
          <cell r="C1314">
            <v>46689</v>
          </cell>
          <cell r="E1314">
            <v>2.1440687043570099E-2</v>
          </cell>
        </row>
        <row r="1315">
          <cell r="A1315" t="str">
            <v>USD_LIBOR_3M_EOD</v>
          </cell>
          <cell r="C1315">
            <v>47785</v>
          </cell>
          <cell r="E1315">
            <v>2.29400650882703E-2</v>
          </cell>
        </row>
        <row r="1316">
          <cell r="A1316" t="str">
            <v>USD_LIBOR_3M_EOD</v>
          </cell>
          <cell r="C1316">
            <v>49611</v>
          </cell>
          <cell r="E1316">
            <v>2.4409210727401601E-2</v>
          </cell>
        </row>
        <row r="1317">
          <cell r="A1317" t="str">
            <v>USD_LIBOR_3M_EOD</v>
          </cell>
          <cell r="C1317">
            <v>51438</v>
          </cell>
          <cell r="E1317">
            <v>2.5090649832055299E-2</v>
          </cell>
        </row>
        <row r="1318">
          <cell r="A1318" t="str">
            <v>USD_LIBOR_3M_EOD</v>
          </cell>
          <cell r="C1318">
            <v>53265</v>
          </cell>
          <cell r="E1318">
            <v>2.5503465465699801E-2</v>
          </cell>
        </row>
        <row r="1319">
          <cell r="A1319" t="str">
            <v>USD_LIBOR_3M_EOD</v>
          </cell>
          <cell r="C1319">
            <v>56916</v>
          </cell>
          <cell r="E1319">
            <v>2.55124802904311E-2</v>
          </cell>
        </row>
        <row r="1320">
          <cell r="A1320" t="str">
            <v>USD_LIBOR_3M_EOD</v>
          </cell>
          <cell r="C1320">
            <v>60569</v>
          </cell>
          <cell r="E1320">
            <v>2.50798456745943E-2</v>
          </cell>
        </row>
        <row r="1321">
          <cell r="A1321" t="str">
            <v>USD_LIBOR_3M_EOD</v>
          </cell>
          <cell r="C1321">
            <v>64221</v>
          </cell>
          <cell r="E1321">
            <v>2.49050097112474E-2</v>
          </cell>
        </row>
        <row r="1322">
          <cell r="A1322" t="str">
            <v>USD_LIBOR_6M_EOD</v>
          </cell>
          <cell r="C1322">
            <v>42489</v>
          </cell>
          <cell r="E1322">
            <v>5.4134039861269898E-3</v>
          </cell>
        </row>
        <row r="1323">
          <cell r="A1323" t="str">
            <v>USD_LIBOR_6M_EOD</v>
          </cell>
          <cell r="C1323">
            <v>42521</v>
          </cell>
          <cell r="E1323">
            <v>5.5968694429247203E-3</v>
          </cell>
        </row>
        <row r="1324">
          <cell r="A1324" t="str">
            <v>USD_LIBOR_6M_EOD</v>
          </cell>
          <cell r="C1324">
            <v>42550</v>
          </cell>
          <cell r="E1324">
            <v>5.7338023779437601E-3</v>
          </cell>
        </row>
        <row r="1325">
          <cell r="A1325" t="str">
            <v>USD_LIBOR_6M_EOD</v>
          </cell>
          <cell r="C1325">
            <v>42580</v>
          </cell>
          <cell r="E1325">
            <v>5.8857573255359603E-3</v>
          </cell>
        </row>
        <row r="1326">
          <cell r="A1326" t="str">
            <v>USD_LIBOR_6M_EOD</v>
          </cell>
          <cell r="C1326">
            <v>42611</v>
          </cell>
          <cell r="E1326">
            <v>5.9961191808638901E-3</v>
          </cell>
        </row>
        <row r="1327">
          <cell r="A1327" t="str">
            <v>USD_LIBOR_6M_EOD</v>
          </cell>
          <cell r="C1327">
            <v>42642</v>
          </cell>
          <cell r="E1327">
            <v>6.1045077610893802E-3</v>
          </cell>
        </row>
        <row r="1328">
          <cell r="A1328" t="str">
            <v>USD_LIBOR_6M_EOD</v>
          </cell>
          <cell r="C1328">
            <v>42674</v>
          </cell>
          <cell r="E1328">
            <v>6.2312661809376503E-3</v>
          </cell>
        </row>
        <row r="1329">
          <cell r="A1329" t="str">
            <v>USD_LIBOR_6M_EOD</v>
          </cell>
          <cell r="C1329">
            <v>42853</v>
          </cell>
          <cell r="E1329">
            <v>7.3227837202092701E-3</v>
          </cell>
        </row>
        <row r="1330">
          <cell r="A1330" t="str">
            <v>USD_LIBOR_6M_EOD</v>
          </cell>
          <cell r="C1330">
            <v>43038</v>
          </cell>
          <cell r="E1330">
            <v>8.5428972091939406E-3</v>
          </cell>
        </row>
        <row r="1331">
          <cell r="A1331" t="str">
            <v>USD_LIBOR_6M_EOD</v>
          </cell>
          <cell r="C1331">
            <v>43402</v>
          </cell>
          <cell r="E1331">
            <v>1.0744925162938301E-2</v>
          </cell>
        </row>
        <row r="1332">
          <cell r="A1332" t="str">
            <v>USD_LIBOR_6M_EOD</v>
          </cell>
          <cell r="C1332">
            <v>43767</v>
          </cell>
          <cell r="E1332">
            <v>1.27891279475394E-2</v>
          </cell>
        </row>
        <row r="1333">
          <cell r="A1333" t="str">
            <v>USD_LIBOR_6M_EOD</v>
          </cell>
          <cell r="C1333">
            <v>44133</v>
          </cell>
          <cell r="E1333">
            <v>1.46476199325543E-2</v>
          </cell>
        </row>
        <row r="1334">
          <cell r="A1334" t="str">
            <v>USD_LIBOR_6M_EOD</v>
          </cell>
          <cell r="C1334">
            <v>44498</v>
          </cell>
          <cell r="E1334">
            <v>1.6313432595498601E-2</v>
          </cell>
        </row>
        <row r="1335">
          <cell r="A1335" t="str">
            <v>USD_LIBOR_6M_EOD</v>
          </cell>
          <cell r="C1335">
            <v>44865</v>
          </cell>
          <cell r="E1335">
            <v>1.7762619553652201E-2</v>
          </cell>
        </row>
        <row r="1336">
          <cell r="A1336" t="str">
            <v>USD_LIBOR_6M_EOD</v>
          </cell>
          <cell r="C1336">
            <v>45229</v>
          </cell>
          <cell r="E1336">
            <v>1.89987283549687E-2</v>
          </cell>
        </row>
        <row r="1337">
          <cell r="A1337" t="str">
            <v>USD_LIBOR_6M_EOD</v>
          </cell>
          <cell r="C1337">
            <v>45594</v>
          </cell>
          <cell r="E1337">
            <v>2.0039611916563099E-2</v>
          </cell>
        </row>
        <row r="1338">
          <cell r="A1338" t="str">
            <v>USD_LIBOR_6M_EOD</v>
          </cell>
          <cell r="C1338">
            <v>45959</v>
          </cell>
          <cell r="E1338">
            <v>2.09800175831409E-2</v>
          </cell>
        </row>
        <row r="1339">
          <cell r="A1339" t="str">
            <v>USD_LIBOR_6M_EOD</v>
          </cell>
          <cell r="C1339">
            <v>46689</v>
          </cell>
          <cell r="E1339">
            <v>2.2480064978870399E-2</v>
          </cell>
        </row>
        <row r="1340">
          <cell r="A1340" t="str">
            <v>USD_LIBOR_6M_EOD</v>
          </cell>
          <cell r="C1340">
            <v>47785</v>
          </cell>
          <cell r="E1340">
            <v>2.40107333802973E-2</v>
          </cell>
        </row>
        <row r="1341">
          <cell r="A1341" t="str">
            <v>USD_LIBOR_6M_EOD</v>
          </cell>
          <cell r="C1341">
            <v>49611</v>
          </cell>
          <cell r="E1341">
            <v>2.5475391153696E-2</v>
          </cell>
        </row>
        <row r="1342">
          <cell r="A1342" t="str">
            <v>USD_LIBOR_6M_EOD</v>
          </cell>
          <cell r="C1342">
            <v>51438</v>
          </cell>
          <cell r="E1342">
            <v>2.6141346445080999E-2</v>
          </cell>
        </row>
        <row r="1343">
          <cell r="A1343" t="str">
            <v>USD_LIBOR_6M_EOD</v>
          </cell>
          <cell r="C1343">
            <v>53265</v>
          </cell>
          <cell r="E1343">
            <v>2.6552861216205901E-2</v>
          </cell>
        </row>
        <row r="1344">
          <cell r="A1344" t="str">
            <v>USD_LIBOR_6M_EOD</v>
          </cell>
          <cell r="C1344">
            <v>56916</v>
          </cell>
          <cell r="E1344">
            <v>2.6561204535429799E-2</v>
          </cell>
        </row>
        <row r="1345">
          <cell r="A1345" t="str">
            <v>USD_LIBOR_6M_EOD</v>
          </cell>
          <cell r="C1345">
            <v>60569</v>
          </cell>
          <cell r="E1345">
            <v>2.6128644118922101E-2</v>
          </cell>
        </row>
        <row r="1346">
          <cell r="A1346" t="str">
            <v>USD_LIBOR_6M_EOD</v>
          </cell>
          <cell r="C1346">
            <v>64221</v>
          </cell>
          <cell r="E1346">
            <v>2.5953741074299999E-2</v>
          </cell>
        </row>
        <row r="1347">
          <cell r="A1347" t="str">
            <v>USD_LIBOR_EOD</v>
          </cell>
          <cell r="C1347">
            <v>42305</v>
          </cell>
          <cell r="E1347">
            <v>1.3332614538472301E-3</v>
          </cell>
        </row>
        <row r="1348">
          <cell r="A1348" t="str">
            <v>USD_LIBOR_EOD</v>
          </cell>
          <cell r="C1348">
            <v>42306</v>
          </cell>
          <cell r="E1348">
            <v>1.33326145385229E-3</v>
          </cell>
        </row>
        <row r="1349">
          <cell r="A1349" t="str">
            <v>USD_LIBOR_EOD</v>
          </cell>
          <cell r="C1349">
            <v>42313</v>
          </cell>
          <cell r="E1349">
            <v>1.5012130405038899E-3</v>
          </cell>
        </row>
        <row r="1350">
          <cell r="A1350" t="str">
            <v>USD_LIBOR_EOD</v>
          </cell>
          <cell r="C1350">
            <v>42338</v>
          </cell>
          <cell r="E1350">
            <v>1.89850160500655E-3</v>
          </cell>
        </row>
        <row r="1351">
          <cell r="A1351" t="str">
            <v>USD_LIBOR_EOD</v>
          </cell>
          <cell r="C1351">
            <v>42445</v>
          </cell>
          <cell r="E1351">
            <v>3.1918583940050999E-3</v>
          </cell>
        </row>
        <row r="1352">
          <cell r="A1352" t="str">
            <v>USD_LIBOR_EOD</v>
          </cell>
          <cell r="C1352">
            <v>42536</v>
          </cell>
          <cell r="E1352">
            <v>3.82219585898394E-3</v>
          </cell>
        </row>
        <row r="1353">
          <cell r="A1353" t="str">
            <v>USD_LIBOR_EOD</v>
          </cell>
          <cell r="C1353">
            <v>42634</v>
          </cell>
          <cell r="E1353">
            <v>4.4529158000175002E-3</v>
          </cell>
        </row>
        <row r="1354">
          <cell r="A1354" t="str">
            <v>USD_LIBOR_EOD</v>
          </cell>
          <cell r="C1354">
            <v>42725</v>
          </cell>
          <cell r="E1354">
            <v>5.0555092537611897E-3</v>
          </cell>
        </row>
        <row r="1355">
          <cell r="A1355" t="str">
            <v>USD_LIBOR_EOD</v>
          </cell>
          <cell r="C1355">
            <v>42809</v>
          </cell>
          <cell r="E1355">
            <v>5.6591964223235798E-3</v>
          </cell>
        </row>
        <row r="1356">
          <cell r="A1356" t="str">
            <v>USD_LIBOR_EOD</v>
          </cell>
          <cell r="C1356">
            <v>42907</v>
          </cell>
          <cell r="E1356">
            <v>6.3430564227611999E-3</v>
          </cell>
        </row>
        <row r="1357">
          <cell r="A1357" t="str">
            <v>USD_LIBOR_EOD</v>
          </cell>
          <cell r="C1357">
            <v>42998</v>
          </cell>
          <cell r="E1357">
            <v>6.9796286110257802E-3</v>
          </cell>
        </row>
        <row r="1358">
          <cell r="A1358" t="str">
            <v>USD_LIBOR_EOD</v>
          </cell>
          <cell r="C1358">
            <v>43089</v>
          </cell>
          <cell r="E1358">
            <v>7.6048065954949099E-3</v>
          </cell>
        </row>
        <row r="1359">
          <cell r="A1359" t="str">
            <v>USD_LIBOR_EOD</v>
          </cell>
          <cell r="C1359">
            <v>43180</v>
          </cell>
          <cell r="E1359">
            <v>8.2268375819651695E-3</v>
          </cell>
        </row>
        <row r="1360">
          <cell r="A1360" t="str">
            <v>USD_LIBOR_EOD</v>
          </cell>
          <cell r="C1360">
            <v>43271</v>
          </cell>
          <cell r="E1360">
            <v>8.8319553828924095E-3</v>
          </cell>
        </row>
        <row r="1361">
          <cell r="A1361" t="str">
            <v>USD_LIBOR_EOD</v>
          </cell>
          <cell r="C1361">
            <v>43362</v>
          </cell>
          <cell r="E1361">
            <v>9.4241087325051803E-3</v>
          </cell>
        </row>
        <row r="1362">
          <cell r="A1362" t="str">
            <v>USD_LIBOR_EOD</v>
          </cell>
          <cell r="C1362">
            <v>43453</v>
          </cell>
          <cell r="E1362">
            <v>9.9981495932084403E-3</v>
          </cell>
        </row>
        <row r="1363">
          <cell r="A1363" t="str">
            <v>USD_LIBOR_EOD</v>
          </cell>
          <cell r="C1363">
            <v>43767</v>
          </cell>
          <cell r="E1363">
            <v>1.17900054332089E-2</v>
          </cell>
        </row>
        <row r="1364">
          <cell r="A1364" t="str">
            <v>USD_LIBOR_EOD</v>
          </cell>
          <cell r="C1364">
            <v>44133</v>
          </cell>
          <cell r="E1364">
            <v>1.37074037598815E-2</v>
          </cell>
        </row>
        <row r="1365">
          <cell r="A1365" t="str">
            <v>USD_LIBOR_EOD</v>
          </cell>
          <cell r="C1365">
            <v>44498</v>
          </cell>
          <cell r="E1365">
            <v>1.54016560547391E-2</v>
          </cell>
        </row>
        <row r="1366">
          <cell r="A1366" t="str">
            <v>USD_LIBOR_EOD</v>
          </cell>
          <cell r="C1366">
            <v>44865</v>
          </cell>
          <cell r="E1366">
            <v>1.68582988121126E-2</v>
          </cell>
        </row>
        <row r="1367">
          <cell r="A1367" t="str">
            <v>USD_LIBOR_EOD</v>
          </cell>
          <cell r="C1367">
            <v>45229</v>
          </cell>
          <cell r="E1367">
            <v>1.80908855560582E-2</v>
          </cell>
        </row>
        <row r="1368">
          <cell r="A1368" t="str">
            <v>USD_LIBOR_EOD</v>
          </cell>
          <cell r="C1368">
            <v>45594</v>
          </cell>
          <cell r="E1368">
            <v>1.9105883465543198E-2</v>
          </cell>
        </row>
        <row r="1369">
          <cell r="A1369" t="str">
            <v>USD_LIBOR_EOD</v>
          </cell>
          <cell r="C1369">
            <v>45959</v>
          </cell>
          <cell r="E1369">
            <v>2.0020103693685301E-2</v>
          </cell>
        </row>
        <row r="1370">
          <cell r="A1370" t="str">
            <v>USD_LIBOR_EOD</v>
          </cell>
          <cell r="C1370">
            <v>46689</v>
          </cell>
          <cell r="E1370">
            <v>2.14880734007491E-2</v>
          </cell>
        </row>
        <row r="1371">
          <cell r="A1371" t="str">
            <v>USD_LIBOR_EOD</v>
          </cell>
          <cell r="C1371">
            <v>47785</v>
          </cell>
          <cell r="E1371">
            <v>2.2999659734517602E-2</v>
          </cell>
        </row>
        <row r="1372">
          <cell r="A1372" t="str">
            <v>USD_LIBOR_EOD</v>
          </cell>
          <cell r="C1372">
            <v>49611</v>
          </cell>
          <cell r="E1372">
            <v>2.4482690654577099E-2</v>
          </cell>
        </row>
        <row r="1373">
          <cell r="A1373" t="str">
            <v>USD_LIBOR_EOD</v>
          </cell>
          <cell r="C1373">
            <v>51438</v>
          </cell>
          <cell r="E1373">
            <v>2.5169179354969401E-2</v>
          </cell>
        </row>
        <row r="1374">
          <cell r="A1374" t="str">
            <v>USD_LIBOR_EOD</v>
          </cell>
          <cell r="C1374">
            <v>53265</v>
          </cell>
          <cell r="E1374">
            <v>2.5585348133416098E-2</v>
          </cell>
        </row>
        <row r="1375">
          <cell r="A1375" t="str">
            <v>USD_LIBOR_EOD</v>
          </cell>
          <cell r="C1375">
            <v>56916</v>
          </cell>
          <cell r="E1375">
            <v>2.55781055150602E-2</v>
          </cell>
        </row>
        <row r="1376">
          <cell r="A1376" t="str">
            <v>USD_LIBOR_EOD</v>
          </cell>
          <cell r="C1376">
            <v>60569</v>
          </cell>
          <cell r="E1376">
            <v>2.5107995007981301E-2</v>
          </cell>
        </row>
        <row r="1377">
          <cell r="A1377" t="str">
            <v>USD_LIBOR_EOD</v>
          </cell>
          <cell r="C1377">
            <v>64221</v>
          </cell>
          <cell r="E1377">
            <v>2.4915809226308299E-2</v>
          </cell>
        </row>
        <row r="1378">
          <cell r="A1378" t="str">
            <v>ZAR_JIBAR_EOD</v>
          </cell>
          <cell r="C1378">
            <v>42305</v>
          </cell>
          <cell r="E1378">
            <v>5.7795423989927798E-2</v>
          </cell>
        </row>
        <row r="1379">
          <cell r="A1379" t="str">
            <v>ZAR_JIBAR_EOD</v>
          </cell>
          <cell r="C1379">
            <v>42311</v>
          </cell>
          <cell r="E1379">
            <v>5.8473201703814301E-2</v>
          </cell>
        </row>
        <row r="1380">
          <cell r="A1380" t="str">
            <v>ZAR_JIBAR_EOD</v>
          </cell>
          <cell r="C1380">
            <v>42335</v>
          </cell>
          <cell r="E1380">
            <v>6.1170823148640099E-2</v>
          </cell>
        </row>
        <row r="1381">
          <cell r="A1381" t="str">
            <v>ZAR_JIBAR_EOD</v>
          </cell>
          <cell r="C1381">
            <v>42366</v>
          </cell>
          <cell r="E1381">
            <v>6.1864463278546299E-2</v>
          </cell>
        </row>
        <row r="1382">
          <cell r="A1382" t="str">
            <v>ZAR_JIBAR_EOD</v>
          </cell>
          <cell r="C1382">
            <v>42396</v>
          </cell>
          <cell r="E1382">
            <v>6.2583779002628404E-2</v>
          </cell>
        </row>
        <row r="1383">
          <cell r="A1383" t="str">
            <v>ZAR_JIBAR_EOD</v>
          </cell>
          <cell r="C1383">
            <v>42488</v>
          </cell>
          <cell r="E1383">
            <v>6.3184141171337999E-2</v>
          </cell>
        </row>
        <row r="1384">
          <cell r="A1384" t="str">
            <v>ZAR_JIBAR_EOD</v>
          </cell>
          <cell r="C1384">
            <v>42578</v>
          </cell>
          <cell r="E1384">
            <v>6.4256395601902896E-2</v>
          </cell>
        </row>
        <row r="1385">
          <cell r="A1385" t="str">
            <v>ZAR_JIBAR_EOD</v>
          </cell>
          <cell r="C1385">
            <v>42670</v>
          </cell>
          <cell r="E1385">
            <v>6.54281471454118E-2</v>
          </cell>
        </row>
        <row r="1386">
          <cell r="A1386" t="str">
            <v>ZAR_JIBAR_EOD</v>
          </cell>
          <cell r="C1386">
            <v>43035</v>
          </cell>
          <cell r="E1386">
            <v>6.9169269885683102E-2</v>
          </cell>
        </row>
        <row r="1387">
          <cell r="A1387" t="str">
            <v>ZAR_JIBAR_EOD</v>
          </cell>
          <cell r="C1387">
            <v>43402</v>
          </cell>
          <cell r="E1387">
            <v>7.2219205762453206E-2</v>
          </cell>
        </row>
        <row r="1388">
          <cell r="A1388" t="str">
            <v>ZAR_JIBAR_EOD</v>
          </cell>
          <cell r="C1388">
            <v>43766</v>
          </cell>
          <cell r="E1388">
            <v>7.4601514374490294E-2</v>
          </cell>
        </row>
        <row r="1389">
          <cell r="A1389" t="str">
            <v>ZAR_JIBAR_EOD</v>
          </cell>
          <cell r="C1389">
            <v>44131</v>
          </cell>
          <cell r="E1389">
            <v>7.66968518823756E-2</v>
          </cell>
        </row>
        <row r="1390">
          <cell r="A1390" t="str">
            <v>ZAR_JIBAR_EOD</v>
          </cell>
          <cell r="C1390">
            <v>44496</v>
          </cell>
          <cell r="E1390">
            <v>7.8515508423908295E-2</v>
          </cell>
        </row>
        <row r="1391">
          <cell r="A1391" t="str">
            <v>ZAR_JIBAR_EOD</v>
          </cell>
          <cell r="C1391">
            <v>44861</v>
          </cell>
          <cell r="E1391">
            <v>8.00648265724348E-2</v>
          </cell>
        </row>
        <row r="1392">
          <cell r="A1392" t="str">
            <v>ZAR_JIBAR_EOD</v>
          </cell>
          <cell r="C1392">
            <v>45226</v>
          </cell>
          <cell r="E1392">
            <v>8.1475749964242103E-2</v>
          </cell>
        </row>
        <row r="1393">
          <cell r="A1393" t="str">
            <v>ZAR_JIBAR_EOD</v>
          </cell>
          <cell r="C1393">
            <v>45593</v>
          </cell>
          <cell r="E1393">
            <v>8.26894894851989E-2</v>
          </cell>
        </row>
        <row r="1394">
          <cell r="A1394" t="str">
            <v>ZAR_JIBAR_EOD</v>
          </cell>
          <cell r="C1394">
            <v>45957</v>
          </cell>
          <cell r="E1394">
            <v>8.3801970951416296E-2</v>
          </cell>
        </row>
        <row r="1395">
          <cell r="A1395" t="str">
            <v>ZAR_JIBAR_EOD</v>
          </cell>
          <cell r="C1395">
            <v>46687</v>
          </cell>
          <cell r="E1395">
            <v>8.5770873251728899E-2</v>
          </cell>
        </row>
        <row r="1396">
          <cell r="A1396" t="str">
            <v>ZAR_JIBAR_EOD</v>
          </cell>
          <cell r="C1396">
            <v>47784</v>
          </cell>
          <cell r="E1396">
            <v>8.7897275151130994E-2</v>
          </cell>
        </row>
        <row r="1397">
          <cell r="A1397" t="str">
            <v>ZAR_JIBAR_EOD</v>
          </cell>
          <cell r="C1397">
            <v>49611</v>
          </cell>
          <cell r="E1397">
            <v>8.8011939682297993E-2</v>
          </cell>
        </row>
        <row r="1398">
          <cell r="A1398" t="str">
            <v>ZAR_JIBAR_EOD</v>
          </cell>
          <cell r="C1398">
            <v>51438</v>
          </cell>
          <cell r="E1398">
            <v>8.6297502814097996E-2</v>
          </cell>
        </row>
        <row r="1399">
          <cell r="A1399" t="str">
            <v>ZAR_JIBAR_EOD</v>
          </cell>
          <cell r="C1399">
            <v>53262</v>
          </cell>
          <cell r="E1399">
            <v>8.2235533990640403E-2</v>
          </cell>
        </row>
      </sheetData>
      <sheetData sheetId="12">
        <row r="2">
          <cell r="A2" t="str">
            <v>AUD_AONIA_EOD</v>
          </cell>
          <cell r="F2">
            <v>0.99994520848172697</v>
          </cell>
        </row>
        <row r="3">
          <cell r="A3" t="str">
            <v>AUD_AONIA_EOD</v>
          </cell>
          <cell r="F3">
            <v>0.99956545576460099</v>
          </cell>
        </row>
        <row r="4">
          <cell r="A4" t="str">
            <v>AUD_AONIA_EOD</v>
          </cell>
          <cell r="F4">
            <v>0.998190348826968</v>
          </cell>
        </row>
        <row r="5">
          <cell r="A5" t="str">
            <v>AUD_AONIA_EOD</v>
          </cell>
          <cell r="F5">
            <v>0.99672049454446299</v>
          </cell>
        </row>
        <row r="6">
          <cell r="A6" t="str">
            <v>AUD_AONIA_EOD</v>
          </cell>
          <cell r="F6">
            <v>0.99520733989496402</v>
          </cell>
        </row>
        <row r="7">
          <cell r="A7" t="str">
            <v>AUD_AONIA_EOD</v>
          </cell>
          <cell r="F7">
            <v>0.99367974461475095</v>
          </cell>
        </row>
        <row r="8">
          <cell r="A8" t="str">
            <v>AUD_AONIA_EOD</v>
          </cell>
          <cell r="F8">
            <v>0.99233203034810202</v>
          </cell>
        </row>
        <row r="9">
          <cell r="A9" t="str">
            <v>AUD_AONIA_EOD</v>
          </cell>
          <cell r="F9">
            <v>0.99096113447436696</v>
          </cell>
        </row>
        <row r="10">
          <cell r="A10" t="str">
            <v>AUD_AONIA_EOD</v>
          </cell>
          <cell r="F10">
            <v>0.98689701049360301</v>
          </cell>
        </row>
        <row r="11">
          <cell r="A11" t="str">
            <v>AUD_AONIA_EOD</v>
          </cell>
          <cell r="F11">
            <v>0.98289939025344597</v>
          </cell>
        </row>
        <row r="12">
          <cell r="A12" t="str">
            <v>AUD_AONIA_EOD</v>
          </cell>
          <cell r="F12">
            <v>0.97468648978644601</v>
          </cell>
        </row>
        <row r="13">
          <cell r="A13" t="str">
            <v>AUD_AONIA_EOD</v>
          </cell>
          <cell r="F13">
            <v>0.965832297072027</v>
          </cell>
        </row>
        <row r="14">
          <cell r="A14" t="str">
            <v>AUD_AONIA_EOD</v>
          </cell>
          <cell r="F14">
            <v>0.94690062132271302</v>
          </cell>
        </row>
        <row r="15">
          <cell r="A15" t="str">
            <v>AUD_AONIA_EOD</v>
          </cell>
          <cell r="F15">
            <v>0.92582018946573097</v>
          </cell>
        </row>
        <row r="16">
          <cell r="A16" t="str">
            <v>AUD_AONIA_EOD</v>
          </cell>
          <cell r="F16">
            <v>0.90177721368060004</v>
          </cell>
        </row>
        <row r="17">
          <cell r="A17" t="str">
            <v>AUD_AONIA_EOD</v>
          </cell>
          <cell r="F17">
            <v>0.84882211153651099</v>
          </cell>
        </row>
        <row r="18">
          <cell r="A18" t="str">
            <v>AUD_AONIA_EOD</v>
          </cell>
          <cell r="F18">
            <v>0.76747422724240699</v>
          </cell>
        </row>
        <row r="19">
          <cell r="A19" t="str">
            <v>AUD_AONIA_EOD</v>
          </cell>
          <cell r="F19">
            <v>0.713852975083343</v>
          </cell>
        </row>
        <row r="20">
          <cell r="A20" t="str">
            <v>AUD_AONIA_EOD</v>
          </cell>
          <cell r="F20">
            <v>0.63990390021459598</v>
          </cell>
        </row>
        <row r="21">
          <cell r="A21" t="str">
            <v>AUD_AONIA_EOD</v>
          </cell>
          <cell r="F21">
            <v>0.53522694463370801</v>
          </cell>
        </row>
        <row r="22">
          <cell r="A22" t="str">
            <v>AUD_AONIA_EOD</v>
          </cell>
          <cell r="F22">
            <v>0.45359067220785398</v>
          </cell>
        </row>
        <row r="23">
          <cell r="A23" t="str">
            <v>AUD_AONIA_EOD</v>
          </cell>
          <cell r="F23">
            <v>0.39310310961019002</v>
          </cell>
        </row>
        <row r="24">
          <cell r="A24" t="str">
            <v>AUD_AONIA_EOD</v>
          </cell>
          <cell r="F24">
            <v>0.29828312013910702</v>
          </cell>
        </row>
        <row r="25">
          <cell r="A25" t="str">
            <v>AUD_BBSW_3M_EOD</v>
          </cell>
          <cell r="F25">
            <v>0.99462673751344799</v>
          </cell>
        </row>
        <row r="26">
          <cell r="A26" t="str">
            <v>AUD_BBSW_3M_EOD</v>
          </cell>
          <cell r="F26">
            <v>0.99242962717762995</v>
          </cell>
        </row>
        <row r="27">
          <cell r="A27" t="str">
            <v>AUD_BBSW_3M_EOD</v>
          </cell>
          <cell r="F27">
            <v>0.98773044594484105</v>
          </cell>
        </row>
        <row r="28">
          <cell r="A28" t="str">
            <v>AUD_BBSW_3M_EOD</v>
          </cell>
          <cell r="F28">
            <v>0.98322918511060098</v>
          </cell>
        </row>
        <row r="29">
          <cell r="A29" t="str">
            <v>AUD_BBSW_3M_EOD</v>
          </cell>
          <cell r="F29">
            <v>0.97875451027110905</v>
          </cell>
        </row>
        <row r="30">
          <cell r="A30" t="str">
            <v>AUD_BBSW_3M_EOD</v>
          </cell>
          <cell r="F30">
            <v>0.974211220065892</v>
          </cell>
        </row>
        <row r="31">
          <cell r="A31" t="str">
            <v>AUD_BBSW_3M_EOD</v>
          </cell>
          <cell r="F31">
            <v>0.96955379388999097</v>
          </cell>
        </row>
        <row r="32">
          <cell r="A32" t="str">
            <v>AUD_BBSW_3M_EOD</v>
          </cell>
          <cell r="F32">
            <v>0.96156355056918597</v>
          </cell>
        </row>
        <row r="33">
          <cell r="A33" t="str">
            <v>AUD_BBSW_3M_EOD</v>
          </cell>
          <cell r="F33">
            <v>0.94069348392811203</v>
          </cell>
        </row>
        <row r="34">
          <cell r="A34" t="str">
            <v>AUD_BBSW_3M_EOD</v>
          </cell>
          <cell r="F34">
            <v>0.91783929191536895</v>
          </cell>
        </row>
        <row r="35">
          <cell r="A35" t="str">
            <v>AUD_BBSW_3M_EOD</v>
          </cell>
          <cell r="F35">
            <v>0.892354704284821</v>
          </cell>
        </row>
        <row r="36">
          <cell r="A36" t="str">
            <v>AUD_BBSW_3M_EOD</v>
          </cell>
          <cell r="F36">
            <v>0.836882125698165</v>
          </cell>
        </row>
        <row r="37">
          <cell r="A37" t="str">
            <v>AUD_BBSW_3M_EOD</v>
          </cell>
          <cell r="F37">
            <v>0.75207650806196602</v>
          </cell>
        </row>
        <row r="38">
          <cell r="A38" t="str">
            <v>AUD_BBSW_3M_EOD</v>
          </cell>
          <cell r="F38">
            <v>0.69693971249543996</v>
          </cell>
        </row>
        <row r="39">
          <cell r="A39" t="str">
            <v>AUD_BBSW_3M_EOD</v>
          </cell>
          <cell r="F39">
            <v>0.62093527916649405</v>
          </cell>
        </row>
        <row r="40">
          <cell r="A40" t="str">
            <v>AUD_BBSW_3M_EOD</v>
          </cell>
          <cell r="F40">
            <v>0.51383377688904697</v>
          </cell>
        </row>
        <row r="41">
          <cell r="A41" t="str">
            <v>AUD_BBSW_3M_EOD</v>
          </cell>
          <cell r="F41">
            <v>0.431054531458337</v>
          </cell>
        </row>
        <row r="42">
          <cell r="A42" t="str">
            <v>AUD_BBSW_3M_EOD</v>
          </cell>
          <cell r="F42">
            <v>0.36988399729897498</v>
          </cell>
        </row>
        <row r="43">
          <cell r="A43" t="str">
            <v>AUD_BBSW_3M_EOD</v>
          </cell>
          <cell r="F43">
            <v>0.27496166551789902</v>
          </cell>
        </row>
        <row r="44">
          <cell r="A44" t="str">
            <v>AUD_BBSW_6M_EOD</v>
          </cell>
          <cell r="F44">
            <v>0.988992111365389</v>
          </cell>
        </row>
        <row r="45">
          <cell r="A45" t="str">
            <v>AUD_BBSW_6M_EOD</v>
          </cell>
          <cell r="F45">
            <v>0.97919420393813905</v>
          </cell>
        </row>
        <row r="46">
          <cell r="A46" t="str">
            <v>AUD_BBSW_6M_EOD</v>
          </cell>
          <cell r="F46">
            <v>0.95883093849655798</v>
          </cell>
        </row>
        <row r="47">
          <cell r="A47" t="str">
            <v>AUD_BBSW_6M_EOD</v>
          </cell>
          <cell r="F47">
            <v>0.93697132930078297</v>
          </cell>
        </row>
        <row r="48">
          <cell r="A48" t="str">
            <v>AUD_BBSW_6M_EOD</v>
          </cell>
          <cell r="F48">
            <v>0.91344821271374799</v>
          </cell>
        </row>
        <row r="49">
          <cell r="A49" t="str">
            <v>AUD_BBSW_6M_EOD</v>
          </cell>
          <cell r="F49">
            <v>0.88751324135301701</v>
          </cell>
        </row>
        <row r="50">
          <cell r="A50" t="str">
            <v>AUD_BBSW_6M_EOD</v>
          </cell>
          <cell r="F50">
            <v>0.83153623399174204</v>
          </cell>
        </row>
        <row r="51">
          <cell r="A51" t="str">
            <v>AUD_BBSW_6M_EOD</v>
          </cell>
          <cell r="F51">
            <v>0.74647277897790598</v>
          </cell>
        </row>
        <row r="52">
          <cell r="A52" t="str">
            <v>AUD_BBSW_6M_EOD</v>
          </cell>
          <cell r="F52">
            <v>0.69185625114906901</v>
          </cell>
        </row>
        <row r="53">
          <cell r="A53" t="str">
            <v>AUD_BBSW_6M_EOD</v>
          </cell>
          <cell r="F53">
            <v>0.61671823508538903</v>
          </cell>
        </row>
        <row r="54">
          <cell r="A54" t="str">
            <v>AUD_BBSW_6M_EOD</v>
          </cell>
          <cell r="F54">
            <v>0.51099773752709199</v>
          </cell>
        </row>
        <row r="55">
          <cell r="A55" t="str">
            <v>AUD_BBSW_6M_EOD</v>
          </cell>
          <cell r="F55">
            <v>0.42907136285519798</v>
          </cell>
        </row>
        <row r="56">
          <cell r="A56" t="str">
            <v>AUD_BBSW_6M_EOD</v>
          </cell>
          <cell r="F56">
            <v>0.36846034620812401</v>
          </cell>
        </row>
        <row r="57">
          <cell r="A57" t="str">
            <v>AUD_BBSW_6M_EOD</v>
          </cell>
          <cell r="F57">
            <v>0.27313184086961501</v>
          </cell>
        </row>
        <row r="58">
          <cell r="A58" t="str">
            <v>AUD_BBSW_EOD</v>
          </cell>
          <cell r="F58">
            <v>0.99994520848172697</v>
          </cell>
        </row>
        <row r="59">
          <cell r="A59" t="str">
            <v>AUD_BBSW_EOD</v>
          </cell>
          <cell r="F59">
            <v>0.99961486071818395</v>
          </cell>
        </row>
        <row r="60">
          <cell r="A60" t="str">
            <v>AUD_BBSW_EOD</v>
          </cell>
          <cell r="F60">
            <v>0.9982661621001</v>
          </cell>
        </row>
        <row r="61">
          <cell r="A61" t="str">
            <v>AUD_BBSW_EOD</v>
          </cell>
          <cell r="F61">
            <v>0.99253564189022003</v>
          </cell>
        </row>
        <row r="62">
          <cell r="A62" t="str">
            <v>AUD_BBSW_EOD</v>
          </cell>
          <cell r="F62">
            <v>0.98783595867488005</v>
          </cell>
        </row>
        <row r="63">
          <cell r="A63" t="str">
            <v>AUD_BBSW_EOD</v>
          </cell>
          <cell r="F63">
            <v>0.98333421700054402</v>
          </cell>
        </row>
        <row r="64">
          <cell r="A64" t="str">
            <v>AUD_BBSW_EOD</v>
          </cell>
          <cell r="F64">
            <v>0.97885906416105695</v>
          </cell>
        </row>
        <row r="65">
          <cell r="A65" t="str">
            <v>AUD_BBSW_EOD</v>
          </cell>
          <cell r="F65">
            <v>0.97431528862618699</v>
          </cell>
        </row>
        <row r="66">
          <cell r="A66" t="str">
            <v>AUD_BBSW_EOD</v>
          </cell>
          <cell r="F66">
            <v>0.96965736492816001</v>
          </cell>
        </row>
        <row r="67">
          <cell r="A67" t="str">
            <v>AUD_BBSW_EOD</v>
          </cell>
          <cell r="F67">
            <v>0.961558781410075</v>
          </cell>
        </row>
        <row r="68">
          <cell r="A68" t="str">
            <v>AUD_BBSW_EOD</v>
          </cell>
          <cell r="F68">
            <v>0.94067803812072703</v>
          </cell>
        </row>
        <row r="69">
          <cell r="A69" t="str">
            <v>AUD_BBSW_EOD</v>
          </cell>
          <cell r="F69">
            <v>0.91322869630773795</v>
          </cell>
        </row>
        <row r="70">
          <cell r="A70" t="str">
            <v>AUD_BBSW_EOD</v>
          </cell>
          <cell r="F70">
            <v>0.88725739108109702</v>
          </cell>
        </row>
        <row r="71">
          <cell r="A71" t="str">
            <v>AUD_BBSW_EOD</v>
          </cell>
          <cell r="F71">
            <v>0.83115909305424096</v>
          </cell>
        </row>
        <row r="72">
          <cell r="A72" t="str">
            <v>AUD_BBSW_EOD</v>
          </cell>
          <cell r="F72">
            <v>0.74589497782678305</v>
          </cell>
        </row>
        <row r="73">
          <cell r="A73" t="str">
            <v>AUD_BBSW_EOD</v>
          </cell>
          <cell r="F73">
            <v>0.69113996189700599</v>
          </cell>
        </row>
        <row r="74">
          <cell r="A74" t="str">
            <v>AUD_BBSW_EOD</v>
          </cell>
          <cell r="F74">
            <v>0.61584004427345895</v>
          </cell>
        </row>
        <row r="75">
          <cell r="A75" t="str">
            <v>AUD_BBSW_EOD</v>
          </cell>
          <cell r="F75">
            <v>0.509967473583399</v>
          </cell>
        </row>
        <row r="76">
          <cell r="A76" t="str">
            <v>AUD_BBSW_EOD</v>
          </cell>
          <cell r="F76">
            <v>0.42808695026395199</v>
          </cell>
        </row>
        <row r="77">
          <cell r="A77" t="str">
            <v>AUD_BBSW_EOD</v>
          </cell>
          <cell r="F77">
            <v>0.36775885252772</v>
          </cell>
        </row>
        <row r="78">
          <cell r="A78" t="str">
            <v>AUD_BBSW_EOD</v>
          </cell>
          <cell r="F78">
            <v>0.27290740899833699</v>
          </cell>
        </row>
        <row r="79">
          <cell r="A79" t="str">
            <v>CAD_CDOR_1M_EOD</v>
          </cell>
          <cell r="F79">
            <v>0.99930828701721897</v>
          </cell>
        </row>
        <row r="80">
          <cell r="A80" t="str">
            <v>CAD_CDOR_1M_EOD</v>
          </cell>
          <cell r="F80">
            <v>0.99862452467524598</v>
          </cell>
        </row>
        <row r="81">
          <cell r="A81" t="str">
            <v>CAD_CDOR_1M_EOD</v>
          </cell>
          <cell r="F81">
            <v>0.99802184931461402</v>
          </cell>
        </row>
        <row r="82">
          <cell r="A82" t="str">
            <v>CAD_CDOR_1M_EOD</v>
          </cell>
          <cell r="F82">
            <v>0.996267729303281</v>
          </cell>
        </row>
        <row r="83">
          <cell r="A83" t="str">
            <v>CAD_CDOR_1M_EOD</v>
          </cell>
          <cell r="F83">
            <v>0.99451252349766495</v>
          </cell>
        </row>
        <row r="84">
          <cell r="A84" t="str">
            <v>CAD_CDOR_1M_EOD</v>
          </cell>
          <cell r="F84">
            <v>0.99269929078554997</v>
          </cell>
        </row>
        <row r="85">
          <cell r="A85" t="str">
            <v>CAD_CDOR_1M_EOD</v>
          </cell>
          <cell r="F85">
            <v>0.98539530877632198</v>
          </cell>
        </row>
        <row r="86">
          <cell r="A86" t="str">
            <v>CAD_CDOR_1M_EOD</v>
          </cell>
          <cell r="F86">
            <v>0.97600304341355404</v>
          </cell>
        </row>
        <row r="87">
          <cell r="A87" t="str">
            <v>CAD_CDOR_1M_EOD</v>
          </cell>
          <cell r="F87">
            <v>0.964554988152863</v>
          </cell>
        </row>
        <row r="88">
          <cell r="A88" t="str">
            <v>CAD_CDOR_1M_EOD</v>
          </cell>
          <cell r="F88">
            <v>0.94984912464181004</v>
          </cell>
        </row>
        <row r="89">
          <cell r="A89" t="str">
            <v>CAD_CDOR_1M_EOD</v>
          </cell>
          <cell r="F89">
            <v>0.93114374799518296</v>
          </cell>
        </row>
        <row r="90">
          <cell r="A90" t="str">
            <v>CAD_CDOR_1M_EOD</v>
          </cell>
          <cell r="F90">
            <v>0.90969992782110698</v>
          </cell>
        </row>
        <row r="91">
          <cell r="A91" t="str">
            <v>CAD_CDOR_1M_EOD</v>
          </cell>
          <cell r="F91">
            <v>0.88625646939479197</v>
          </cell>
        </row>
        <row r="92">
          <cell r="A92" t="str">
            <v>CAD_CDOR_1M_EOD</v>
          </cell>
          <cell r="F92">
            <v>0.86152244679906298</v>
          </cell>
        </row>
        <row r="93">
          <cell r="A93" t="str">
            <v>CAD_CDOR_1M_EOD</v>
          </cell>
          <cell r="F93">
            <v>0.83651420519535902</v>
          </cell>
        </row>
        <row r="94">
          <cell r="A94" t="str">
            <v>CAD_CDOR_1M_EOD</v>
          </cell>
          <cell r="F94">
            <v>0.78472894744973298</v>
          </cell>
        </row>
        <row r="95">
          <cell r="A95" t="str">
            <v>CAD_CDOR_1M_EOD</v>
          </cell>
          <cell r="F95">
            <v>0.71172701802829397</v>
          </cell>
        </row>
        <row r="96">
          <cell r="A96" t="str">
            <v>CAD_CDOR_1M_EOD</v>
          </cell>
          <cell r="F96">
            <v>0.61512669256922603</v>
          </cell>
        </row>
        <row r="97">
          <cell r="A97" t="str">
            <v>CAD_CDOR_1M_EOD</v>
          </cell>
          <cell r="F97">
            <v>0.54201596386617501</v>
          </cell>
        </row>
        <row r="98">
          <cell r="A98" t="str">
            <v>CAD_CDOR_1M_EOD</v>
          </cell>
          <cell r="F98">
            <v>0.47769347445851001</v>
          </cell>
        </row>
        <row r="99">
          <cell r="A99" t="str">
            <v>CAD_CDOR_3M_EOD</v>
          </cell>
          <cell r="F99">
            <v>0.99794996470264696</v>
          </cell>
        </row>
        <row r="100">
          <cell r="A100" t="str">
            <v>CAD_CDOR_3M_EOD</v>
          </cell>
          <cell r="F100">
            <v>0.99697892938059396</v>
          </cell>
        </row>
        <row r="101">
          <cell r="A101" t="str">
            <v>CAD_CDOR_3M_EOD</v>
          </cell>
          <cell r="F101">
            <v>0.99515659785780897</v>
          </cell>
        </row>
        <row r="102">
          <cell r="A102" t="str">
            <v>CAD_CDOR_3M_EOD</v>
          </cell>
          <cell r="F102">
            <v>0.99326595704750198</v>
          </cell>
        </row>
        <row r="103">
          <cell r="A103" t="str">
            <v>CAD_CDOR_3M_EOD</v>
          </cell>
          <cell r="F103">
            <v>0.99147852228390598</v>
          </cell>
        </row>
        <row r="104">
          <cell r="A104" t="str">
            <v>CAD_CDOR_3M_EOD</v>
          </cell>
          <cell r="F104">
            <v>0.98461205695968101</v>
          </cell>
        </row>
        <row r="105">
          <cell r="A105" t="str">
            <v>CAD_CDOR_3M_EOD</v>
          </cell>
          <cell r="F105">
            <v>0.97458896863767297</v>
          </cell>
        </row>
        <row r="106">
          <cell r="A106" t="str">
            <v>CAD_CDOR_3M_EOD</v>
          </cell>
          <cell r="F106">
            <v>0.96232868949833505</v>
          </cell>
        </row>
        <row r="107">
          <cell r="A107" t="str">
            <v>CAD_CDOR_3M_EOD</v>
          </cell>
          <cell r="F107">
            <v>0.946693119471817</v>
          </cell>
        </row>
        <row r="108">
          <cell r="A108" t="str">
            <v>CAD_CDOR_3M_EOD</v>
          </cell>
          <cell r="F108">
            <v>0.92757621024121895</v>
          </cell>
        </row>
        <row r="109">
          <cell r="A109" t="str">
            <v>CAD_CDOR_3M_EOD</v>
          </cell>
          <cell r="F109">
            <v>0.90561808906639696</v>
          </cell>
        </row>
        <row r="110">
          <cell r="A110" t="str">
            <v>CAD_CDOR_3M_EOD</v>
          </cell>
          <cell r="F110">
            <v>0.88195456004557804</v>
          </cell>
        </row>
        <row r="111">
          <cell r="A111" t="str">
            <v>CAD_CDOR_3M_EOD</v>
          </cell>
          <cell r="F111">
            <v>0.85716132805940104</v>
          </cell>
        </row>
        <row r="112">
          <cell r="A112" t="str">
            <v>CAD_CDOR_3M_EOD</v>
          </cell>
          <cell r="F112">
            <v>0.83220283617947399</v>
          </cell>
        </row>
        <row r="113">
          <cell r="A113" t="str">
            <v>CAD_CDOR_3M_EOD</v>
          </cell>
          <cell r="F113">
            <v>0.78031060487503801</v>
          </cell>
        </row>
        <row r="114">
          <cell r="A114" t="str">
            <v>CAD_CDOR_3M_EOD</v>
          </cell>
          <cell r="F114">
            <v>0.70743967557402598</v>
          </cell>
        </row>
        <row r="115">
          <cell r="A115" t="str">
            <v>CAD_CDOR_3M_EOD</v>
          </cell>
          <cell r="F115">
            <v>0.61136743285307404</v>
          </cell>
        </row>
        <row r="116">
          <cell r="A116" t="str">
            <v>CAD_CDOR_3M_EOD</v>
          </cell>
          <cell r="F116">
            <v>0.53809296420976904</v>
          </cell>
        </row>
        <row r="117">
          <cell r="A117" t="str">
            <v>CAD_CDOR_3M_EOD</v>
          </cell>
          <cell r="F117">
            <v>0.475651273732696</v>
          </cell>
        </row>
        <row r="118">
          <cell r="A118" t="str">
            <v>CAD_CDOR_EOD</v>
          </cell>
          <cell r="F118">
            <v>0.99998603581143997</v>
          </cell>
        </row>
        <row r="119">
          <cell r="A119" t="str">
            <v>CAD_CDOR_EOD</v>
          </cell>
          <cell r="F119">
            <v>0.99989055115844205</v>
          </cell>
        </row>
        <row r="120">
          <cell r="A120" t="str">
            <v>CAD_CDOR_EOD</v>
          </cell>
          <cell r="F120">
            <v>0.99930828701721897</v>
          </cell>
        </row>
        <row r="121">
          <cell r="A121" t="str">
            <v>CAD_CDOR_EOD</v>
          </cell>
          <cell r="F121">
            <v>0.996920933427213</v>
          </cell>
        </row>
        <row r="122">
          <cell r="A122" t="str">
            <v>CAD_CDOR_EOD</v>
          </cell>
          <cell r="F122">
            <v>0.99509870791253996</v>
          </cell>
        </row>
        <row r="123">
          <cell r="A123" t="str">
            <v>CAD_CDOR_EOD</v>
          </cell>
          <cell r="F123">
            <v>0.99320817708400999</v>
          </cell>
        </row>
        <row r="124">
          <cell r="A124" t="str">
            <v>CAD_CDOR_EOD</v>
          </cell>
          <cell r="F124">
            <v>0.99142084629852401</v>
          </cell>
        </row>
        <row r="125">
          <cell r="A125" t="str">
            <v>CAD_CDOR_EOD</v>
          </cell>
          <cell r="F125">
            <v>0.98461177990768001</v>
          </cell>
        </row>
        <row r="126">
          <cell r="A126" t="str">
            <v>CAD_CDOR_EOD</v>
          </cell>
          <cell r="F126">
            <v>0.97457934253667899</v>
          </cell>
        </row>
        <row r="127">
          <cell r="A127" t="str">
            <v>CAD_CDOR_EOD</v>
          </cell>
          <cell r="F127">
            <v>0.96229992627945504</v>
          </cell>
        </row>
        <row r="128">
          <cell r="A128" t="str">
            <v>CAD_CDOR_EOD</v>
          </cell>
          <cell r="F128">
            <v>0.94662600945617803</v>
          </cell>
        </row>
        <row r="129">
          <cell r="A129" t="str">
            <v>CAD_CDOR_EOD</v>
          </cell>
          <cell r="F129">
            <v>0.92744727147619799</v>
          </cell>
        </row>
        <row r="130">
          <cell r="A130" t="str">
            <v>CAD_CDOR_EOD</v>
          </cell>
          <cell r="F130">
            <v>0.90540161284221699</v>
          </cell>
        </row>
        <row r="131">
          <cell r="A131" t="str">
            <v>CAD_CDOR_EOD</v>
          </cell>
          <cell r="F131">
            <v>0.88162888584433496</v>
          </cell>
        </row>
        <row r="132">
          <cell r="A132" t="str">
            <v>CAD_CDOR_EOD</v>
          </cell>
          <cell r="F132">
            <v>0.85670882049376396</v>
          </cell>
        </row>
        <row r="133">
          <cell r="A133" t="str">
            <v>CAD_CDOR_EOD</v>
          </cell>
          <cell r="F133">
            <v>0.83161889639571596</v>
          </cell>
        </row>
        <row r="134">
          <cell r="A134" t="str">
            <v>CAD_CDOR_EOD</v>
          </cell>
          <cell r="F134">
            <v>0.779430774496918</v>
          </cell>
        </row>
        <row r="135">
          <cell r="A135" t="str">
            <v>CAD_CDOR_EOD</v>
          </cell>
          <cell r="F135">
            <v>0.70615244451805004</v>
          </cell>
        </row>
        <row r="136">
          <cell r="A136" t="str">
            <v>CAD_CDOR_EOD</v>
          </cell>
          <cell r="F136">
            <v>0.60976451731417802</v>
          </cell>
        </row>
        <row r="137">
          <cell r="A137" t="str">
            <v>CAD_CDOR_EOD</v>
          </cell>
          <cell r="F137">
            <v>0.53653297759752305</v>
          </cell>
        </row>
        <row r="138">
          <cell r="A138" t="str">
            <v>CAD_CDOR_EOD</v>
          </cell>
          <cell r="F138">
            <v>0.47420361569742397</v>
          </cell>
        </row>
        <row r="139">
          <cell r="A139" t="str">
            <v>CAD_CORRA_EOD</v>
          </cell>
          <cell r="F139">
            <v>0.99998603581143997</v>
          </cell>
        </row>
        <row r="140">
          <cell r="A140" t="str">
            <v>CAD_CORRA_EOD</v>
          </cell>
          <cell r="F140">
            <v>0.99989015593347297</v>
          </cell>
        </row>
        <row r="141">
          <cell r="A141" t="str">
            <v>CAD_CORRA_EOD</v>
          </cell>
          <cell r="F141">
            <v>0.99953419158784496</v>
          </cell>
        </row>
        <row r="142">
          <cell r="A142" t="str">
            <v>CAD_CORRA_EOD</v>
          </cell>
          <cell r="F142">
            <v>0.99914706251693497</v>
          </cell>
        </row>
        <row r="143">
          <cell r="A143" t="str">
            <v>CAD_CORRA_EOD</v>
          </cell>
          <cell r="F143">
            <v>0.99875250805628402</v>
          </cell>
        </row>
        <row r="144">
          <cell r="A144" t="str">
            <v>CAD_CORRA_EOD</v>
          </cell>
          <cell r="F144">
            <v>0.99834617699785799</v>
          </cell>
        </row>
        <row r="145">
          <cell r="A145" t="str">
            <v>CAD_CORRA_EOD</v>
          </cell>
          <cell r="F145">
            <v>0.99799736883527201</v>
          </cell>
        </row>
        <row r="146">
          <cell r="A146" t="str">
            <v>CAD_CORRA_EOD</v>
          </cell>
          <cell r="F146">
            <v>0.99762685329355205</v>
          </cell>
        </row>
        <row r="147">
          <cell r="A147" t="str">
            <v>CAD_CORRA_EOD</v>
          </cell>
          <cell r="F147">
            <v>0.99725744381772796</v>
          </cell>
        </row>
        <row r="148">
          <cell r="A148" t="str">
            <v>CAD_CORRA_EOD</v>
          </cell>
          <cell r="F148">
            <v>0.99693040315602399</v>
          </cell>
        </row>
        <row r="149">
          <cell r="A149" t="str">
            <v>CAD_CORRA_EOD</v>
          </cell>
          <cell r="F149">
            <v>0.99658954941175104</v>
          </cell>
        </row>
        <row r="150">
          <cell r="A150" t="str">
            <v>CAD_CORRA_EOD</v>
          </cell>
          <cell r="F150">
            <v>0.99622350433901097</v>
          </cell>
        </row>
        <row r="151">
          <cell r="A151" t="str">
            <v>CAD_CORRA_EOD</v>
          </cell>
          <cell r="F151">
            <v>0.99587897634428502</v>
          </cell>
        </row>
        <row r="152">
          <cell r="A152" t="str">
            <v>CAD_CORRA_EOD</v>
          </cell>
          <cell r="F152">
            <v>0.995538759609505</v>
          </cell>
        </row>
        <row r="153">
          <cell r="A153" t="str">
            <v>CAD_CORRA_EOD</v>
          </cell>
          <cell r="F153">
            <v>0.99325377335667597</v>
          </cell>
        </row>
        <row r="154">
          <cell r="A154" t="str">
            <v>CAD_CORRA_EOD</v>
          </cell>
          <cell r="F154">
            <v>0.99046227974371104</v>
          </cell>
        </row>
        <row r="155">
          <cell r="A155" t="str">
            <v>CAD_CORRA_EOD</v>
          </cell>
          <cell r="F155">
            <v>0.98299633994555602</v>
          </cell>
        </row>
        <row r="156">
          <cell r="A156" t="str">
            <v>CAD_CORRA_EOD</v>
          </cell>
          <cell r="F156">
            <v>0.97334522714545102</v>
          </cell>
        </row>
        <row r="157">
          <cell r="A157" t="str">
            <v>CAD_CORRA_EOD</v>
          </cell>
          <cell r="F157">
            <v>0.96024816140798697</v>
          </cell>
        </row>
        <row r="158">
          <cell r="A158" t="str">
            <v>CAD_CORRA_EOD</v>
          </cell>
          <cell r="F158">
            <v>0.92366041809847199</v>
          </cell>
        </row>
        <row r="159">
          <cell r="A159" t="str">
            <v>CAD_CORRA_EOD</v>
          </cell>
          <cell r="F159">
            <v>0.85581421747306297</v>
          </cell>
        </row>
        <row r="160">
          <cell r="A160" t="str">
            <v>CAD_CORRA_EOD</v>
          </cell>
          <cell r="F160">
            <v>0.80666202008909305</v>
          </cell>
        </row>
        <row r="161">
          <cell r="A161" t="str">
            <v>CAD_CORRA_EOD</v>
          </cell>
          <cell r="F161">
            <v>0.73729341539066895</v>
          </cell>
        </row>
        <row r="162">
          <cell r="A162" t="str">
            <v>CAD_CORRA_EOD</v>
          </cell>
          <cell r="F162">
            <v>0.64579308295003301</v>
          </cell>
        </row>
        <row r="163">
          <cell r="A163" t="str">
            <v>CAD_CORRA_EOD</v>
          </cell>
          <cell r="F163">
            <v>0.51602393737760999</v>
          </cell>
        </row>
        <row r="164">
          <cell r="A164" t="str">
            <v>CHF_LIBOR_12M_EOD</v>
          </cell>
          <cell r="F164">
            <v>1.00621523161126</v>
          </cell>
        </row>
        <row r="165">
          <cell r="A165" t="str">
            <v>CHF_LIBOR_12M_EOD</v>
          </cell>
          <cell r="F165">
            <v>1.01374990444361</v>
          </cell>
        </row>
        <row r="166">
          <cell r="A166" t="str">
            <v>CHF_LIBOR_12M_EOD</v>
          </cell>
          <cell r="F166">
            <v>1.0195488649203399</v>
          </cell>
        </row>
        <row r="167">
          <cell r="A167" t="str">
            <v>CHF_LIBOR_12M_EOD</v>
          </cell>
          <cell r="F167">
            <v>1.02244321167056</v>
          </cell>
        </row>
        <row r="168">
          <cell r="A168" t="str">
            <v>CHF_LIBOR_12M_EOD</v>
          </cell>
          <cell r="F168">
            <v>1.0221901786602301</v>
          </cell>
        </row>
        <row r="169">
          <cell r="A169" t="str">
            <v>CHF_LIBOR_12M_EOD</v>
          </cell>
          <cell r="F169">
            <v>1.01799637405883</v>
          </cell>
        </row>
        <row r="170">
          <cell r="A170" t="str">
            <v>CHF_LIBOR_12M_EOD</v>
          </cell>
          <cell r="F170">
            <v>1.0114801405523399</v>
          </cell>
        </row>
        <row r="171">
          <cell r="A171" t="str">
            <v>CHF_LIBOR_12M_EOD</v>
          </cell>
          <cell r="F171">
            <v>1.00328246675691</v>
          </cell>
        </row>
        <row r="172">
          <cell r="A172" t="str">
            <v>CHF_LIBOR_12M_EOD</v>
          </cell>
          <cell r="F172">
            <v>0.99393641411372402</v>
          </cell>
        </row>
        <row r="173">
          <cell r="A173" t="str">
            <v>CHF_LIBOR_12M_EOD</v>
          </cell>
          <cell r="F173">
            <v>0.98438298341020103</v>
          </cell>
        </row>
        <row r="174">
          <cell r="A174" t="str">
            <v>CHF_LIBOR_12M_EOD</v>
          </cell>
          <cell r="F174">
            <v>0.96317201570514399</v>
          </cell>
        </row>
        <row r="175">
          <cell r="A175" t="str">
            <v>CHF_LIBOR_12M_EOD</v>
          </cell>
          <cell r="F175">
            <v>0.93009913517817999</v>
          </cell>
        </row>
        <row r="176">
          <cell r="A176" t="str">
            <v>CHF_LIBOR_12M_EOD</v>
          </cell>
          <cell r="F176">
            <v>0.87339504606331198</v>
          </cell>
        </row>
        <row r="177">
          <cell r="A177" t="str">
            <v>CHF_LIBOR_12M_EOD</v>
          </cell>
          <cell r="F177">
            <v>0.82187764132339602</v>
          </cell>
        </row>
        <row r="178">
          <cell r="A178" t="str">
            <v>CHF_LIBOR_12M_EOD</v>
          </cell>
          <cell r="F178">
            <v>0.78015358487842501</v>
          </cell>
        </row>
        <row r="179">
          <cell r="A179" t="str">
            <v>CHF_LIBOR_12M_EOD</v>
          </cell>
          <cell r="F179">
            <v>0.69395678159869001</v>
          </cell>
        </row>
        <row r="180">
          <cell r="A180" t="str">
            <v>CHF_LIBOR_3M_EOD</v>
          </cell>
          <cell r="F180">
            <v>1.0019123334801701</v>
          </cell>
        </row>
        <row r="181">
          <cell r="A181" t="str">
            <v>CHF_LIBOR_3M_EOD</v>
          </cell>
          <cell r="F181">
            <v>1.00317267894411</v>
          </cell>
        </row>
        <row r="182">
          <cell r="A182" t="str">
            <v>CHF_LIBOR_3M_EOD</v>
          </cell>
          <cell r="F182">
            <v>1.0055633112738001</v>
          </cell>
        </row>
        <row r="183">
          <cell r="A183" t="str">
            <v>CHF_LIBOR_3M_EOD</v>
          </cell>
          <cell r="F183">
            <v>1.00828370468405</v>
          </cell>
        </row>
        <row r="184">
          <cell r="A184" t="str">
            <v>CHF_LIBOR_3M_EOD</v>
          </cell>
          <cell r="F184">
            <v>1.0108440040723801</v>
          </cell>
        </row>
        <row r="185">
          <cell r="A185" t="str">
            <v>CHF_LIBOR_3M_EOD</v>
          </cell>
          <cell r="F185">
            <v>1.01925004595337</v>
          </cell>
        </row>
        <row r="186">
          <cell r="A186" t="str">
            <v>CHF_LIBOR_3M_EOD</v>
          </cell>
          <cell r="F186">
            <v>1.02783200379408</v>
          </cell>
        </row>
        <row r="187">
          <cell r="A187" t="str">
            <v>CHF_LIBOR_3M_EOD</v>
          </cell>
          <cell r="F187">
            <v>1.0336257873013699</v>
          </cell>
        </row>
        <row r="188">
          <cell r="A188" t="str">
            <v>CHF_LIBOR_3M_EOD</v>
          </cell>
          <cell r="F188">
            <v>1.0362959764997099</v>
          </cell>
        </row>
        <row r="189">
          <cell r="A189" t="str">
            <v>CHF_LIBOR_3M_EOD</v>
          </cell>
          <cell r="F189">
            <v>1.03485260421678</v>
          </cell>
        </row>
        <row r="190">
          <cell r="A190" t="str">
            <v>CHF_LIBOR_3M_EOD</v>
          </cell>
          <cell r="F190">
            <v>1.03085572676948</v>
          </cell>
        </row>
        <row r="191">
          <cell r="A191" t="str">
            <v>CHF_LIBOR_3M_EOD</v>
          </cell>
          <cell r="F191">
            <v>1.02503823131968</v>
          </cell>
        </row>
        <row r="192">
          <cell r="A192" t="str">
            <v>CHF_LIBOR_3M_EOD</v>
          </cell>
          <cell r="F192">
            <v>1.01794961342488</v>
          </cell>
        </row>
        <row r="193">
          <cell r="A193" t="str">
            <v>CHF_LIBOR_3M_EOD</v>
          </cell>
          <cell r="F193">
            <v>1.0103091991630699</v>
          </cell>
        </row>
        <row r="194">
          <cell r="A194" t="str">
            <v>CHF_LIBOR_3M_EOD</v>
          </cell>
          <cell r="F194">
            <v>0.99243340028194504</v>
          </cell>
        </row>
        <row r="195">
          <cell r="A195" t="str">
            <v>CHF_LIBOR_3M_EOD</v>
          </cell>
          <cell r="F195">
            <v>0.96251257809092605</v>
          </cell>
        </row>
        <row r="196">
          <cell r="A196" t="str">
            <v>CHF_LIBOR_3M_EOD</v>
          </cell>
          <cell r="F196">
            <v>0.91034720484401499</v>
          </cell>
        </row>
        <row r="197">
          <cell r="A197" t="str">
            <v>CHF_LIBOR_3M_EOD</v>
          </cell>
          <cell r="F197">
            <v>0.862653964409964</v>
          </cell>
        </row>
        <row r="198">
          <cell r="A198" t="str">
            <v>CHF_LIBOR_3M_EOD</v>
          </cell>
          <cell r="F198">
            <v>0.82417542123789</v>
          </cell>
        </row>
        <row r="199">
          <cell r="A199" t="str">
            <v>CHF_LIBOR_3M_EOD</v>
          </cell>
          <cell r="F199">
            <v>0.77443571028652702</v>
          </cell>
        </row>
        <row r="200">
          <cell r="A200" t="str">
            <v>CHF_LIBOR_6M_EOD</v>
          </cell>
          <cell r="F200">
            <v>1.0035635578359301</v>
          </cell>
        </row>
        <row r="201">
          <cell r="A201" t="str">
            <v>CHF_LIBOR_6M_EOD</v>
          </cell>
          <cell r="F201">
            <v>1.00803066673626</v>
          </cell>
        </row>
        <row r="202">
          <cell r="A202" t="str">
            <v>CHF_LIBOR_6M_EOD</v>
          </cell>
          <cell r="F202">
            <v>1.01240816214366</v>
          </cell>
        </row>
        <row r="203">
          <cell r="A203" t="str">
            <v>CHF_LIBOR_6M_EOD</v>
          </cell>
          <cell r="F203">
            <v>1.0167818783176601</v>
          </cell>
        </row>
        <row r="204">
          <cell r="A204" t="str">
            <v>CHF_LIBOR_6M_EOD</v>
          </cell>
          <cell r="F204">
            <v>1.02380498610391</v>
          </cell>
        </row>
        <row r="205">
          <cell r="A205" t="str">
            <v>CHF_LIBOR_6M_EOD</v>
          </cell>
          <cell r="F205">
            <v>1.0279268620950801</v>
          </cell>
        </row>
        <row r="206">
          <cell r="A206" t="str">
            <v>CHF_LIBOR_6M_EOD</v>
          </cell>
          <cell r="F206">
            <v>1.02865410608011</v>
          </cell>
        </row>
        <row r="207">
          <cell r="A207" t="str">
            <v>CHF_LIBOR_6M_EOD</v>
          </cell>
          <cell r="F207">
            <v>1.0255572687006</v>
          </cell>
        </row>
        <row r="208">
          <cell r="A208" t="str">
            <v>CHF_LIBOR_6M_EOD</v>
          </cell>
          <cell r="F208">
            <v>1.0198844200800401</v>
          </cell>
        </row>
        <row r="209">
          <cell r="A209" t="str">
            <v>CHF_LIBOR_6M_EOD</v>
          </cell>
          <cell r="F209">
            <v>1.0127935953742899</v>
          </cell>
        </row>
        <row r="210">
          <cell r="A210" t="str">
            <v>CHF_LIBOR_6M_EOD</v>
          </cell>
          <cell r="F210">
            <v>1.00452165715474</v>
          </cell>
        </row>
        <row r="211">
          <cell r="A211" t="str">
            <v>CHF_LIBOR_6M_EOD</v>
          </cell>
          <cell r="F211">
            <v>0.99577232648481995</v>
          </cell>
        </row>
        <row r="212">
          <cell r="A212" t="str">
            <v>CHF_LIBOR_6M_EOD</v>
          </cell>
          <cell r="F212">
            <v>0.97653113244720902</v>
          </cell>
        </row>
        <row r="213">
          <cell r="A213" t="str">
            <v>CHF_LIBOR_6M_EOD</v>
          </cell>
          <cell r="F213">
            <v>0.94584581292384295</v>
          </cell>
        </row>
        <row r="214">
          <cell r="A214" t="str">
            <v>CHF_LIBOR_6M_EOD</v>
          </cell>
          <cell r="F214">
            <v>0.89313117252046204</v>
          </cell>
        </row>
        <row r="215">
          <cell r="A215" t="str">
            <v>CHF_LIBOR_6M_EOD</v>
          </cell>
          <cell r="F215">
            <v>0.844547790798999</v>
          </cell>
        </row>
        <row r="216">
          <cell r="A216" t="str">
            <v>CHF_LIBOR_6M_EOD</v>
          </cell>
          <cell r="F216">
            <v>0.80539449232045901</v>
          </cell>
        </row>
        <row r="217">
          <cell r="A217" t="str">
            <v>CHF_LIBOR_6M_EOD</v>
          </cell>
          <cell r="F217">
            <v>0.75077092369855403</v>
          </cell>
        </row>
        <row r="218">
          <cell r="A218" t="str">
            <v>CHF_LIBOR_EOD</v>
          </cell>
          <cell r="F218">
            <v>1.0000215004622599</v>
          </cell>
        </row>
        <row r="219">
          <cell r="A219" t="str">
            <v>CHF_LIBOR_EOD</v>
          </cell>
          <cell r="F219">
            <v>1.00004300138679</v>
          </cell>
        </row>
        <row r="220">
          <cell r="A220" t="str">
            <v>CHF_LIBOR_EOD</v>
          </cell>
          <cell r="F220">
            <v>1.0001978097811299</v>
          </cell>
        </row>
        <row r="221">
          <cell r="A221" t="str">
            <v>CHF_LIBOR_EOD</v>
          </cell>
          <cell r="F221">
            <v>1.000731504662</v>
          </cell>
        </row>
        <row r="222">
          <cell r="A222" t="str">
            <v>CHF_LIBOR_EOD</v>
          </cell>
          <cell r="F222">
            <v>1.00323293954263</v>
          </cell>
        </row>
        <row r="223">
          <cell r="A223" t="str">
            <v>CHF_LIBOR_EOD</v>
          </cell>
          <cell r="F223">
            <v>1.00562371547764</v>
          </cell>
        </row>
        <row r="224">
          <cell r="A224" t="str">
            <v>CHF_LIBOR_EOD</v>
          </cell>
          <cell r="F224">
            <v>1.00834427230195</v>
          </cell>
        </row>
        <row r="225">
          <cell r="A225" t="str">
            <v>CHF_LIBOR_EOD</v>
          </cell>
          <cell r="F225">
            <v>1.0109047254874901</v>
          </cell>
        </row>
        <row r="226">
          <cell r="A226" t="str">
            <v>CHF_LIBOR_EOD</v>
          </cell>
          <cell r="F226">
            <v>1.0167980862829</v>
          </cell>
        </row>
        <row r="227">
          <cell r="A227" t="str">
            <v>CHF_LIBOR_EOD</v>
          </cell>
          <cell r="F227">
            <v>1.02381728801977</v>
          </cell>
        </row>
        <row r="228">
          <cell r="A228" t="str">
            <v>CHF_LIBOR_EOD</v>
          </cell>
          <cell r="F228">
            <v>1.02793022389179</v>
          </cell>
        </row>
        <row r="229">
          <cell r="A229" t="str">
            <v>CHF_LIBOR_EOD</v>
          </cell>
          <cell r="F229">
            <v>1.02863673215289</v>
          </cell>
        </row>
        <row r="230">
          <cell r="A230" t="str">
            <v>CHF_LIBOR_EOD</v>
          </cell>
          <cell r="F230">
            <v>1.0255030351280801</v>
          </cell>
        </row>
        <row r="231">
          <cell r="A231" t="str">
            <v>CHF_LIBOR_EOD</v>
          </cell>
          <cell r="F231">
            <v>1.0197788322769701</v>
          </cell>
        </row>
        <row r="232">
          <cell r="A232" t="str">
            <v>CHF_LIBOR_EOD</v>
          </cell>
          <cell r="F232">
            <v>1.0126274082665701</v>
          </cell>
        </row>
        <row r="233">
          <cell r="A233" t="str">
            <v>CHF_LIBOR_EOD</v>
          </cell>
          <cell r="F233">
            <v>1.0042862150826299</v>
          </cell>
        </row>
        <row r="234">
          <cell r="A234" t="str">
            <v>CHF_LIBOR_EOD</v>
          </cell>
          <cell r="F234">
            <v>0.99546650921303903</v>
          </cell>
        </row>
        <row r="235">
          <cell r="A235" t="str">
            <v>CHF_LIBOR_EOD</v>
          </cell>
          <cell r="F235">
            <v>0.976082152990429</v>
          </cell>
        </row>
        <row r="236">
          <cell r="A236" t="str">
            <v>CHF_LIBOR_EOD</v>
          </cell>
          <cell r="F236">
            <v>0.94517245260857496</v>
          </cell>
        </row>
        <row r="237">
          <cell r="A237" t="str">
            <v>CHF_LIBOR_EOD</v>
          </cell>
          <cell r="F237">
            <v>0.89212684448639701</v>
          </cell>
        </row>
        <row r="238">
          <cell r="A238" t="str">
            <v>CHF_LIBOR_EOD</v>
          </cell>
          <cell r="F238">
            <v>0.84333404549612401</v>
          </cell>
        </row>
        <row r="239">
          <cell r="A239" t="str">
            <v>CHF_LIBOR_EOD</v>
          </cell>
          <cell r="F239">
            <v>0.80408562663345595</v>
          </cell>
        </row>
        <row r="240">
          <cell r="A240" t="str">
            <v>CHF_LIBOR_EOD</v>
          </cell>
          <cell r="F240">
            <v>0.74957600318406203</v>
          </cell>
        </row>
        <row r="241">
          <cell r="A241" t="str">
            <v>CHF_TOIS_EOD</v>
          </cell>
          <cell r="F241">
            <v>1.0000147918854601</v>
          </cell>
        </row>
        <row r="242">
          <cell r="A242" t="str">
            <v>CHF_TOIS_EOD</v>
          </cell>
          <cell r="F242">
            <v>1.00002958398973</v>
          </cell>
        </row>
        <row r="243">
          <cell r="A243" t="str">
            <v>CHF_TOIS_EOD</v>
          </cell>
          <cell r="F243">
            <v>1.0005160571303899</v>
          </cell>
        </row>
        <row r="244">
          <cell r="A244" t="str">
            <v>CHF_TOIS_EOD</v>
          </cell>
          <cell r="F244">
            <v>1.0009963796597501</v>
          </cell>
        </row>
        <row r="245">
          <cell r="A245" t="str">
            <v>CHF_TOIS_EOD</v>
          </cell>
          <cell r="F245">
            <v>1.0016033439702601</v>
          </cell>
        </row>
        <row r="246">
          <cell r="A246" t="str">
            <v>CHF_TOIS_EOD</v>
          </cell>
          <cell r="F246">
            <v>1.0021696337284201</v>
          </cell>
        </row>
        <row r="247">
          <cell r="A247" t="str">
            <v>CHF_TOIS_EOD</v>
          </cell>
          <cell r="F247">
            <v>1.0027802473475</v>
          </cell>
        </row>
        <row r="248">
          <cell r="A248" t="str">
            <v>CHF_TOIS_EOD</v>
          </cell>
          <cell r="F248">
            <v>1.00346592517559</v>
          </cell>
        </row>
        <row r="249">
          <cell r="A249" t="str">
            <v>CHF_TOIS_EOD</v>
          </cell>
          <cell r="F249">
            <v>1.0040883321590499</v>
          </cell>
        </row>
        <row r="250">
          <cell r="A250" t="str">
            <v>CHF_TOIS_EOD</v>
          </cell>
          <cell r="F250">
            <v>1.00476257391429</v>
          </cell>
        </row>
        <row r="251">
          <cell r="A251" t="str">
            <v>CHF_TOIS_EOD</v>
          </cell>
          <cell r="F251">
            <v>1.0054963372344301</v>
          </cell>
        </row>
        <row r="252">
          <cell r="A252" t="str">
            <v>CHF_TOIS_EOD</v>
          </cell>
          <cell r="F252">
            <v>1.0062501197400999</v>
          </cell>
        </row>
        <row r="253">
          <cell r="A253" t="str">
            <v>CHF_TOIS_EOD</v>
          </cell>
          <cell r="F253">
            <v>1.0068898602374801</v>
          </cell>
        </row>
        <row r="254">
          <cell r="A254" t="str">
            <v>CHF_TOIS_EOD</v>
          </cell>
          <cell r="F254">
            <v>1.00814203574187</v>
          </cell>
        </row>
        <row r="255">
          <cell r="A255" t="str">
            <v>CHF_TOIS_EOD</v>
          </cell>
          <cell r="F255">
            <v>1.0098633906449801</v>
          </cell>
        </row>
        <row r="256">
          <cell r="A256" t="str">
            <v>CHF_TOIS_EOD</v>
          </cell>
          <cell r="F256">
            <v>1.0119895506390899</v>
          </cell>
        </row>
        <row r="257">
          <cell r="A257" t="str">
            <v>CHF_TOIS_EOD</v>
          </cell>
          <cell r="F257">
            <v>1.01392636485374</v>
          </cell>
        </row>
        <row r="258">
          <cell r="A258" t="str">
            <v>CHF_TOIS_EOD</v>
          </cell>
          <cell r="F258">
            <v>1.01628877993946</v>
          </cell>
        </row>
        <row r="259">
          <cell r="A259" t="str">
            <v>CHF_TOIS_EOD</v>
          </cell>
          <cell r="F259">
            <v>1.0240042722849001</v>
          </cell>
        </row>
        <row r="260">
          <cell r="A260" t="str">
            <v>CHF_TOIS_EOD</v>
          </cell>
          <cell r="F260">
            <v>1.02971633387737</v>
          </cell>
        </row>
        <row r="261">
          <cell r="A261" t="str">
            <v>CHF_TOIS_EOD</v>
          </cell>
          <cell r="F261">
            <v>1.03271050933752</v>
          </cell>
        </row>
        <row r="262">
          <cell r="A262" t="str">
            <v>CHF_TOIS_EOD</v>
          </cell>
          <cell r="F262">
            <v>1.0316642992876499</v>
          </cell>
        </row>
        <row r="263">
          <cell r="A263" t="str">
            <v>CHF_TOIS_EOD</v>
          </cell>
          <cell r="F263">
            <v>1.02806333934644</v>
          </cell>
        </row>
        <row r="264">
          <cell r="A264" t="str">
            <v>CHF_TOIS_EOD</v>
          </cell>
          <cell r="F264">
            <v>1.02289791945151</v>
          </cell>
        </row>
        <row r="265">
          <cell r="A265" t="str">
            <v>CHF_TOIS_EOD</v>
          </cell>
          <cell r="F265">
            <v>1.01638553961129</v>
          </cell>
        </row>
        <row r="266">
          <cell r="A266" t="str">
            <v>CHF_TOIS_EOD</v>
          </cell>
          <cell r="F266">
            <v>1.0091027901438501</v>
          </cell>
        </row>
        <row r="267">
          <cell r="A267" t="str">
            <v>CHF_TOIS_EOD</v>
          </cell>
          <cell r="F267">
            <v>0.99197620495031202</v>
          </cell>
        </row>
        <row r="268">
          <cell r="A268" t="str">
            <v>CHF_TOIS_EOD</v>
          </cell>
          <cell r="F268">
            <v>0.96547749460755605</v>
          </cell>
        </row>
        <row r="269">
          <cell r="A269" t="str">
            <v>CHF_TOIS_EOD</v>
          </cell>
          <cell r="F269">
            <v>0.91410723444474395</v>
          </cell>
        </row>
        <row r="270">
          <cell r="A270" t="str">
            <v>CHF_TOIS_EOD</v>
          </cell>
          <cell r="F270">
            <v>0.86784098343594795</v>
          </cell>
        </row>
        <row r="271">
          <cell r="A271" t="str">
            <v>CHF_TOIS_EOD</v>
          </cell>
          <cell r="F271">
            <v>0.831073384662117</v>
          </cell>
        </row>
        <row r="272">
          <cell r="A272" t="str">
            <v>CHF_TOIS_EOD</v>
          </cell>
          <cell r="F272">
            <v>0.78343319766475905</v>
          </cell>
        </row>
        <row r="273">
          <cell r="A273" t="str">
            <v>CZK_PRIBOR_3M_EOD</v>
          </cell>
          <cell r="F273">
            <v>0.99924334159564998</v>
          </cell>
        </row>
        <row r="274">
          <cell r="A274" t="str">
            <v>CZK_PRIBOR_3M_EOD</v>
          </cell>
          <cell r="F274">
            <v>0.99866273018057605</v>
          </cell>
        </row>
        <row r="275">
          <cell r="A275" t="str">
            <v>CZK_PRIBOR_3M_EOD</v>
          </cell>
          <cell r="F275">
            <v>0.99824297316970501</v>
          </cell>
        </row>
        <row r="276">
          <cell r="A276" t="str">
            <v>CZK_PRIBOR_3M_EOD</v>
          </cell>
          <cell r="F276">
            <v>0.99786691538086303</v>
          </cell>
        </row>
        <row r="277">
          <cell r="A277" t="str">
            <v>CZK_PRIBOR_3M_EOD</v>
          </cell>
          <cell r="F277">
            <v>0.99694510700442995</v>
          </cell>
        </row>
        <row r="278">
          <cell r="A278" t="str">
            <v>CZK_PRIBOR_3M_EOD</v>
          </cell>
          <cell r="F278">
            <v>0.99502135780384704</v>
          </cell>
        </row>
        <row r="279">
          <cell r="A279" t="str">
            <v>CZK_PRIBOR_3M_EOD</v>
          </cell>
          <cell r="F279">
            <v>0.99186612042924205</v>
          </cell>
        </row>
        <row r="280">
          <cell r="A280" t="str">
            <v>CZK_PRIBOR_3M_EOD</v>
          </cell>
          <cell r="F280">
            <v>0.98745580579968095</v>
          </cell>
        </row>
        <row r="281">
          <cell r="A281" t="str">
            <v>CZK_PRIBOR_3M_EOD</v>
          </cell>
          <cell r="F281">
            <v>0.98135894559508996</v>
          </cell>
        </row>
        <row r="282">
          <cell r="A282" t="str">
            <v>CZK_PRIBOR_3M_EOD</v>
          </cell>
          <cell r="F282">
            <v>0.97344229004668603</v>
          </cell>
        </row>
        <row r="283">
          <cell r="A283" t="str">
            <v>CZK_PRIBOR_3M_EOD</v>
          </cell>
          <cell r="F283">
            <v>0.96229539364831296</v>
          </cell>
        </row>
        <row r="284">
          <cell r="A284" t="str">
            <v>CZK_PRIBOR_3M_EOD</v>
          </cell>
          <cell r="F284">
            <v>0.949798787824781</v>
          </cell>
        </row>
        <row r="285">
          <cell r="A285" t="str">
            <v>CZK_PRIBOR_3M_EOD</v>
          </cell>
          <cell r="F285">
            <v>0.93610683829192298</v>
          </cell>
        </row>
        <row r="286">
          <cell r="A286" t="str">
            <v>CZK_PRIBOR_3M_EOD</v>
          </cell>
          <cell r="F286">
            <v>0.90745863119460402</v>
          </cell>
        </row>
        <row r="287">
          <cell r="A287" t="str">
            <v>CZK_PRIBOR_3M_EOD</v>
          </cell>
          <cell r="F287">
            <v>0.85722568953873401</v>
          </cell>
        </row>
        <row r="288">
          <cell r="A288" t="str">
            <v>CZK_PRIBOR_3M_EOD</v>
          </cell>
          <cell r="F288">
            <v>0.78684362409219599</v>
          </cell>
        </row>
        <row r="289">
          <cell r="A289" t="str">
            <v>CZK_PRIBOR_3M_EOD</v>
          </cell>
          <cell r="F289">
            <v>0.75195484634139598</v>
          </cell>
        </row>
        <row r="290">
          <cell r="A290" t="str">
            <v>CZK_PRIBOR_3M_EOD</v>
          </cell>
          <cell r="F290">
            <v>0.70853895585384297</v>
          </cell>
        </row>
        <row r="291">
          <cell r="A291" t="str">
            <v>CZK_PRIBOR_6M_EOD</v>
          </cell>
          <cell r="F291">
            <v>0.99810219034577796</v>
          </cell>
        </row>
        <row r="292">
          <cell r="A292" t="str">
            <v>CZK_PRIBOR_6M_EOD</v>
          </cell>
          <cell r="F292">
            <v>0.99703672505160401</v>
          </cell>
        </row>
        <row r="293">
          <cell r="A293" t="str">
            <v>CZK_PRIBOR_6M_EOD</v>
          </cell>
          <cell r="F293">
            <v>0.99626257036563404</v>
          </cell>
        </row>
        <row r="294">
          <cell r="A294" t="str">
            <v>CZK_PRIBOR_6M_EOD</v>
          </cell>
          <cell r="F294">
            <v>0.99525928545525</v>
          </cell>
        </row>
        <row r="295">
          <cell r="A295" t="str">
            <v>CZK_PRIBOR_6M_EOD</v>
          </cell>
          <cell r="F295">
            <v>0.99231274155437899</v>
          </cell>
        </row>
        <row r="296">
          <cell r="A296" t="str">
            <v>CZK_PRIBOR_6M_EOD</v>
          </cell>
          <cell r="F296">
            <v>0.988218580026896</v>
          </cell>
        </row>
        <row r="297">
          <cell r="A297" t="str">
            <v>CZK_PRIBOR_6M_EOD</v>
          </cell>
          <cell r="F297">
            <v>0.98270698206528095</v>
          </cell>
        </row>
        <row r="298">
          <cell r="A298" t="str">
            <v>CZK_PRIBOR_6M_EOD</v>
          </cell>
          <cell r="F298">
            <v>0.97548678178762904</v>
          </cell>
        </row>
        <row r="299">
          <cell r="A299" t="str">
            <v>CZK_PRIBOR_6M_EOD</v>
          </cell>
          <cell r="F299">
            <v>0.96579197781452297</v>
          </cell>
        </row>
        <row r="300">
          <cell r="A300" t="str">
            <v>CZK_PRIBOR_6M_EOD</v>
          </cell>
          <cell r="F300">
            <v>0.95295740666402595</v>
          </cell>
        </row>
        <row r="301">
          <cell r="A301" t="str">
            <v>CZK_PRIBOR_6M_EOD</v>
          </cell>
          <cell r="F301">
            <v>0.93873772212746698</v>
          </cell>
        </row>
        <row r="302">
          <cell r="A302" t="str">
            <v>CZK_PRIBOR_6M_EOD</v>
          </cell>
          <cell r="F302">
            <v>0.92356196590417505</v>
          </cell>
        </row>
        <row r="303">
          <cell r="A303" t="str">
            <v>CZK_PRIBOR_6M_EOD</v>
          </cell>
          <cell r="F303">
            <v>0.89265956122344403</v>
          </cell>
        </row>
        <row r="304">
          <cell r="A304" t="str">
            <v>CZK_PRIBOR_6M_EOD</v>
          </cell>
          <cell r="F304">
            <v>0.84072760065947405</v>
          </cell>
        </row>
        <row r="305">
          <cell r="A305" t="str">
            <v>CZK_PRIBOR_6M_EOD</v>
          </cell>
          <cell r="F305">
            <v>0.76858508383542501</v>
          </cell>
        </row>
        <row r="306">
          <cell r="A306" t="str">
            <v>CZK_PRIBOR_6M_EOD</v>
          </cell>
          <cell r="F306">
            <v>0.73241328838268605</v>
          </cell>
        </row>
        <row r="307">
          <cell r="A307" t="str">
            <v>CZK_PRIBOR_6M_EOD</v>
          </cell>
          <cell r="F307">
            <v>0.68900775327283004</v>
          </cell>
        </row>
        <row r="308">
          <cell r="A308" t="str">
            <v>CZK_PRIBOR_EOD</v>
          </cell>
          <cell r="F308">
            <v>0.99999277782993801</v>
          </cell>
        </row>
        <row r="309">
          <cell r="A309" t="str">
            <v>CZK_PRIBOR_EOD</v>
          </cell>
          <cell r="F309">
            <v>0.99998916675794702</v>
          </cell>
        </row>
        <row r="310">
          <cell r="A310" t="str">
            <v>CZK_PRIBOR_EOD</v>
          </cell>
          <cell r="F310">
            <v>0.99996194557165097</v>
          </cell>
        </row>
        <row r="311">
          <cell r="A311" t="str">
            <v>CZK_PRIBOR_EOD</v>
          </cell>
          <cell r="F311">
            <v>0.99981697605651498</v>
          </cell>
        </row>
        <row r="312">
          <cell r="A312" t="str">
            <v>CZK_PRIBOR_EOD</v>
          </cell>
          <cell r="F312">
            <v>0.99959321677819002</v>
          </cell>
        </row>
        <row r="313">
          <cell r="A313" t="str">
            <v>CZK_PRIBOR_EOD</v>
          </cell>
          <cell r="F313">
            <v>0.999256656114756</v>
          </cell>
        </row>
        <row r="314">
          <cell r="A314" t="str">
            <v>CZK_PRIBOR_EOD</v>
          </cell>
          <cell r="F314">
            <v>0.99867603696326601</v>
          </cell>
        </row>
        <row r="315">
          <cell r="A315" t="str">
            <v>CZK_PRIBOR_EOD</v>
          </cell>
          <cell r="F315">
            <v>0.99825627435929898</v>
          </cell>
        </row>
        <row r="316">
          <cell r="A316" t="str">
            <v>CZK_PRIBOR_EOD</v>
          </cell>
          <cell r="F316">
            <v>0.99788021155963702</v>
          </cell>
        </row>
        <row r="317">
          <cell r="A317" t="str">
            <v>CZK_PRIBOR_EOD</v>
          </cell>
          <cell r="F317">
            <v>0.99527782264749498</v>
          </cell>
        </row>
        <row r="318">
          <cell r="A318" t="str">
            <v>CZK_PRIBOR_EOD</v>
          </cell>
          <cell r="F318">
            <v>0.99233210662984295</v>
          </cell>
        </row>
        <row r="319">
          <cell r="A319" t="str">
            <v>CZK_PRIBOR_EOD</v>
          </cell>
          <cell r="F319">
            <v>0.98823879213007304</v>
          </cell>
        </row>
        <row r="320">
          <cell r="A320" t="str">
            <v>CZK_PRIBOR_EOD</v>
          </cell>
          <cell r="F320">
            <v>0.98272709879965003</v>
          </cell>
        </row>
        <row r="321">
          <cell r="A321" t="str">
            <v>CZK_PRIBOR_EOD</v>
          </cell>
          <cell r="F321">
            <v>0.97550674453164699</v>
          </cell>
        </row>
        <row r="322">
          <cell r="A322" t="str">
            <v>CZK_PRIBOR_EOD</v>
          </cell>
          <cell r="F322">
            <v>0.965811744711076</v>
          </cell>
        </row>
        <row r="323">
          <cell r="A323" t="str">
            <v>CZK_PRIBOR_EOD</v>
          </cell>
          <cell r="F323">
            <v>0.95297802320445901</v>
          </cell>
        </row>
        <row r="324">
          <cell r="A324" t="str">
            <v>CZK_PRIBOR_EOD</v>
          </cell>
          <cell r="F324">
            <v>0.93875922663357403</v>
          </cell>
        </row>
        <row r="325">
          <cell r="A325" t="str">
            <v>CZK_PRIBOR_EOD</v>
          </cell>
          <cell r="F325">
            <v>0.92358341553423595</v>
          </cell>
        </row>
        <row r="326">
          <cell r="A326" t="str">
            <v>CZK_PRIBOR_EOD</v>
          </cell>
          <cell r="F326">
            <v>0.892680295005156</v>
          </cell>
        </row>
        <row r="327">
          <cell r="A327" t="str">
            <v>CZK_PRIBOR_EOD</v>
          </cell>
          <cell r="F327">
            <v>0.84074884788697601</v>
          </cell>
        </row>
        <row r="328">
          <cell r="A328" t="str">
            <v>CZK_PRIBOR_EOD</v>
          </cell>
          <cell r="F328">
            <v>0.76860204818536904</v>
          </cell>
        </row>
        <row r="329">
          <cell r="A329" t="str">
            <v>CZK_PRIBOR_EOD</v>
          </cell>
          <cell r="F329">
            <v>0.73242916014519499</v>
          </cell>
        </row>
        <row r="330">
          <cell r="A330" t="str">
            <v>CZK_PRIBOR_EOD</v>
          </cell>
          <cell r="F330">
            <v>0.68902396516347197</v>
          </cell>
        </row>
        <row r="331">
          <cell r="A331" t="str">
            <v>DKK_CIBOR_3M_EOD</v>
          </cell>
          <cell r="F331">
            <v>1.0002350546501599</v>
          </cell>
        </row>
        <row r="332">
          <cell r="A332" t="str">
            <v>DKK_CIBOR_3M_EOD</v>
          </cell>
          <cell r="F332">
            <v>1.00027420197489</v>
          </cell>
        </row>
        <row r="333">
          <cell r="A333" t="str">
            <v>DKK_CIBOR_3M_EOD</v>
          </cell>
          <cell r="F333">
            <v>1.0003374177422699</v>
          </cell>
        </row>
        <row r="334">
          <cell r="A334" t="str">
            <v>DKK_CIBOR_3M_EOD</v>
          </cell>
          <cell r="F334">
            <v>1.00034286405342</v>
          </cell>
        </row>
        <row r="335">
          <cell r="A335" t="str">
            <v>DKK_CIBOR_3M_EOD</v>
          </cell>
          <cell r="F335">
            <v>1.00026953873919</v>
          </cell>
        </row>
        <row r="336">
          <cell r="A336" t="str">
            <v>DKK_CIBOR_3M_EOD</v>
          </cell>
          <cell r="F336">
            <v>1.0000968553490099</v>
          </cell>
        </row>
        <row r="337">
          <cell r="A337" t="str">
            <v>DKK_CIBOR_3M_EOD</v>
          </cell>
          <cell r="F337">
            <v>0.999762101673068</v>
          </cell>
        </row>
        <row r="338">
          <cell r="A338" t="str">
            <v>DKK_CIBOR_3M_EOD</v>
          </cell>
          <cell r="F338">
            <v>0.99910179169043301</v>
          </cell>
        </row>
        <row r="339">
          <cell r="A339" t="str">
            <v>DKK_CIBOR_3M_EOD</v>
          </cell>
          <cell r="F339">
            <v>0.99564966732541804</v>
          </cell>
        </row>
        <row r="340">
          <cell r="A340" t="str">
            <v>DKK_CIBOR_3M_EOD</v>
          </cell>
          <cell r="F340">
            <v>0.988995214549379</v>
          </cell>
        </row>
        <row r="341">
          <cell r="A341" t="str">
            <v>DKK_CIBOR_3M_EOD</v>
          </cell>
          <cell r="F341">
            <v>0.97979553214955895</v>
          </cell>
        </row>
        <row r="342">
          <cell r="A342" t="str">
            <v>DKK_CIBOR_3M_EOD</v>
          </cell>
          <cell r="F342">
            <v>0.96782256356712804</v>
          </cell>
        </row>
        <row r="343">
          <cell r="A343" t="str">
            <v>DKK_CIBOR_3M_EOD</v>
          </cell>
          <cell r="F343">
            <v>0.95291098801749097</v>
          </cell>
        </row>
        <row r="344">
          <cell r="A344" t="str">
            <v>DKK_CIBOR_3M_EOD</v>
          </cell>
          <cell r="F344">
            <v>0.93597759929939095</v>
          </cell>
        </row>
        <row r="345">
          <cell r="A345" t="str">
            <v>DKK_CIBOR_3M_EOD</v>
          </cell>
          <cell r="F345">
            <v>0.91766268567224696</v>
          </cell>
        </row>
        <row r="346">
          <cell r="A346" t="str">
            <v>DKK_CIBOR_3M_EOD</v>
          </cell>
          <cell r="F346">
            <v>0.89844213466485101</v>
          </cell>
        </row>
        <row r="347">
          <cell r="A347" t="str">
            <v>DKK_CIBOR_3M_EOD</v>
          </cell>
          <cell r="F347">
            <v>0.85718399330533501</v>
          </cell>
        </row>
        <row r="348">
          <cell r="A348" t="str">
            <v>DKK_CIBOR_3M_EOD</v>
          </cell>
          <cell r="F348">
            <v>0.79757154345999304</v>
          </cell>
        </row>
        <row r="349">
          <cell r="A349" t="str">
            <v>DKK_CIBOR_3M_EOD</v>
          </cell>
          <cell r="F349">
            <v>0.712076098460933</v>
          </cell>
        </row>
        <row r="350">
          <cell r="A350" t="str">
            <v>DKK_CIBOR_3M_EOD</v>
          </cell>
          <cell r="F350">
            <v>0.64831810183637895</v>
          </cell>
        </row>
        <row r="351">
          <cell r="A351" t="str">
            <v>DKK_CIBOR_3M_EOD</v>
          </cell>
          <cell r="F351">
            <v>0.59233210587390495</v>
          </cell>
        </row>
        <row r="352">
          <cell r="A352" t="str">
            <v>DKK_CIBOR_6M_EOD</v>
          </cell>
          <cell r="F352">
            <v>0.99949920789495705</v>
          </cell>
        </row>
        <row r="353">
          <cell r="A353" t="str">
            <v>DKK_CIBOR_6M_EOD</v>
          </cell>
          <cell r="F353">
            <v>0.99878901835670797</v>
          </cell>
        </row>
        <row r="354">
          <cell r="A354" t="str">
            <v>DKK_CIBOR_6M_EOD</v>
          </cell>
          <cell r="F354">
            <v>0.99615476126125402</v>
          </cell>
        </row>
        <row r="355">
          <cell r="A355" t="str">
            <v>DKK_CIBOR_6M_EOD</v>
          </cell>
          <cell r="F355">
            <v>0.99138549359273997</v>
          </cell>
        </row>
        <row r="356">
          <cell r="A356" t="str">
            <v>DKK_CIBOR_6M_EOD</v>
          </cell>
          <cell r="F356">
            <v>0.98344736532643895</v>
          </cell>
        </row>
        <row r="357">
          <cell r="A357" t="str">
            <v>DKK_CIBOR_6M_EOD</v>
          </cell>
          <cell r="F357">
            <v>0.97301239664419104</v>
          </cell>
        </row>
        <row r="358">
          <cell r="A358" t="str">
            <v>DKK_CIBOR_6M_EOD</v>
          </cell>
          <cell r="F358">
            <v>0.96000763558162305</v>
          </cell>
        </row>
        <row r="359">
          <cell r="A359" t="str">
            <v>DKK_CIBOR_6M_EOD</v>
          </cell>
          <cell r="F359">
            <v>0.94422026539301995</v>
          </cell>
        </row>
        <row r="360">
          <cell r="A360" t="str">
            <v>DKK_CIBOR_6M_EOD</v>
          </cell>
          <cell r="F360">
            <v>0.92666077553968296</v>
          </cell>
        </row>
        <row r="361">
          <cell r="A361" t="str">
            <v>DKK_CIBOR_6M_EOD</v>
          </cell>
          <cell r="F361">
            <v>0.90785701851941703</v>
          </cell>
        </row>
        <row r="362">
          <cell r="A362" t="str">
            <v>DKK_CIBOR_6M_EOD</v>
          </cell>
          <cell r="F362">
            <v>0.88828510943916505</v>
          </cell>
        </row>
        <row r="363">
          <cell r="A363" t="str">
            <v>DKK_CIBOR_6M_EOD</v>
          </cell>
          <cell r="F363">
            <v>0.84716353050816895</v>
          </cell>
        </row>
        <row r="364">
          <cell r="A364" t="str">
            <v>DKK_CIBOR_6M_EOD</v>
          </cell>
          <cell r="F364">
            <v>0.78819307868053401</v>
          </cell>
        </row>
        <row r="365">
          <cell r="A365" t="str">
            <v>DKK_CIBOR_6M_EOD</v>
          </cell>
          <cell r="F365">
            <v>0.70370852394308703</v>
          </cell>
        </row>
        <row r="366">
          <cell r="A366" t="str">
            <v>DKK_CIBOR_6M_EOD</v>
          </cell>
          <cell r="F366">
            <v>0.64072738839095</v>
          </cell>
        </row>
        <row r="367">
          <cell r="A367" t="str">
            <v>DKK_CIBOR_6M_EOD</v>
          </cell>
          <cell r="F367">
            <v>0.585409627589633</v>
          </cell>
        </row>
        <row r="368">
          <cell r="A368" t="str">
            <v>DKK_CIBOR_EOD</v>
          </cell>
          <cell r="F368">
            <v>0.99999886666795101</v>
          </cell>
        </row>
        <row r="369">
          <cell r="A369" t="str">
            <v>DKK_CIBOR_EOD</v>
          </cell>
          <cell r="F369">
            <v>0.99999754722674306</v>
          </cell>
        </row>
        <row r="370">
          <cell r="A370" t="str">
            <v>DKK_CIBOR_EOD</v>
          </cell>
          <cell r="F370">
            <v>1.0000665796003601</v>
          </cell>
        </row>
        <row r="371">
          <cell r="A371" t="str">
            <v>DKK_CIBOR_EOD</v>
          </cell>
          <cell r="F371">
            <v>1.00021092555753</v>
          </cell>
        </row>
        <row r="372">
          <cell r="A372" t="str">
            <v>DKK_CIBOR_EOD</v>
          </cell>
          <cell r="F372">
            <v>1.00039256997008</v>
          </cell>
        </row>
        <row r="373">
          <cell r="A373" t="str">
            <v>DKK_CIBOR_EOD</v>
          </cell>
          <cell r="F373">
            <v>1.0004557932181299</v>
          </cell>
        </row>
        <row r="374">
          <cell r="A374" t="str">
            <v>DKK_CIBOR_EOD</v>
          </cell>
          <cell r="F374">
            <v>1.00046124017377</v>
          </cell>
        </row>
        <row r="375">
          <cell r="A375" t="str">
            <v>DKK_CIBOR_EOD</v>
          </cell>
          <cell r="F375">
            <v>1.00038790618254</v>
          </cell>
        </row>
        <row r="376">
          <cell r="A376" t="str">
            <v>DKK_CIBOR_EOD</v>
          </cell>
          <cell r="F376">
            <v>1.0002152023575901</v>
          </cell>
        </row>
        <row r="377">
          <cell r="A377" t="str">
            <v>DKK_CIBOR_EOD</v>
          </cell>
          <cell r="F377">
            <v>0.99988040906729203</v>
          </cell>
        </row>
        <row r="378">
          <cell r="A378" t="str">
            <v>DKK_CIBOR_EOD</v>
          </cell>
          <cell r="F378">
            <v>0.99615339488849597</v>
          </cell>
        </row>
        <row r="379">
          <cell r="A379" t="str">
            <v>DKK_CIBOR_EOD</v>
          </cell>
          <cell r="F379">
            <v>0.99138406368845899</v>
          </cell>
        </row>
        <row r="380">
          <cell r="A380" t="str">
            <v>DKK_CIBOR_EOD</v>
          </cell>
          <cell r="F380">
            <v>0.98344484703019797</v>
          </cell>
        </row>
        <row r="381">
          <cell r="A381" t="str">
            <v>DKK_CIBOR_EOD</v>
          </cell>
          <cell r="F381">
            <v>0.973010309106496</v>
          </cell>
        </row>
        <row r="382">
          <cell r="A382" t="str">
            <v>DKK_CIBOR_EOD</v>
          </cell>
          <cell r="F382">
            <v>0.96000544108280805</v>
          </cell>
        </row>
        <row r="383">
          <cell r="A383" t="str">
            <v>DKK_CIBOR_EOD</v>
          </cell>
          <cell r="F383">
            <v>0.94421815198439796</v>
          </cell>
        </row>
        <row r="384">
          <cell r="A384" t="str">
            <v>DKK_CIBOR_EOD</v>
          </cell>
          <cell r="F384">
            <v>0.92665868698148202</v>
          </cell>
        </row>
        <row r="385">
          <cell r="A385" t="str">
            <v>DKK_CIBOR_EOD</v>
          </cell>
          <cell r="F385">
            <v>0.90785379919525</v>
          </cell>
        </row>
        <row r="386">
          <cell r="A386" t="str">
            <v>DKK_CIBOR_EOD</v>
          </cell>
          <cell r="F386">
            <v>0.88828195968634405</v>
          </cell>
        </row>
        <row r="387">
          <cell r="A387" t="str">
            <v>DKK_CIBOR_EOD</v>
          </cell>
          <cell r="F387">
            <v>0.84716052587044</v>
          </cell>
        </row>
        <row r="388">
          <cell r="A388" t="str">
            <v>DKK_CIBOR_EOD</v>
          </cell>
          <cell r="F388">
            <v>0.78819004201152199</v>
          </cell>
        </row>
        <row r="389">
          <cell r="A389" t="str">
            <v>DKK_CIBOR_EOD</v>
          </cell>
          <cell r="F389">
            <v>0.70370613515729596</v>
          </cell>
        </row>
        <row r="390">
          <cell r="A390" t="str">
            <v>DKK_CIBOR_EOD</v>
          </cell>
          <cell r="F390">
            <v>0.64072505856128603</v>
          </cell>
        </row>
        <row r="391">
          <cell r="A391" t="str">
            <v>DKK_CIBOR_EOD</v>
          </cell>
          <cell r="F391">
            <v>0.58540750079246695</v>
          </cell>
        </row>
        <row r="392">
          <cell r="A392" t="str">
            <v>EUR_EONIA_EOD</v>
          </cell>
          <cell r="F392">
            <v>1.00000380557004</v>
          </cell>
        </row>
        <row r="393">
          <cell r="A393" t="str">
            <v>EUR_EONIA_EOD</v>
          </cell>
          <cell r="F393">
            <v>1.0000076111545599</v>
          </cell>
        </row>
        <row r="394">
          <cell r="A394" t="str">
            <v>EUR_EONIA_EOD</v>
          </cell>
          <cell r="F394">
            <v>1.0000347046874201</v>
          </cell>
        </row>
        <row r="395">
          <cell r="A395" t="str">
            <v>EUR_EONIA_EOD</v>
          </cell>
          <cell r="F395">
            <v>1.00006205897777</v>
          </cell>
        </row>
        <row r="396">
          <cell r="A396" t="str">
            <v>EUR_EONIA_EOD</v>
          </cell>
          <cell r="F396">
            <v>1.00008986854625</v>
          </cell>
        </row>
        <row r="397">
          <cell r="A397" t="str">
            <v>EUR_EONIA_EOD</v>
          </cell>
          <cell r="F397">
            <v>1.0001298492472399</v>
          </cell>
        </row>
        <row r="398">
          <cell r="A398" t="str">
            <v>EUR_EONIA_EOD</v>
          </cell>
          <cell r="F398">
            <v>1.00029681155044</v>
          </cell>
        </row>
        <row r="399">
          <cell r="A399" t="str">
            <v>EUR_EONIA_EOD</v>
          </cell>
          <cell r="F399">
            <v>1.0004790174138001</v>
          </cell>
        </row>
        <row r="400">
          <cell r="A400" t="str">
            <v>EUR_EONIA_EOD</v>
          </cell>
          <cell r="F400">
            <v>1.0006815806228699</v>
          </cell>
        </row>
        <row r="401">
          <cell r="A401" t="str">
            <v>EUR_EONIA_EOD</v>
          </cell>
          <cell r="F401">
            <v>1.0008707509694099</v>
          </cell>
        </row>
        <row r="402">
          <cell r="A402" t="str">
            <v>EUR_EONIA_EOD</v>
          </cell>
          <cell r="F402">
            <v>1.0010858118578601</v>
          </cell>
        </row>
        <row r="403">
          <cell r="A403" t="str">
            <v>EUR_EONIA_EOD</v>
          </cell>
          <cell r="F403">
            <v>1.00130817139863</v>
          </cell>
        </row>
        <row r="404">
          <cell r="A404" t="str">
            <v>EUR_EONIA_EOD</v>
          </cell>
          <cell r="F404">
            <v>1.0015290032611399</v>
          </cell>
        </row>
        <row r="405">
          <cell r="A405" t="str">
            <v>EUR_EONIA_EOD</v>
          </cell>
          <cell r="F405">
            <v>1.0017660235778201</v>
          </cell>
        </row>
        <row r="406">
          <cell r="A406" t="str">
            <v>EUR_EONIA_EOD</v>
          </cell>
          <cell r="F406">
            <v>1.0020078867945399</v>
          </cell>
        </row>
        <row r="407">
          <cell r="A407" t="str">
            <v>EUR_EONIA_EOD</v>
          </cell>
          <cell r="F407">
            <v>1.0022401567869299</v>
          </cell>
        </row>
        <row r="408">
          <cell r="A408" t="str">
            <v>EUR_EONIA_EOD</v>
          </cell>
          <cell r="F408">
            <v>1.00253548582</v>
          </cell>
        </row>
        <row r="409">
          <cell r="A409" t="str">
            <v>EUR_EONIA_EOD</v>
          </cell>
          <cell r="F409">
            <v>1.0032228069935001</v>
          </cell>
        </row>
        <row r="410">
          <cell r="A410" t="str">
            <v>EUR_EONIA_EOD</v>
          </cell>
          <cell r="F410">
            <v>1.0039038269678</v>
          </cell>
        </row>
        <row r="411">
          <cell r="A411" t="str">
            <v>EUR_EONIA_EOD</v>
          </cell>
          <cell r="F411">
            <v>1.0046349693593299</v>
          </cell>
        </row>
        <row r="412">
          <cell r="A412" t="str">
            <v>EUR_EONIA_EOD</v>
          </cell>
          <cell r="F412">
            <v>1.00515382593483</v>
          </cell>
        </row>
        <row r="413">
          <cell r="A413" t="str">
            <v>EUR_EONIA_EOD</v>
          </cell>
          <cell r="F413">
            <v>1.00665047417079</v>
          </cell>
        </row>
        <row r="414">
          <cell r="A414" t="str">
            <v>EUR_EONIA_EOD</v>
          </cell>
          <cell r="F414">
            <v>1.0053471018492199</v>
          </cell>
        </row>
        <row r="415">
          <cell r="A415" t="str">
            <v>EUR_EONIA_EOD</v>
          </cell>
          <cell r="F415">
            <v>1.0012029182087201</v>
          </cell>
        </row>
        <row r="416">
          <cell r="A416" t="str">
            <v>EUR_EONIA_EOD</v>
          </cell>
          <cell r="F416">
            <v>0.993862726991394</v>
          </cell>
        </row>
        <row r="417">
          <cell r="A417" t="str">
            <v>EUR_EONIA_EOD</v>
          </cell>
          <cell r="F417">
            <v>0.98352198950845904</v>
          </cell>
        </row>
        <row r="418">
          <cell r="A418" t="str">
            <v>EUR_EONIA_EOD</v>
          </cell>
          <cell r="F418">
            <v>0.970716967181532</v>
          </cell>
        </row>
        <row r="419">
          <cell r="A419" t="str">
            <v>EUR_EONIA_EOD</v>
          </cell>
          <cell r="F419">
            <v>0.95610652653932005</v>
          </cell>
        </row>
        <row r="420">
          <cell r="A420" t="str">
            <v>EUR_EONIA_EOD</v>
          </cell>
          <cell r="F420">
            <v>0.94027422830277896</v>
          </cell>
        </row>
        <row r="421">
          <cell r="A421" t="str">
            <v>EUR_EONIA_EOD</v>
          </cell>
          <cell r="F421">
            <v>0.90634996291942704</v>
          </cell>
        </row>
        <row r="422">
          <cell r="A422" t="str">
            <v>EUR_EONIA_EOD</v>
          </cell>
          <cell r="F422">
            <v>0.85434760692340395</v>
          </cell>
        </row>
        <row r="423">
          <cell r="A423" t="str">
            <v>EUR_EONIA_EOD</v>
          </cell>
          <cell r="F423">
            <v>0.77610008718651402</v>
          </cell>
        </row>
        <row r="424">
          <cell r="A424" t="str">
            <v>EUR_EONIA_EOD</v>
          </cell>
          <cell r="F424">
            <v>0.71594698825175995</v>
          </cell>
        </row>
        <row r="425">
          <cell r="A425" t="str">
            <v>EUR_EONIA_EOD</v>
          </cell>
          <cell r="F425">
            <v>0.66401410455780596</v>
          </cell>
        </row>
        <row r="426">
          <cell r="A426" t="str">
            <v>EUR_EONIA_EOD</v>
          </cell>
          <cell r="F426">
            <v>0.57423177819862004</v>
          </cell>
        </row>
        <row r="427">
          <cell r="A427" t="str">
            <v>EUR_EONIA_EOD</v>
          </cell>
          <cell r="F427">
            <v>0.51198220280266804</v>
          </cell>
        </row>
        <row r="428">
          <cell r="A428" t="str">
            <v>EUR_EONIA_EOD</v>
          </cell>
          <cell r="F428">
            <v>0.46287967130353103</v>
          </cell>
        </row>
        <row r="429">
          <cell r="A429" t="str">
            <v>EUR_EURIBOR_12M_EOD</v>
          </cell>
          <cell r="F429">
            <v>0.99889122741248104</v>
          </cell>
        </row>
        <row r="430">
          <cell r="A430" t="str">
            <v>EUR_EURIBOR_12M_EOD</v>
          </cell>
          <cell r="F430">
            <v>0.99913550088388503</v>
          </cell>
        </row>
        <row r="431">
          <cell r="A431" t="str">
            <v>EUR_EURIBOR_12M_EOD</v>
          </cell>
          <cell r="F431">
            <v>0.99921176156930902</v>
          </cell>
        </row>
        <row r="432">
          <cell r="A432" t="str">
            <v>EUR_EURIBOR_12M_EOD</v>
          </cell>
          <cell r="F432">
            <v>0.999152882889078</v>
          </cell>
        </row>
        <row r="433">
          <cell r="A433" t="str">
            <v>EUR_EURIBOR_12M_EOD</v>
          </cell>
          <cell r="F433">
            <v>0.99909853012668204</v>
          </cell>
        </row>
        <row r="434">
          <cell r="A434" t="str">
            <v>EUR_EURIBOR_12M_EOD</v>
          </cell>
          <cell r="F434">
            <v>0.99903696974515899</v>
          </cell>
        </row>
        <row r="435">
          <cell r="A435" t="str">
            <v>EUR_EURIBOR_12M_EOD</v>
          </cell>
          <cell r="F435">
            <v>0.99892024987974803</v>
          </cell>
        </row>
        <row r="436">
          <cell r="A436" t="str">
            <v>EUR_EURIBOR_12M_EOD</v>
          </cell>
          <cell r="F436">
            <v>0.99888859195268098</v>
          </cell>
        </row>
        <row r="437">
          <cell r="A437" t="str">
            <v>EUR_EURIBOR_12M_EOD</v>
          </cell>
          <cell r="F437">
            <v>0.99877660774877697</v>
          </cell>
        </row>
        <row r="438">
          <cell r="A438" t="str">
            <v>EUR_EURIBOR_12M_EOD</v>
          </cell>
          <cell r="F438">
            <v>0.99864340707326804</v>
          </cell>
        </row>
        <row r="439">
          <cell r="A439" t="str">
            <v>EUR_EURIBOR_12M_EOD</v>
          </cell>
          <cell r="F439">
            <v>0.99851299804980798</v>
          </cell>
        </row>
        <row r="440">
          <cell r="A440" t="str">
            <v>EUR_EURIBOR_12M_EOD</v>
          </cell>
          <cell r="F440">
            <v>0.99836960880340597</v>
          </cell>
        </row>
        <row r="441">
          <cell r="A441" t="str">
            <v>EUR_EURIBOR_12M_EOD</v>
          </cell>
          <cell r="F441">
            <v>0.99820506834846201</v>
          </cell>
        </row>
        <row r="442">
          <cell r="A442" t="str">
            <v>EUR_EURIBOR_12M_EOD</v>
          </cell>
          <cell r="F442">
            <v>0.99558022969862603</v>
          </cell>
        </row>
        <row r="443">
          <cell r="A443" t="str">
            <v>EUR_EURIBOR_12M_EOD</v>
          </cell>
          <cell r="F443">
            <v>0.99010798967339297</v>
          </cell>
        </row>
        <row r="444">
          <cell r="A444" t="str">
            <v>EUR_EURIBOR_12M_EOD</v>
          </cell>
          <cell r="F444">
            <v>0.98189927320975301</v>
          </cell>
        </row>
        <row r="445">
          <cell r="A445" t="str">
            <v>EUR_EURIBOR_12M_EOD</v>
          </cell>
          <cell r="F445">
            <v>0.97112134580477005</v>
          </cell>
        </row>
        <row r="446">
          <cell r="A446" t="str">
            <v>EUR_EURIBOR_12M_EOD</v>
          </cell>
          <cell r="F446">
            <v>0.95773051071554205</v>
          </cell>
        </row>
        <row r="447">
          <cell r="A447" t="str">
            <v>EUR_EURIBOR_12M_EOD</v>
          </cell>
          <cell r="F447">
            <v>0.94237577537859896</v>
          </cell>
        </row>
        <row r="448">
          <cell r="A448" t="str">
            <v>EUR_EURIBOR_12M_EOD</v>
          </cell>
          <cell r="F448">
            <v>0.92584628723809403</v>
          </cell>
        </row>
        <row r="449">
          <cell r="A449" t="str">
            <v>EUR_EURIBOR_12M_EOD</v>
          </cell>
          <cell r="F449">
            <v>0.90847594869523296</v>
          </cell>
        </row>
        <row r="450">
          <cell r="A450" t="str">
            <v>EUR_EURIBOR_12M_EOD</v>
          </cell>
          <cell r="F450">
            <v>0.87222275917005099</v>
          </cell>
        </row>
        <row r="451">
          <cell r="A451" t="str">
            <v>EUR_EURIBOR_12M_EOD</v>
          </cell>
          <cell r="F451">
            <v>0.81879953916981096</v>
          </cell>
        </row>
        <row r="452">
          <cell r="A452" t="str">
            <v>EUR_EURIBOR_12M_EOD</v>
          </cell>
          <cell r="F452">
            <v>0.74113917752219005</v>
          </cell>
        </row>
        <row r="453">
          <cell r="A453" t="str">
            <v>EUR_EURIBOR_12M_EOD</v>
          </cell>
          <cell r="F453">
            <v>0.68124546687952903</v>
          </cell>
        </row>
        <row r="454">
          <cell r="A454" t="str">
            <v>EUR_EURIBOR_12M_EOD</v>
          </cell>
          <cell r="F454">
            <v>0.62996691675606298</v>
          </cell>
        </row>
        <row r="455">
          <cell r="A455" t="str">
            <v>EUR_EURIBOR_12M_EOD</v>
          </cell>
          <cell r="F455">
            <v>0.54050974078376901</v>
          </cell>
        </row>
        <row r="456">
          <cell r="A456" t="str">
            <v>EUR_EURIBOR_12M_EOD</v>
          </cell>
          <cell r="F456">
            <v>0.48039725653385901</v>
          </cell>
        </row>
        <row r="457">
          <cell r="A457" t="str">
            <v>EUR_EURIBOR_12M_EOD</v>
          </cell>
          <cell r="F457">
            <v>0.428172526596446</v>
          </cell>
        </row>
        <row r="458">
          <cell r="A458" t="str">
            <v>EUR_EURIBOR_1M_EOD</v>
          </cell>
          <cell r="F458">
            <v>1.00011240114997</v>
          </cell>
        </row>
        <row r="459">
          <cell r="A459" t="str">
            <v>EUR_EURIBOR_1M_EOD</v>
          </cell>
          <cell r="F459">
            <v>1.0002543702890501</v>
          </cell>
        </row>
        <row r="460">
          <cell r="A460" t="str">
            <v>EUR_EURIBOR_1M_EOD</v>
          </cell>
          <cell r="F460">
            <v>1.00041587839346</v>
          </cell>
        </row>
        <row r="461">
          <cell r="A461" t="str">
            <v>EUR_EURIBOR_1M_EOD</v>
          </cell>
          <cell r="F461">
            <v>1.00095993867203</v>
          </cell>
        </row>
        <row r="462">
          <cell r="A462" t="str">
            <v>EUR_EURIBOR_1M_EOD</v>
          </cell>
          <cell r="F462">
            <v>1.0015797590717599</v>
          </cell>
        </row>
        <row r="463">
          <cell r="A463" t="str">
            <v>EUR_EURIBOR_1M_EOD</v>
          </cell>
          <cell r="F463">
            <v>1.0022435916497301</v>
          </cell>
        </row>
        <row r="464">
          <cell r="A464" t="str">
            <v>EUR_EURIBOR_1M_EOD</v>
          </cell>
          <cell r="F464">
            <v>1.0046943251981599</v>
          </cell>
        </row>
        <row r="465">
          <cell r="A465" t="str">
            <v>EUR_EURIBOR_1M_EOD</v>
          </cell>
          <cell r="F465">
            <v>1.0056276901016199</v>
          </cell>
        </row>
        <row r="466">
          <cell r="A466" t="str">
            <v>EUR_EURIBOR_1M_EOD</v>
          </cell>
          <cell r="F466">
            <v>1.00392126029484</v>
          </cell>
        </row>
        <row r="467">
          <cell r="A467" t="str">
            <v>EUR_EURIBOR_1M_EOD</v>
          </cell>
          <cell r="F467">
            <v>0.99930737641283396</v>
          </cell>
        </row>
        <row r="468">
          <cell r="A468" t="str">
            <v>EUR_EURIBOR_1M_EOD</v>
          </cell>
          <cell r="F468">
            <v>0.99152198829203297</v>
          </cell>
        </row>
        <row r="469">
          <cell r="A469" t="str">
            <v>EUR_EURIBOR_1M_EOD</v>
          </cell>
          <cell r="F469">
            <v>0.98074320813169202</v>
          </cell>
        </row>
        <row r="470">
          <cell r="A470" t="str">
            <v>EUR_EURIBOR_1M_EOD</v>
          </cell>
          <cell r="F470">
            <v>0.96767730274584796</v>
          </cell>
        </row>
        <row r="471">
          <cell r="A471" t="str">
            <v>EUR_EURIBOR_1M_EOD</v>
          </cell>
          <cell r="F471">
            <v>0.95278200093309495</v>
          </cell>
        </row>
        <row r="472">
          <cell r="A472" t="str">
            <v>EUR_EURIBOR_1M_EOD</v>
          </cell>
          <cell r="F472">
            <v>0.93667086235544705</v>
          </cell>
        </row>
        <row r="473">
          <cell r="A473" t="str">
            <v>EUR_EURIBOR_1M_EOD</v>
          </cell>
          <cell r="F473">
            <v>0.90196685233070095</v>
          </cell>
        </row>
        <row r="474">
          <cell r="A474" t="str">
            <v>EUR_EURIBOR_1M_EOD</v>
          </cell>
          <cell r="F474">
            <v>0.84928855149429505</v>
          </cell>
        </row>
        <row r="475">
          <cell r="A475" t="str">
            <v>EUR_EURIBOR_1M_EOD</v>
          </cell>
          <cell r="F475">
            <v>0.77066068006860799</v>
          </cell>
        </row>
        <row r="476">
          <cell r="A476" t="str">
            <v>EUR_EURIBOR_1M_EOD</v>
          </cell>
          <cell r="F476">
            <v>0.71019288074629205</v>
          </cell>
        </row>
        <row r="477">
          <cell r="A477" t="str">
            <v>EUR_EURIBOR_1M_EOD</v>
          </cell>
          <cell r="F477">
            <v>0.658065271660496</v>
          </cell>
        </row>
        <row r="478">
          <cell r="A478" t="str">
            <v>EUR_EURIBOR_1M_EOD</v>
          </cell>
          <cell r="F478">
            <v>0.56799203533477305</v>
          </cell>
        </row>
        <row r="479">
          <cell r="A479" t="str">
            <v>EUR_EURIBOR_1M_EOD</v>
          </cell>
          <cell r="F479">
            <v>0.50643112466003304</v>
          </cell>
        </row>
        <row r="480">
          <cell r="A480" t="str">
            <v>EUR_EURIBOR_1M_EOD</v>
          </cell>
          <cell r="F480">
            <v>0.45492526875656403</v>
          </cell>
        </row>
        <row r="481">
          <cell r="A481" t="str">
            <v>EUR_EURIBOR_3M_EOD</v>
          </cell>
          <cell r="F481">
            <v>1.0001723627211601</v>
          </cell>
        </row>
        <row r="482">
          <cell r="A482" t="str">
            <v>EUR_EURIBOR_3M_EOD</v>
          </cell>
          <cell r="F482">
            <v>1.0003963965638301</v>
          </cell>
        </row>
        <row r="483">
          <cell r="A483" t="str">
            <v>EUR_EURIBOR_3M_EOD</v>
          </cell>
          <cell r="F483">
            <v>1.0007804134978999</v>
          </cell>
        </row>
        <row r="484">
          <cell r="A484" t="str">
            <v>EUR_EURIBOR_3M_EOD</v>
          </cell>
          <cell r="F484">
            <v>1.0012543948960899</v>
          </cell>
        </row>
        <row r="485">
          <cell r="A485" t="str">
            <v>EUR_EURIBOR_3M_EOD</v>
          </cell>
          <cell r="F485">
            <v>1.0017139729192499</v>
          </cell>
        </row>
        <row r="486">
          <cell r="A486" t="str">
            <v>EUR_EURIBOR_3M_EOD</v>
          </cell>
          <cell r="F486">
            <v>1.0021334722631601</v>
          </cell>
        </row>
        <row r="487">
          <cell r="A487" t="str">
            <v>EUR_EURIBOR_3M_EOD</v>
          </cell>
          <cell r="F487">
            <v>1.00257887858122</v>
          </cell>
        </row>
        <row r="488">
          <cell r="A488" t="str">
            <v>EUR_EURIBOR_3M_EOD</v>
          </cell>
          <cell r="F488">
            <v>1.00292746618925</v>
          </cell>
        </row>
        <row r="489">
          <cell r="A489" t="str">
            <v>EUR_EURIBOR_3M_EOD</v>
          </cell>
          <cell r="F489">
            <v>1.00319956456448</v>
          </cell>
        </row>
        <row r="490">
          <cell r="A490" t="str">
            <v>EUR_EURIBOR_3M_EOD</v>
          </cell>
          <cell r="F490">
            <v>1.00336467643406</v>
          </cell>
        </row>
        <row r="491">
          <cell r="A491" t="str">
            <v>EUR_EURIBOR_3M_EOD</v>
          </cell>
          <cell r="F491">
            <v>1.0034050049624601</v>
          </cell>
        </row>
        <row r="492">
          <cell r="A492" t="str">
            <v>EUR_EURIBOR_3M_EOD</v>
          </cell>
          <cell r="F492">
            <v>1.0033093924143901</v>
          </cell>
        </row>
        <row r="493">
          <cell r="A493" t="str">
            <v>EUR_EURIBOR_3M_EOD</v>
          </cell>
          <cell r="F493">
            <v>1.0030472237325301</v>
          </cell>
        </row>
        <row r="494">
          <cell r="A494" t="str">
            <v>EUR_EURIBOR_3M_EOD</v>
          </cell>
          <cell r="F494">
            <v>0.999793035427328</v>
          </cell>
        </row>
        <row r="495">
          <cell r="A495" t="str">
            <v>EUR_EURIBOR_3M_EOD</v>
          </cell>
          <cell r="F495">
            <v>0.99409990211256405</v>
          </cell>
        </row>
        <row r="496">
          <cell r="A496" t="str">
            <v>EUR_EURIBOR_3M_EOD</v>
          </cell>
          <cell r="F496">
            <v>0.98547837547171602</v>
          </cell>
        </row>
        <row r="497">
          <cell r="A497" t="str">
            <v>EUR_EURIBOR_3M_EOD</v>
          </cell>
          <cell r="F497">
            <v>0.97389032754365101</v>
          </cell>
        </row>
        <row r="498">
          <cell r="A498" t="str">
            <v>EUR_EURIBOR_3M_EOD</v>
          </cell>
          <cell r="F498">
            <v>0.96008283842599895</v>
          </cell>
        </row>
        <row r="499">
          <cell r="A499" t="str">
            <v>EUR_EURIBOR_3M_EOD</v>
          </cell>
          <cell r="F499">
            <v>0.94463806574138698</v>
          </cell>
        </row>
        <row r="500">
          <cell r="A500" t="str">
            <v>EUR_EURIBOR_3M_EOD</v>
          </cell>
          <cell r="F500">
            <v>0.92800697840155599</v>
          </cell>
        </row>
        <row r="501">
          <cell r="A501" t="str">
            <v>EUR_EURIBOR_3M_EOD</v>
          </cell>
          <cell r="F501">
            <v>0.89273129386526795</v>
          </cell>
        </row>
        <row r="502">
          <cell r="A502" t="str">
            <v>EUR_EURIBOR_3M_EOD</v>
          </cell>
          <cell r="F502">
            <v>0.83985641585432103</v>
          </cell>
        </row>
        <row r="503">
          <cell r="A503" t="str">
            <v>EUR_EURIBOR_3M_EOD</v>
          </cell>
          <cell r="F503">
            <v>0.76186659544132396</v>
          </cell>
        </row>
        <row r="504">
          <cell r="A504" t="str">
            <v>EUR_EURIBOR_3M_EOD</v>
          </cell>
          <cell r="F504">
            <v>0.70204064737629901</v>
          </cell>
        </row>
        <row r="505">
          <cell r="A505" t="str">
            <v>EUR_EURIBOR_3M_EOD</v>
          </cell>
          <cell r="F505">
            <v>0.65051932534641299</v>
          </cell>
        </row>
        <row r="506">
          <cell r="A506" t="str">
            <v>EUR_EURIBOR_3M_EOD</v>
          </cell>
          <cell r="F506">
            <v>0.56127640425658099</v>
          </cell>
        </row>
        <row r="507">
          <cell r="A507" t="str">
            <v>EUR_EURIBOR_3M_EOD</v>
          </cell>
          <cell r="F507">
            <v>0.500215310743655</v>
          </cell>
        </row>
        <row r="508">
          <cell r="A508" t="str">
            <v>EUR_EURIBOR_3M_EOD</v>
          </cell>
          <cell r="F508">
            <v>0.44947841352457801</v>
          </cell>
        </row>
        <row r="509">
          <cell r="A509" t="str">
            <v>EUR_EURIBOR_6M_EOD</v>
          </cell>
          <cell r="F509">
            <v>0.99995889056980802</v>
          </cell>
        </row>
        <row r="510">
          <cell r="A510" t="str">
            <v>EUR_EURIBOR_6M_EOD</v>
          </cell>
          <cell r="F510">
            <v>1.0001491902302599</v>
          </cell>
        </row>
        <row r="511">
          <cell r="A511" t="str">
            <v>EUR_EURIBOR_6M_EOD</v>
          </cell>
          <cell r="F511">
            <v>1.0001995429850801</v>
          </cell>
        </row>
        <row r="512">
          <cell r="A512" t="str">
            <v>EUR_EURIBOR_6M_EOD</v>
          </cell>
          <cell r="F512">
            <v>1.0002496515000201</v>
          </cell>
        </row>
        <row r="513">
          <cell r="A513" t="str">
            <v>EUR_EURIBOR_6M_EOD</v>
          </cell>
          <cell r="F513">
            <v>1.00028575718625</v>
          </cell>
        </row>
        <row r="514">
          <cell r="A514" t="str">
            <v>EUR_EURIBOR_6M_EOD</v>
          </cell>
          <cell r="F514">
            <v>1.0003134435537699</v>
          </cell>
        </row>
        <row r="515">
          <cell r="A515" t="str">
            <v>EUR_EURIBOR_6M_EOD</v>
          </cell>
          <cell r="F515">
            <v>1.00036809669737</v>
          </cell>
        </row>
        <row r="516">
          <cell r="A516" t="str">
            <v>EUR_EURIBOR_6M_EOD</v>
          </cell>
          <cell r="F516">
            <v>1.00071308326779</v>
          </cell>
        </row>
        <row r="517">
          <cell r="A517" t="str">
            <v>EUR_EURIBOR_6M_EOD</v>
          </cell>
          <cell r="F517">
            <v>1.00085716119432</v>
          </cell>
        </row>
        <row r="518">
          <cell r="A518" t="str">
            <v>EUR_EURIBOR_6M_EOD</v>
          </cell>
          <cell r="F518">
            <v>0.99960897629906897</v>
          </cell>
        </row>
        <row r="519">
          <cell r="A519" t="str">
            <v>EUR_EURIBOR_6M_EOD</v>
          </cell>
          <cell r="F519">
            <v>0.99561733184840395</v>
          </cell>
        </row>
        <row r="520">
          <cell r="A520" t="str">
            <v>EUR_EURIBOR_6M_EOD</v>
          </cell>
          <cell r="F520">
            <v>0.98882545051020598</v>
          </cell>
        </row>
        <row r="521">
          <cell r="A521" t="str">
            <v>EUR_EURIBOR_6M_EOD</v>
          </cell>
          <cell r="F521">
            <v>0.97923473533274696</v>
          </cell>
        </row>
        <row r="522">
          <cell r="A522" t="str">
            <v>EUR_EURIBOR_6M_EOD</v>
          </cell>
          <cell r="F522">
            <v>0.96691745551263097</v>
          </cell>
        </row>
        <row r="523">
          <cell r="A523" t="str">
            <v>EUR_EURIBOR_6M_EOD</v>
          </cell>
          <cell r="F523">
            <v>0.95256103148798998</v>
          </cell>
        </row>
        <row r="524">
          <cell r="A524" t="str">
            <v>EUR_EURIBOR_6M_EOD</v>
          </cell>
          <cell r="F524">
            <v>0.93675631426391803</v>
          </cell>
        </row>
        <row r="525">
          <cell r="A525" t="str">
            <v>EUR_EURIBOR_6M_EOD</v>
          </cell>
          <cell r="F525">
            <v>0.919916878650619</v>
          </cell>
        </row>
        <row r="526">
          <cell r="A526" t="str">
            <v>EUR_EURIBOR_6M_EOD</v>
          </cell>
          <cell r="F526">
            <v>0.88441635214907599</v>
          </cell>
        </row>
        <row r="527">
          <cell r="A527" t="str">
            <v>EUR_EURIBOR_6M_EOD</v>
          </cell>
          <cell r="F527">
            <v>0.83152810607795102</v>
          </cell>
        </row>
        <row r="528">
          <cell r="A528" t="str">
            <v>EUR_EURIBOR_6M_EOD</v>
          </cell>
          <cell r="F528">
            <v>0.75384470824335303</v>
          </cell>
        </row>
        <row r="529">
          <cell r="A529" t="str">
            <v>EUR_EURIBOR_6M_EOD</v>
          </cell>
          <cell r="F529">
            <v>0.69434862394708396</v>
          </cell>
        </row>
        <row r="530">
          <cell r="A530" t="str">
            <v>EUR_EURIBOR_6M_EOD</v>
          </cell>
          <cell r="F530">
            <v>0.64314056090055605</v>
          </cell>
        </row>
        <row r="531">
          <cell r="A531" t="str">
            <v>EUR_EURIBOR_6M_EOD</v>
          </cell>
          <cell r="F531">
            <v>0.55467930752614103</v>
          </cell>
        </row>
        <row r="532">
          <cell r="A532" t="str">
            <v>EUR_EURIBOR_6M_EOD</v>
          </cell>
          <cell r="F532">
            <v>0.49393855168174899</v>
          </cell>
        </row>
        <row r="533">
          <cell r="A533" t="str">
            <v>EUR_EURIBOR_6M_EOD</v>
          </cell>
          <cell r="F533">
            <v>0.44302255596715301</v>
          </cell>
        </row>
        <row r="534">
          <cell r="A534" t="str">
            <v>EUR_EURIBOR_EOD</v>
          </cell>
          <cell r="F534">
            <v>1.000004000016</v>
          </cell>
        </row>
        <row r="535">
          <cell r="A535" t="str">
            <v>EUR_EURIBOR_EOD</v>
          </cell>
          <cell r="F535">
            <v>1.0000080000480001</v>
          </cell>
        </row>
        <row r="536">
          <cell r="A536" t="str">
            <v>EUR_EURIBOR_EOD</v>
          </cell>
          <cell r="F536">
            <v>1.00003658442704</v>
          </cell>
        </row>
        <row r="537">
          <cell r="A537" t="str">
            <v>EUR_EURIBOR_EOD</v>
          </cell>
          <cell r="F537">
            <v>1.0001137898622201</v>
          </cell>
        </row>
        <row r="538">
          <cell r="A538" t="str">
            <v>EUR_EURIBOR_EOD</v>
          </cell>
          <cell r="F538">
            <v>1.0004635071207899</v>
          </cell>
        </row>
        <row r="539">
          <cell r="A539" t="str">
            <v>EUR_EURIBOR_EOD</v>
          </cell>
          <cell r="F539">
            <v>1.0008475498162399</v>
          </cell>
        </row>
        <row r="540">
          <cell r="A540" t="str">
            <v>EUR_EURIBOR_EOD</v>
          </cell>
          <cell r="F540">
            <v>1.00132156301098</v>
          </cell>
        </row>
        <row r="541">
          <cell r="A541" t="str">
            <v>EUR_EURIBOR_EOD</v>
          </cell>
          <cell r="F541">
            <v>1.00178117186446</v>
          </cell>
        </row>
        <row r="542">
          <cell r="A542" t="str">
            <v>EUR_EURIBOR_EOD</v>
          </cell>
          <cell r="F542">
            <v>1.0022006993500501</v>
          </cell>
        </row>
        <row r="543">
          <cell r="A543" t="str">
            <v>EUR_EURIBOR_EOD</v>
          </cell>
          <cell r="F543">
            <v>1.0026461355477301</v>
          </cell>
        </row>
        <row r="544">
          <cell r="A544" t="str">
            <v>EUR_EURIBOR_EOD</v>
          </cell>
          <cell r="F544">
            <v>1.0029947465404001</v>
          </cell>
        </row>
        <row r="545">
          <cell r="A545" t="str">
            <v>EUR_EURIBOR_EOD</v>
          </cell>
          <cell r="F545">
            <v>1.00326686316906</v>
          </cell>
        </row>
        <row r="546">
          <cell r="A546" t="str">
            <v>EUR_EURIBOR_EOD</v>
          </cell>
          <cell r="F546">
            <v>1.0034319861150101</v>
          </cell>
        </row>
        <row r="547">
          <cell r="A547" t="str">
            <v>EUR_EURIBOR_EOD</v>
          </cell>
          <cell r="F547">
            <v>1.0034723173488</v>
          </cell>
        </row>
        <row r="548">
          <cell r="A548" t="str">
            <v>EUR_EURIBOR_EOD</v>
          </cell>
          <cell r="F548">
            <v>1.0033766983866701</v>
          </cell>
        </row>
        <row r="549">
          <cell r="A549" t="str">
            <v>EUR_EURIBOR_EOD</v>
          </cell>
          <cell r="F549">
            <v>1.00311451211749</v>
          </cell>
        </row>
        <row r="550">
          <cell r="A550" t="str">
            <v>EUR_EURIBOR_EOD</v>
          </cell>
          <cell r="F550">
            <v>0.99559899402543905</v>
          </cell>
        </row>
        <row r="551">
          <cell r="A551" t="str">
            <v>EUR_EURIBOR_EOD</v>
          </cell>
          <cell r="F551">
            <v>0.98877268387367201</v>
          </cell>
        </row>
        <row r="552">
          <cell r="A552" t="str">
            <v>EUR_EURIBOR_EOD</v>
          </cell>
          <cell r="F552">
            <v>0.979130914176917</v>
          </cell>
        </row>
        <row r="553">
          <cell r="A553" t="str">
            <v>EUR_EURIBOR_EOD</v>
          </cell>
          <cell r="F553">
            <v>0.96674523138630397</v>
          </cell>
        </row>
        <row r="554">
          <cell r="A554" t="str">
            <v>EUR_EURIBOR_EOD</v>
          </cell>
          <cell r="F554">
            <v>0.95230778913732494</v>
          </cell>
        </row>
        <row r="555">
          <cell r="A555" t="str">
            <v>EUR_EURIBOR_EOD</v>
          </cell>
          <cell r="F555">
            <v>0.93641395363061897</v>
          </cell>
        </row>
        <row r="556">
          <cell r="A556" t="str">
            <v>EUR_EURIBOR_EOD</v>
          </cell>
          <cell r="F556">
            <v>0.91948338203338298</v>
          </cell>
        </row>
        <row r="557">
          <cell r="A557" t="str">
            <v>EUR_EURIBOR_EOD</v>
          </cell>
          <cell r="F557">
            <v>0.88379846436251996</v>
          </cell>
        </row>
        <row r="558">
          <cell r="A558" t="str">
            <v>EUR_EURIBOR_EOD</v>
          </cell>
          <cell r="F558">
            <v>0.83067413796077505</v>
          </cell>
        </row>
        <row r="559">
          <cell r="A559" t="str">
            <v>EUR_EURIBOR_EOD</v>
          </cell>
          <cell r="F559">
            <v>0.75278246052183695</v>
          </cell>
        </row>
        <row r="560">
          <cell r="A560" t="str">
            <v>EUR_EURIBOR_EOD</v>
          </cell>
          <cell r="F560">
            <v>0.69327744681151304</v>
          </cell>
        </row>
        <row r="561">
          <cell r="A561" t="str">
            <v>EUR_EURIBOR_EOD</v>
          </cell>
          <cell r="F561">
            <v>0.64211304836239602</v>
          </cell>
        </row>
        <row r="562">
          <cell r="A562" t="str">
            <v>EUR_EURIBOR_EOD</v>
          </cell>
          <cell r="F562">
            <v>0.55377254952129695</v>
          </cell>
        </row>
        <row r="563">
          <cell r="A563" t="str">
            <v>EUR_EURIBOR_EOD</v>
          </cell>
          <cell r="F563">
            <v>0.493267372692134</v>
          </cell>
        </row>
        <row r="564">
          <cell r="A564" t="str">
            <v>EUR_EURIBOR_EOD</v>
          </cell>
          <cell r="F564">
            <v>0.44260107268479298</v>
          </cell>
        </row>
        <row r="565">
          <cell r="A565" t="str">
            <v>GBP_LIBOR_12M_EOD</v>
          </cell>
          <cell r="F565">
            <v>0.98988788841658304</v>
          </cell>
        </row>
        <row r="566">
          <cell r="A566" t="str">
            <v>GBP_LIBOR_12M_EOD</v>
          </cell>
          <cell r="F566">
            <v>0.98860290915951199</v>
          </cell>
        </row>
        <row r="567">
          <cell r="A567" t="str">
            <v>GBP_LIBOR_12M_EOD</v>
          </cell>
          <cell r="F567">
            <v>0.98759033161901599</v>
          </cell>
        </row>
        <row r="568">
          <cell r="A568" t="str">
            <v>GBP_LIBOR_12M_EOD</v>
          </cell>
          <cell r="F568">
            <v>0.98656651560983</v>
          </cell>
        </row>
        <row r="569">
          <cell r="A569" t="str">
            <v>GBP_LIBOR_12M_EOD</v>
          </cell>
          <cell r="F569">
            <v>0.98548347224016097</v>
          </cell>
        </row>
        <row r="570">
          <cell r="A570" t="str">
            <v>GBP_LIBOR_12M_EOD</v>
          </cell>
          <cell r="F570">
            <v>0.98452605615928901</v>
          </cell>
        </row>
        <row r="571">
          <cell r="A571" t="str">
            <v>GBP_LIBOR_12M_EOD</v>
          </cell>
          <cell r="F571">
            <v>0.98352223934475302</v>
          </cell>
        </row>
        <row r="572">
          <cell r="A572" t="str">
            <v>GBP_LIBOR_12M_EOD</v>
          </cell>
          <cell r="F572">
            <v>0.98026478530598604</v>
          </cell>
        </row>
        <row r="573">
          <cell r="A573" t="str">
            <v>GBP_LIBOR_12M_EOD</v>
          </cell>
          <cell r="F573">
            <v>0.97771796284565105</v>
          </cell>
        </row>
        <row r="574">
          <cell r="A574" t="str">
            <v>GBP_LIBOR_12M_EOD</v>
          </cell>
          <cell r="F574">
            <v>0.96260850692674205</v>
          </cell>
        </row>
        <row r="575">
          <cell r="A575" t="str">
            <v>GBP_LIBOR_12M_EOD</v>
          </cell>
          <cell r="F575">
            <v>0.94525818662782402</v>
          </cell>
        </row>
        <row r="576">
          <cell r="A576" t="str">
            <v>GBP_LIBOR_12M_EOD</v>
          </cell>
          <cell r="F576">
            <v>0.92607396709797496</v>
          </cell>
        </row>
        <row r="577">
          <cell r="A577" t="str">
            <v>GBP_LIBOR_12M_EOD</v>
          </cell>
          <cell r="F577">
            <v>0.90582306861253903</v>
          </cell>
        </row>
        <row r="578">
          <cell r="A578" t="str">
            <v>GBP_LIBOR_12M_EOD</v>
          </cell>
          <cell r="F578">
            <v>0.88519708853424905</v>
          </cell>
        </row>
        <row r="579">
          <cell r="A579" t="str">
            <v>GBP_LIBOR_12M_EOD</v>
          </cell>
          <cell r="F579">
            <v>0.86462779775198595</v>
          </cell>
        </row>
        <row r="580">
          <cell r="A580" t="str">
            <v>GBP_LIBOR_12M_EOD</v>
          </cell>
          <cell r="F580">
            <v>0.84418459313217198</v>
          </cell>
        </row>
        <row r="581">
          <cell r="A581" t="str">
            <v>GBP_LIBOR_12M_EOD</v>
          </cell>
          <cell r="F581">
            <v>0.823870865877944</v>
          </cell>
        </row>
        <row r="582">
          <cell r="A582" t="str">
            <v>GBP_LIBOR_12M_EOD</v>
          </cell>
          <cell r="F582">
            <v>0.78375844351551205</v>
          </cell>
        </row>
        <row r="583">
          <cell r="A583" t="str">
            <v>GBP_LIBOR_12M_EOD</v>
          </cell>
          <cell r="F583">
            <v>0.72707407421379999</v>
          </cell>
        </row>
        <row r="584">
          <cell r="A584" t="str">
            <v>GBP_LIBOR_12M_EOD</v>
          </cell>
          <cell r="F584">
            <v>0.64612798555250694</v>
          </cell>
        </row>
        <row r="585">
          <cell r="A585" t="str">
            <v>GBP_LIBOR_12M_EOD</v>
          </cell>
          <cell r="F585">
            <v>0.58096236180134297</v>
          </cell>
        </row>
        <row r="586">
          <cell r="A586" t="str">
            <v>GBP_LIBOR_12M_EOD</v>
          </cell>
          <cell r="F586">
            <v>0.52478271719351899</v>
          </cell>
        </row>
        <row r="587">
          <cell r="A587" t="str">
            <v>GBP_LIBOR_12M_EOD</v>
          </cell>
          <cell r="F587">
            <v>0.437268356135457</v>
          </cell>
        </row>
        <row r="588">
          <cell r="A588" t="str">
            <v>GBP_LIBOR_12M_EOD</v>
          </cell>
          <cell r="F588">
            <v>0.36394687081649402</v>
          </cell>
        </row>
        <row r="589">
          <cell r="A589" t="str">
            <v>GBP_LIBOR_12M_EOD</v>
          </cell>
          <cell r="F589">
            <v>0.30298454695643501</v>
          </cell>
        </row>
        <row r="590">
          <cell r="A590" t="str">
            <v>GBP_LIBOR_1M_EOD</v>
          </cell>
          <cell r="F590">
            <v>0.99957016812256205</v>
          </cell>
        </row>
        <row r="591">
          <cell r="A591" t="str">
            <v>GBP_LIBOR_1M_EOD</v>
          </cell>
          <cell r="F591">
            <v>0.99912047913132795</v>
          </cell>
        </row>
        <row r="592">
          <cell r="A592" t="str">
            <v>GBP_LIBOR_1M_EOD</v>
          </cell>
          <cell r="F592">
            <v>0.99871191997814601</v>
          </cell>
        </row>
        <row r="593">
          <cell r="A593" t="str">
            <v>GBP_LIBOR_1M_EOD</v>
          </cell>
          <cell r="F593">
            <v>0.99735618988239505</v>
          </cell>
        </row>
        <row r="594">
          <cell r="A594" t="str">
            <v>GBP_LIBOR_1M_EOD</v>
          </cell>
          <cell r="F594">
            <v>0.99590528876533402</v>
          </cell>
        </row>
        <row r="595">
          <cell r="A595" t="str">
            <v>GBP_LIBOR_1M_EOD</v>
          </cell>
          <cell r="F595">
            <v>0.99428704293805104</v>
          </cell>
        </row>
        <row r="596">
          <cell r="A596" t="str">
            <v>GBP_LIBOR_1M_EOD</v>
          </cell>
          <cell r="F596">
            <v>0.98591358174793098</v>
          </cell>
        </row>
        <row r="597">
          <cell r="A597" t="str">
            <v>GBP_LIBOR_1M_EOD</v>
          </cell>
          <cell r="F597">
            <v>0.974185865484128</v>
          </cell>
        </row>
        <row r="598">
          <cell r="A598" t="str">
            <v>GBP_LIBOR_1M_EOD</v>
          </cell>
          <cell r="F598">
            <v>0.95982347293284498</v>
          </cell>
        </row>
        <row r="599">
          <cell r="A599" t="str">
            <v>GBP_LIBOR_1M_EOD</v>
          </cell>
          <cell r="F599">
            <v>0.94337882080188695</v>
          </cell>
        </row>
        <row r="600">
          <cell r="A600" t="str">
            <v>GBP_LIBOR_1M_EOD</v>
          </cell>
          <cell r="F600">
            <v>0.92558241973490296</v>
          </cell>
        </row>
        <row r="601">
          <cell r="A601" t="str">
            <v>GBP_LIBOR_1M_EOD</v>
          </cell>
          <cell r="F601">
            <v>0.90700953489535396</v>
          </cell>
        </row>
        <row r="602">
          <cell r="A602" t="str">
            <v>GBP_LIBOR_1M_EOD</v>
          </cell>
          <cell r="F602">
            <v>0.88836076671849296</v>
          </cell>
        </row>
        <row r="603">
          <cell r="A603" t="str">
            <v>GBP_LIBOR_1M_EOD</v>
          </cell>
          <cell r="F603">
            <v>0.86938088700138705</v>
          </cell>
        </row>
        <row r="604">
          <cell r="A604" t="str">
            <v>GBP_LIBOR_1M_EOD</v>
          </cell>
          <cell r="F604">
            <v>0.85032135930518904</v>
          </cell>
        </row>
        <row r="605">
          <cell r="A605" t="str">
            <v>GBP_LIBOR_1M_EOD</v>
          </cell>
          <cell r="F605">
            <v>0.81182362767840999</v>
          </cell>
        </row>
        <row r="606">
          <cell r="A606" t="str">
            <v>GBP_LIBOR_1M_EOD</v>
          </cell>
          <cell r="F606">
            <v>0.75572531237721696</v>
          </cell>
        </row>
        <row r="607">
          <cell r="A607" t="str">
            <v>GBP_LIBOR_1M_EOD</v>
          </cell>
          <cell r="F607">
            <v>0.67543562576106297</v>
          </cell>
        </row>
        <row r="608">
          <cell r="A608" t="str">
            <v>GBP_LIBOR_1M_EOD</v>
          </cell>
          <cell r="F608">
            <v>0.60926344520399001</v>
          </cell>
        </row>
        <row r="609">
          <cell r="A609" t="str">
            <v>GBP_LIBOR_1M_EOD</v>
          </cell>
          <cell r="F609">
            <v>0.55229176417870796</v>
          </cell>
        </row>
        <row r="610">
          <cell r="A610" t="str">
            <v>GBP_LIBOR_1M_EOD</v>
          </cell>
          <cell r="F610">
            <v>0.46587827982873897</v>
          </cell>
        </row>
        <row r="611">
          <cell r="A611" t="str">
            <v>GBP_LIBOR_1M_EOD</v>
          </cell>
          <cell r="F611">
            <v>0.39207519007629998</v>
          </cell>
        </row>
        <row r="612">
          <cell r="A612" t="str">
            <v>GBP_LIBOR_1M_EOD</v>
          </cell>
          <cell r="F612">
            <v>0.322217755240295</v>
          </cell>
        </row>
        <row r="613">
          <cell r="A613" t="str">
            <v>GBP_LIBOR_3M_EOD</v>
          </cell>
          <cell r="F613">
            <v>0.99854177445856696</v>
          </cell>
        </row>
        <row r="614">
          <cell r="A614" t="str">
            <v>GBP_LIBOR_3M_EOD</v>
          </cell>
          <cell r="F614">
            <v>0.99771549533318105</v>
          </cell>
        </row>
        <row r="615">
          <cell r="A615" t="str">
            <v>GBP_LIBOR_3M_EOD</v>
          </cell>
          <cell r="F615">
            <v>0.99615384557558395</v>
          </cell>
        </row>
        <row r="616">
          <cell r="A616" t="str">
            <v>GBP_LIBOR_3M_EOD</v>
          </cell>
          <cell r="F616">
            <v>0.99434525860909795</v>
          </cell>
        </row>
        <row r="617">
          <cell r="A617" t="str">
            <v>GBP_LIBOR_3M_EOD</v>
          </cell>
          <cell r="F617">
            <v>0.99247536161183603</v>
          </cell>
        </row>
        <row r="618">
          <cell r="A618" t="str">
            <v>GBP_LIBOR_3M_EOD</v>
          </cell>
          <cell r="F618">
            <v>0.99052919266413197</v>
          </cell>
        </row>
        <row r="619">
          <cell r="A619" t="str">
            <v>GBP_LIBOR_3M_EOD</v>
          </cell>
          <cell r="F619">
            <v>0.98804542355646297</v>
          </cell>
        </row>
        <row r="620">
          <cell r="A620" t="str">
            <v>GBP_LIBOR_3M_EOD</v>
          </cell>
          <cell r="F620">
            <v>0.98550662425858604</v>
          </cell>
        </row>
        <row r="621">
          <cell r="A621" t="str">
            <v>GBP_LIBOR_3M_EOD</v>
          </cell>
          <cell r="F621">
            <v>0.98276193978816095</v>
          </cell>
        </row>
        <row r="622">
          <cell r="A622" t="str">
            <v>GBP_LIBOR_3M_EOD</v>
          </cell>
          <cell r="F622">
            <v>0.97185746032450304</v>
          </cell>
        </row>
        <row r="623">
          <cell r="A623" t="str">
            <v>GBP_LIBOR_3M_EOD</v>
          </cell>
          <cell r="F623">
            <v>0.95676425029363299</v>
          </cell>
        </row>
        <row r="624">
          <cell r="A624" t="str">
            <v>GBP_LIBOR_3M_EOD</v>
          </cell>
          <cell r="F624">
            <v>0.93968675747960295</v>
          </cell>
        </row>
        <row r="625">
          <cell r="A625" t="str">
            <v>GBP_LIBOR_3M_EOD</v>
          </cell>
          <cell r="F625">
            <v>0.92138377465474797</v>
          </cell>
        </row>
        <row r="626">
          <cell r="A626" t="str">
            <v>GBP_LIBOR_3M_EOD</v>
          </cell>
          <cell r="F626">
            <v>0.90254222327884004</v>
          </cell>
        </row>
        <row r="627">
          <cell r="A627" t="str">
            <v>GBP_LIBOR_3M_EOD</v>
          </cell>
          <cell r="F627">
            <v>0.88354766292700704</v>
          </cell>
        </row>
        <row r="628">
          <cell r="A628" t="str">
            <v>GBP_LIBOR_3M_EOD</v>
          </cell>
          <cell r="F628">
            <v>0.86428620207570495</v>
          </cell>
        </row>
        <row r="629">
          <cell r="A629" t="str">
            <v>GBP_LIBOR_3M_EOD</v>
          </cell>
          <cell r="F629">
            <v>0.84478641498068696</v>
          </cell>
        </row>
        <row r="630">
          <cell r="A630" t="str">
            <v>GBP_LIBOR_3M_EOD</v>
          </cell>
          <cell r="F630">
            <v>0.80548243089737603</v>
          </cell>
        </row>
        <row r="631">
          <cell r="A631" t="str">
            <v>GBP_LIBOR_3M_EOD</v>
          </cell>
          <cell r="F631">
            <v>0.74866302839885102</v>
          </cell>
        </row>
        <row r="632">
          <cell r="A632" t="str">
            <v>GBP_LIBOR_3M_EOD</v>
          </cell>
          <cell r="F632">
            <v>0.667209932700077</v>
          </cell>
        </row>
        <row r="633">
          <cell r="A633" t="str">
            <v>GBP_LIBOR_3M_EOD</v>
          </cell>
          <cell r="F633">
            <v>0.60091491058558799</v>
          </cell>
        </row>
        <row r="634">
          <cell r="A634" t="str">
            <v>GBP_LIBOR_3M_EOD</v>
          </cell>
          <cell r="F634">
            <v>0.54365072874875597</v>
          </cell>
        </row>
        <row r="635">
          <cell r="A635" t="str">
            <v>GBP_LIBOR_3M_EOD</v>
          </cell>
          <cell r="F635">
            <v>0.45676776484593501</v>
          </cell>
        </row>
        <row r="636">
          <cell r="A636" t="str">
            <v>GBP_LIBOR_3M_EOD</v>
          </cell>
          <cell r="F636">
            <v>0.38312722704694802</v>
          </cell>
        </row>
        <row r="637">
          <cell r="A637" t="str">
            <v>GBP_LIBOR_3M_EOD</v>
          </cell>
          <cell r="F637">
            <v>0.31447674815993698</v>
          </cell>
        </row>
        <row r="638">
          <cell r="A638" t="str">
            <v>GBP_LIBOR_6M_EOD</v>
          </cell>
          <cell r="F638">
            <v>0.99630357724846597</v>
          </cell>
        </row>
        <row r="639">
          <cell r="A639" t="str">
            <v>GBP_LIBOR_6M_EOD</v>
          </cell>
          <cell r="F639">
            <v>0.99224660709014001</v>
          </cell>
        </row>
        <row r="640">
          <cell r="A640" t="str">
            <v>GBP_LIBOR_6M_EOD</v>
          </cell>
          <cell r="F640">
            <v>0.98749744778974902</v>
          </cell>
        </row>
        <row r="641">
          <cell r="A641" t="str">
            <v>GBP_LIBOR_6M_EOD</v>
          </cell>
          <cell r="F641">
            <v>0.98181448137775795</v>
          </cell>
        </row>
        <row r="642">
          <cell r="A642" t="str">
            <v>GBP_LIBOR_6M_EOD</v>
          </cell>
          <cell r="F642">
            <v>0.96811666246956796</v>
          </cell>
        </row>
        <row r="643">
          <cell r="A643" t="str">
            <v>GBP_LIBOR_6M_EOD</v>
          </cell>
          <cell r="F643">
            <v>0.95187989940869999</v>
          </cell>
        </row>
        <row r="644">
          <cell r="A644" t="str">
            <v>GBP_LIBOR_6M_EOD</v>
          </cell>
          <cell r="F644">
            <v>0.93370329160163201</v>
          </cell>
        </row>
        <row r="645">
          <cell r="A645" t="str">
            <v>GBP_LIBOR_6M_EOD</v>
          </cell>
          <cell r="F645">
            <v>0.914355522755253</v>
          </cell>
        </row>
        <row r="646">
          <cell r="A646" t="str">
            <v>GBP_LIBOR_6M_EOD</v>
          </cell>
          <cell r="F646">
            <v>0.89460319582255099</v>
          </cell>
        </row>
        <row r="647">
          <cell r="A647" t="str">
            <v>GBP_LIBOR_6M_EOD</v>
          </cell>
          <cell r="F647">
            <v>0.87467618684169202</v>
          </cell>
        </row>
        <row r="648">
          <cell r="A648" t="str">
            <v>GBP_LIBOR_6M_EOD</v>
          </cell>
          <cell r="F648">
            <v>0.85463036269363801</v>
          </cell>
        </row>
        <row r="649">
          <cell r="A649" t="str">
            <v>GBP_LIBOR_6M_EOD</v>
          </cell>
          <cell r="F649">
            <v>0.834649774119258</v>
          </cell>
        </row>
        <row r="650">
          <cell r="A650" t="str">
            <v>GBP_LIBOR_6M_EOD</v>
          </cell>
          <cell r="F650">
            <v>0.79480945915783596</v>
          </cell>
        </row>
        <row r="651">
          <cell r="A651" t="str">
            <v>GBP_LIBOR_6M_EOD</v>
          </cell>
          <cell r="F651">
            <v>0.73827798713553305</v>
          </cell>
        </row>
        <row r="652">
          <cell r="A652" t="str">
            <v>GBP_LIBOR_6M_EOD</v>
          </cell>
          <cell r="F652">
            <v>0.65747768704097498</v>
          </cell>
        </row>
        <row r="653">
          <cell r="A653" t="str">
            <v>GBP_LIBOR_6M_EOD</v>
          </cell>
          <cell r="F653">
            <v>0.59187082343959196</v>
          </cell>
        </row>
        <row r="654">
          <cell r="A654" t="str">
            <v>GBP_LIBOR_6M_EOD</v>
          </cell>
          <cell r="F654">
            <v>0.53527365522681802</v>
          </cell>
        </row>
        <row r="655">
          <cell r="A655" t="str">
            <v>GBP_LIBOR_6M_EOD</v>
          </cell>
          <cell r="F655">
            <v>0.44940732784041199</v>
          </cell>
        </row>
        <row r="656">
          <cell r="A656" t="str">
            <v>GBP_LIBOR_6M_EOD</v>
          </cell>
          <cell r="F656">
            <v>0.376789240119562</v>
          </cell>
        </row>
        <row r="657">
          <cell r="A657" t="str">
            <v>GBP_LIBOR_6M_EOD</v>
          </cell>
          <cell r="F657">
            <v>0.30904251746856898</v>
          </cell>
        </row>
        <row r="658">
          <cell r="A658" t="str">
            <v>GBP_LIBOR_EOD</v>
          </cell>
          <cell r="F658">
            <v>0.99998678099666205</v>
          </cell>
        </row>
        <row r="659">
          <cell r="A659" t="str">
            <v>GBP_LIBOR_EOD</v>
          </cell>
          <cell r="F659">
            <v>0.99990693551111998</v>
          </cell>
        </row>
        <row r="660">
          <cell r="A660" t="str">
            <v>GBP_LIBOR_EOD</v>
          </cell>
          <cell r="F660">
            <v>0.99957016812256205</v>
          </cell>
        </row>
        <row r="661">
          <cell r="A661" t="str">
            <v>GBP_LIBOR_EOD</v>
          </cell>
          <cell r="F661">
            <v>0.99779384504227098</v>
          </cell>
        </row>
        <row r="662">
          <cell r="A662" t="str">
            <v>GBP_LIBOR_EOD</v>
          </cell>
          <cell r="F662">
            <v>0.99623207264971103</v>
          </cell>
        </row>
        <row r="663">
          <cell r="A663" t="str">
            <v>GBP_LIBOR_EOD</v>
          </cell>
          <cell r="F663">
            <v>0.99442334365650098</v>
          </cell>
        </row>
        <row r="664">
          <cell r="A664" t="str">
            <v>GBP_LIBOR_EOD</v>
          </cell>
          <cell r="F664">
            <v>0.99255329981789298</v>
          </cell>
        </row>
        <row r="665">
          <cell r="A665" t="str">
            <v>GBP_LIBOR_EOD</v>
          </cell>
          <cell r="F665">
            <v>0.990606978039276</v>
          </cell>
        </row>
        <row r="666">
          <cell r="A666" t="str">
            <v>GBP_LIBOR_EOD</v>
          </cell>
          <cell r="F666">
            <v>0.98812301388343105</v>
          </cell>
        </row>
        <row r="667">
          <cell r="A667" t="str">
            <v>GBP_LIBOR_EOD</v>
          </cell>
          <cell r="F667">
            <v>0.985584015215906</v>
          </cell>
        </row>
        <row r="668">
          <cell r="A668" t="str">
            <v>GBP_LIBOR_EOD</v>
          </cell>
          <cell r="F668">
            <v>0.98283911520785505</v>
          </cell>
        </row>
        <row r="669">
          <cell r="A669" t="str">
            <v>GBP_LIBOR_EOD</v>
          </cell>
          <cell r="F669">
            <v>0.96804728892166303</v>
          </cell>
        </row>
        <row r="670">
          <cell r="A670" t="str">
            <v>GBP_LIBOR_EOD</v>
          </cell>
          <cell r="F670">
            <v>0.95177440275113001</v>
          </cell>
        </row>
        <row r="671">
          <cell r="A671" t="str">
            <v>GBP_LIBOR_EOD</v>
          </cell>
          <cell r="F671">
            <v>0.93354442628510204</v>
          </cell>
        </row>
        <row r="672">
          <cell r="A672" t="str">
            <v>GBP_LIBOR_EOD</v>
          </cell>
          <cell r="F672">
            <v>0.91413503691403697</v>
          </cell>
        </row>
        <row r="673">
          <cell r="A673" t="str">
            <v>GBP_LIBOR_EOD</v>
          </cell>
          <cell r="F673">
            <v>0.89431645299416296</v>
          </cell>
        </row>
        <row r="674">
          <cell r="A674" t="str">
            <v>GBP_LIBOR_EOD</v>
          </cell>
          <cell r="F674">
            <v>0.874319877388682</v>
          </cell>
        </row>
        <row r="675">
          <cell r="A675" t="str">
            <v>GBP_LIBOR_EOD</v>
          </cell>
          <cell r="F675">
            <v>0.85420275203296003</v>
          </cell>
        </row>
        <row r="676">
          <cell r="A676" t="str">
            <v>GBP_LIBOR_EOD</v>
          </cell>
          <cell r="F676">
            <v>0.83414881590169498</v>
          </cell>
        </row>
        <row r="677">
          <cell r="A677" t="str">
            <v>GBP_LIBOR_EOD</v>
          </cell>
          <cell r="F677">
            <v>0.79416475436207801</v>
          </cell>
        </row>
        <row r="678">
          <cell r="A678" t="str">
            <v>GBP_LIBOR_EOD</v>
          </cell>
          <cell r="F678">
            <v>0.73746818287759497</v>
          </cell>
        </row>
        <row r="679">
          <cell r="A679" t="str">
            <v>GBP_LIBOR_EOD</v>
          </cell>
          <cell r="F679">
            <v>0.65657302492969305</v>
          </cell>
        </row>
        <row r="680">
          <cell r="A680" t="str">
            <v>GBP_LIBOR_EOD</v>
          </cell>
          <cell r="F680">
            <v>0.59103355943116698</v>
          </cell>
        </row>
        <row r="681">
          <cell r="A681" t="str">
            <v>GBP_LIBOR_EOD</v>
          </cell>
          <cell r="F681">
            <v>0.53454633590199896</v>
          </cell>
        </row>
        <row r="682">
          <cell r="A682" t="str">
            <v>GBP_LIBOR_EOD</v>
          </cell>
          <cell r="F682">
            <v>0.449110190952479</v>
          </cell>
        </row>
        <row r="683">
          <cell r="A683" t="str">
            <v>GBP_LIBOR_EOD</v>
          </cell>
          <cell r="F683">
            <v>0.37676506543410898</v>
          </cell>
        </row>
        <row r="684">
          <cell r="A684" t="str">
            <v>GBP_LIBOR_EOD</v>
          </cell>
          <cell r="F684">
            <v>0.30900894673121998</v>
          </cell>
        </row>
        <row r="685">
          <cell r="A685" t="str">
            <v>GBP_SONIA_EOD</v>
          </cell>
          <cell r="F685">
            <v>0.99998730701042904</v>
          </cell>
        </row>
        <row r="686">
          <cell r="A686" t="str">
            <v>GBP_SONIA_EOD</v>
          </cell>
          <cell r="F686">
            <v>0.99991169273036895</v>
          </cell>
        </row>
        <row r="687">
          <cell r="A687" t="str">
            <v>GBP_SONIA_EOD</v>
          </cell>
          <cell r="F687">
            <v>0.999822576690097</v>
          </cell>
        </row>
        <row r="688">
          <cell r="A688" t="str">
            <v>GBP_SONIA_EOD</v>
          </cell>
          <cell r="F688">
            <v>0.99960624277705801</v>
          </cell>
        </row>
        <row r="689">
          <cell r="A689" t="str">
            <v>GBP_SONIA_EOD</v>
          </cell>
          <cell r="F689">
            <v>0.99920562331681395</v>
          </cell>
        </row>
        <row r="690">
          <cell r="A690" t="str">
            <v>GBP_SONIA_EOD</v>
          </cell>
          <cell r="F690">
            <v>0.99884619718229095</v>
          </cell>
        </row>
        <row r="691">
          <cell r="A691" t="str">
            <v>GBP_SONIA_EOD</v>
          </cell>
          <cell r="F691">
            <v>0.99841027952282302</v>
          </cell>
        </row>
        <row r="692">
          <cell r="A692" t="str">
            <v>GBP_SONIA_EOD</v>
          </cell>
          <cell r="F692">
            <v>0.99802224165529296</v>
          </cell>
        </row>
        <row r="693">
          <cell r="A693" t="str">
            <v>GBP_SONIA_EOD</v>
          </cell>
          <cell r="F693">
            <v>0.997630451043517</v>
          </cell>
        </row>
        <row r="694">
          <cell r="A694" t="str">
            <v>GBP_SONIA_EOD</v>
          </cell>
          <cell r="F694">
            <v>0.99721231380892195</v>
          </cell>
        </row>
        <row r="695">
          <cell r="A695" t="str">
            <v>GBP_SONIA_EOD</v>
          </cell>
          <cell r="F695">
            <v>0.99677978479364704</v>
          </cell>
        </row>
        <row r="696">
          <cell r="A696" t="str">
            <v>GBP_SONIA_EOD</v>
          </cell>
          <cell r="F696">
            <v>0.99634728065672495</v>
          </cell>
        </row>
        <row r="697">
          <cell r="A697" t="str">
            <v>GBP_SONIA_EOD</v>
          </cell>
          <cell r="F697">
            <v>0.99585461465550296</v>
          </cell>
        </row>
        <row r="698">
          <cell r="A698" t="str">
            <v>GBP_SONIA_EOD</v>
          </cell>
          <cell r="F698">
            <v>0.99536955175340303</v>
          </cell>
        </row>
        <row r="699">
          <cell r="A699" t="str">
            <v>GBP_SONIA_EOD</v>
          </cell>
          <cell r="F699">
            <v>0.99489533920784501</v>
          </cell>
        </row>
        <row r="700">
          <cell r="A700" t="str">
            <v>GBP_SONIA_EOD</v>
          </cell>
          <cell r="F700">
            <v>0.993295672667318</v>
          </cell>
        </row>
        <row r="701">
          <cell r="A701" t="str">
            <v>GBP_SONIA_EOD</v>
          </cell>
          <cell r="F701">
            <v>0.99154340954571096</v>
          </cell>
        </row>
        <row r="702">
          <cell r="A702" t="str">
            <v>GBP_SONIA_EOD</v>
          </cell>
          <cell r="F702">
            <v>0.98958827885262302</v>
          </cell>
        </row>
        <row r="703">
          <cell r="A703" t="str">
            <v>GBP_SONIA_EOD</v>
          </cell>
          <cell r="F703">
            <v>0.98739514695967501</v>
          </cell>
        </row>
        <row r="704">
          <cell r="A704" t="str">
            <v>GBP_SONIA_EOD</v>
          </cell>
          <cell r="F704">
            <v>0.97701188479479395</v>
          </cell>
        </row>
        <row r="705">
          <cell r="A705" t="str">
            <v>GBP_SONIA_EOD</v>
          </cell>
          <cell r="F705">
            <v>0.96410517165808995</v>
          </cell>
        </row>
        <row r="706">
          <cell r="A706" t="str">
            <v>GBP_SONIA_EOD</v>
          </cell>
          <cell r="F706">
            <v>0.94906015137198096</v>
          </cell>
        </row>
        <row r="707">
          <cell r="A707" t="str">
            <v>GBP_SONIA_EOD</v>
          </cell>
          <cell r="F707">
            <v>0.93255709161852496</v>
          </cell>
        </row>
        <row r="708">
          <cell r="A708" t="str">
            <v>GBP_SONIA_EOD</v>
          </cell>
          <cell r="F708">
            <v>0.91531390783849398</v>
          </cell>
        </row>
        <row r="709">
          <cell r="A709" t="str">
            <v>GBP_SONIA_EOD</v>
          </cell>
          <cell r="F709">
            <v>0.89774721021268999</v>
          </cell>
        </row>
        <row r="710">
          <cell r="A710" t="str">
            <v>GBP_SONIA_EOD</v>
          </cell>
          <cell r="F710">
            <v>0.87950805895468798</v>
          </cell>
        </row>
        <row r="711">
          <cell r="A711" t="str">
            <v>GBP_SONIA_EOD</v>
          </cell>
          <cell r="F711">
            <v>0.86120799091729106</v>
          </cell>
        </row>
        <row r="712">
          <cell r="A712" t="str">
            <v>GBP_SONIA_EOD</v>
          </cell>
          <cell r="F712">
            <v>0.82335251575047996</v>
          </cell>
        </row>
        <row r="713">
          <cell r="A713" t="str">
            <v>GBP_SONIA_EOD</v>
          </cell>
          <cell r="F713">
            <v>0.768203992665208</v>
          </cell>
        </row>
        <row r="714">
          <cell r="A714" t="str">
            <v>GBP_SONIA_EOD</v>
          </cell>
          <cell r="F714">
            <v>0.68776098226520699</v>
          </cell>
        </row>
        <row r="715">
          <cell r="A715" t="str">
            <v>GBP_SONIA_EOD</v>
          </cell>
          <cell r="F715">
            <v>0.62211727826783103</v>
          </cell>
        </row>
        <row r="716">
          <cell r="A716" t="str">
            <v>GBP_SONIA_EOD</v>
          </cell>
          <cell r="F716">
            <v>0.56526683569865099</v>
          </cell>
        </row>
        <row r="717">
          <cell r="A717" t="str">
            <v>GBP_SONIA_EOD</v>
          </cell>
          <cell r="F717">
            <v>0.47856864592904602</v>
          </cell>
        </row>
        <row r="718">
          <cell r="A718" t="str">
            <v>GBP_SONIA_EOD</v>
          </cell>
          <cell r="F718">
            <v>0.40427370153477199</v>
          </cell>
        </row>
        <row r="719">
          <cell r="A719" t="str">
            <v>GBP_SONIA_EOD</v>
          </cell>
          <cell r="F719">
            <v>0.33415872730803398</v>
          </cell>
        </row>
        <row r="720">
          <cell r="A720" t="str">
            <v>HKD_HIBOR_3M_EOD</v>
          </cell>
          <cell r="F720">
            <v>0.99903304549503402</v>
          </cell>
        </row>
        <row r="721">
          <cell r="A721" t="str">
            <v>HKD_HIBOR_3M_EOD</v>
          </cell>
          <cell r="F721">
            <v>0.99783891935811497</v>
          </cell>
        </row>
        <row r="722">
          <cell r="A722" t="str">
            <v>HKD_HIBOR_3M_EOD</v>
          </cell>
          <cell r="F722">
            <v>0.99642290686006996</v>
          </cell>
        </row>
        <row r="723">
          <cell r="A723" t="str">
            <v>HKD_HIBOR_3M_EOD</v>
          </cell>
          <cell r="F723">
            <v>0.99471798748213203</v>
          </cell>
        </row>
        <row r="724">
          <cell r="A724" t="str">
            <v>HKD_HIBOR_3M_EOD</v>
          </cell>
          <cell r="F724">
            <v>0.98488722490927505</v>
          </cell>
        </row>
        <row r="725">
          <cell r="A725" t="str">
            <v>HKD_HIBOR_3M_EOD</v>
          </cell>
          <cell r="F725">
            <v>0.97148518116891902</v>
          </cell>
        </row>
        <row r="726">
          <cell r="A726" t="str">
            <v>HKD_HIBOR_3M_EOD</v>
          </cell>
          <cell r="F726">
            <v>0.95491639985830601</v>
          </cell>
        </row>
        <row r="727">
          <cell r="A727" t="str">
            <v>HKD_HIBOR_3M_EOD</v>
          </cell>
          <cell r="F727">
            <v>0.93714197229641405</v>
          </cell>
        </row>
        <row r="728">
          <cell r="A728" t="str">
            <v>HKD_HIBOR_3M_EOD</v>
          </cell>
          <cell r="F728">
            <v>0.89702741834705502</v>
          </cell>
        </row>
        <row r="729">
          <cell r="A729" t="str">
            <v>HKD_HIBOR_3M_EOD</v>
          </cell>
          <cell r="F729">
            <v>0.83366909242072496</v>
          </cell>
        </row>
        <row r="730">
          <cell r="A730" t="str">
            <v>HKD_HIBOR_3M_EOD</v>
          </cell>
          <cell r="F730">
            <v>0.79585550813077499</v>
          </cell>
        </row>
        <row r="731">
          <cell r="A731" t="str">
            <v>HKD_HIBOR_3M_EOD</v>
          </cell>
          <cell r="F731">
            <v>0.736883523364669</v>
          </cell>
        </row>
        <row r="732">
          <cell r="A732" t="str">
            <v>HKD_HIBOR_6M_EOD</v>
          </cell>
          <cell r="F732">
            <v>0.99725004883793</v>
          </cell>
        </row>
        <row r="733">
          <cell r="A733" t="str">
            <v>HKD_HIBOR_6M_EOD</v>
          </cell>
          <cell r="F733">
            <v>0.99320975098488395</v>
          </cell>
        </row>
        <row r="734">
          <cell r="A734" t="str">
            <v>HKD_HIBOR_6M_EOD</v>
          </cell>
          <cell r="F734">
            <v>0.98213861994085205</v>
          </cell>
        </row>
        <row r="735">
          <cell r="A735" t="str">
            <v>HKD_HIBOR_6M_EOD</v>
          </cell>
          <cell r="F735">
            <v>0.96770781841822096</v>
          </cell>
        </row>
        <row r="736">
          <cell r="A736" t="str">
            <v>HKD_HIBOR_6M_EOD</v>
          </cell>
          <cell r="F736">
            <v>0.95036433355804295</v>
          </cell>
        </row>
        <row r="737">
          <cell r="A737" t="str">
            <v>HKD_HIBOR_6M_EOD</v>
          </cell>
          <cell r="F737">
            <v>0.93204168345045701</v>
          </cell>
        </row>
        <row r="738">
          <cell r="A738" t="str">
            <v>HKD_HIBOR_6M_EOD</v>
          </cell>
          <cell r="F738">
            <v>0.89084756678320798</v>
          </cell>
        </row>
        <row r="739">
          <cell r="A739" t="str">
            <v>HKD_HIBOR_6M_EOD</v>
          </cell>
          <cell r="F739">
            <v>0.82545636997954297</v>
          </cell>
        </row>
        <row r="740">
          <cell r="A740" t="str">
            <v>HKD_HIBOR_6M_EOD</v>
          </cell>
          <cell r="F740">
            <v>0.785408123201635</v>
          </cell>
        </row>
        <row r="741">
          <cell r="A741" t="str">
            <v>HKD_HIBOR_6M_EOD</v>
          </cell>
          <cell r="F741">
            <v>0.72484116702313595</v>
          </cell>
        </row>
        <row r="742">
          <cell r="A742" t="str">
            <v>HKD_HIBOR_EOD</v>
          </cell>
          <cell r="F742">
            <v>0.99999874767280095</v>
          </cell>
        </row>
        <row r="743">
          <cell r="A743" t="str">
            <v>HKD_HIBOR_EOD</v>
          </cell>
          <cell r="F743">
            <v>0.99998272659974496</v>
          </cell>
        </row>
        <row r="744">
          <cell r="A744" t="str">
            <v>HKD_HIBOR_EOD</v>
          </cell>
          <cell r="F744">
            <v>0.99981587692124996</v>
          </cell>
        </row>
        <row r="745">
          <cell r="A745" t="str">
            <v>HKD_HIBOR_EOD</v>
          </cell>
          <cell r="F745">
            <v>0.99947850388092296</v>
          </cell>
        </row>
        <row r="746">
          <cell r="A746" t="str">
            <v>HKD_HIBOR_EOD</v>
          </cell>
          <cell r="F746">
            <v>0.99903304549503402</v>
          </cell>
        </row>
        <row r="747">
          <cell r="A747" t="str">
            <v>HKD_HIBOR_EOD</v>
          </cell>
          <cell r="F747">
            <v>0.997250048837931</v>
          </cell>
        </row>
        <row r="748">
          <cell r="A748" t="str">
            <v>HKD_HIBOR_EOD</v>
          </cell>
          <cell r="F748">
            <v>0.99470286598470403</v>
          </cell>
        </row>
        <row r="749">
          <cell r="A749" t="str">
            <v>HKD_HIBOR_EOD</v>
          </cell>
          <cell r="F749">
            <v>0.98488719527917401</v>
          </cell>
        </row>
        <row r="750">
          <cell r="A750" t="str">
            <v>HKD_HIBOR_EOD</v>
          </cell>
          <cell r="F750">
            <v>0.97148207677711396</v>
          </cell>
        </row>
        <row r="751">
          <cell r="A751" t="str">
            <v>HKD_HIBOR_EOD</v>
          </cell>
          <cell r="F751">
            <v>0.95491141049565398</v>
          </cell>
        </row>
        <row r="752">
          <cell r="A752" t="str">
            <v>HKD_HIBOR_EOD</v>
          </cell>
          <cell r="F752">
            <v>0.93713606245340697</v>
          </cell>
        </row>
        <row r="753">
          <cell r="A753" t="str">
            <v>HKD_HIBOR_EOD</v>
          </cell>
          <cell r="F753">
            <v>0.897021673490627</v>
          </cell>
        </row>
        <row r="754">
          <cell r="A754" t="str">
            <v>HKD_HIBOR_EOD</v>
          </cell>
          <cell r="F754">
            <v>0.833664014408388</v>
          </cell>
        </row>
        <row r="755">
          <cell r="A755" t="str">
            <v>HKD_HIBOR_EOD</v>
          </cell>
          <cell r="F755">
            <v>0.79585066684011296</v>
          </cell>
        </row>
        <row r="756">
          <cell r="A756" t="str">
            <v>HKD_HIBOR_EOD</v>
          </cell>
          <cell r="F756">
            <v>0.736888811380225</v>
          </cell>
        </row>
        <row r="757">
          <cell r="A757" t="str">
            <v>HUF_BUBOR_3M_EOD</v>
          </cell>
          <cell r="F757">
            <v>0.99648725086547696</v>
          </cell>
        </row>
        <row r="758">
          <cell r="A758" t="str">
            <v>HUF_BUBOR_3M_EOD</v>
          </cell>
          <cell r="F758">
            <v>0.99334854539218997</v>
          </cell>
        </row>
        <row r="759">
          <cell r="A759" t="str">
            <v>HUF_BUBOR_3M_EOD</v>
          </cell>
          <cell r="F759">
            <v>0.99026963206117302</v>
          </cell>
        </row>
        <row r="760">
          <cell r="A760" t="str">
            <v>HUF_BUBOR_3M_EOD</v>
          </cell>
          <cell r="F760">
            <v>0.98716294800023696</v>
          </cell>
        </row>
        <row r="761">
          <cell r="A761" t="str">
            <v>HUF_BUBOR_3M_EOD</v>
          </cell>
          <cell r="F761">
            <v>0.97359809925572105</v>
          </cell>
        </row>
        <row r="762">
          <cell r="A762" t="str">
            <v>HUF_BUBOR_3M_EOD</v>
          </cell>
          <cell r="F762">
            <v>0.95828526277623105</v>
          </cell>
        </row>
        <row r="763">
          <cell r="A763" t="str">
            <v>HUF_BUBOR_3M_EOD</v>
          </cell>
          <cell r="F763">
            <v>0.93914880058952299</v>
          </cell>
        </row>
        <row r="764">
          <cell r="A764" t="str">
            <v>HUF_BUBOR_3M_EOD</v>
          </cell>
          <cell r="F764">
            <v>0.91454235795313699</v>
          </cell>
        </row>
        <row r="765">
          <cell r="A765" t="str">
            <v>HUF_BUBOR_3M_EOD</v>
          </cell>
          <cell r="F765">
            <v>0.88586972399749397</v>
          </cell>
        </row>
        <row r="766">
          <cell r="A766" t="str">
            <v>HUF_BUBOR_3M_EOD</v>
          </cell>
          <cell r="F766">
            <v>0.85458809443444195</v>
          </cell>
        </row>
        <row r="767">
          <cell r="A767" t="str">
            <v>HUF_BUBOR_3M_EOD</v>
          </cell>
          <cell r="F767">
            <v>0.82293190730870902</v>
          </cell>
        </row>
        <row r="768">
          <cell r="A768" t="str">
            <v>HUF_BUBOR_3M_EOD</v>
          </cell>
          <cell r="F768">
            <v>0.79166693638886698</v>
          </cell>
        </row>
        <row r="769">
          <cell r="A769" t="str">
            <v>HUF_BUBOR_3M_EOD</v>
          </cell>
          <cell r="F769">
            <v>0.76159785820430503</v>
          </cell>
        </row>
        <row r="770">
          <cell r="A770" t="str">
            <v>HUF_BUBOR_3M_EOD</v>
          </cell>
          <cell r="F770">
            <v>0.71295772045120298</v>
          </cell>
        </row>
        <row r="771">
          <cell r="A771" t="str">
            <v>HUF_BUBOR_3M_EOD</v>
          </cell>
          <cell r="F771">
            <v>0.64775233702718504</v>
          </cell>
        </row>
        <row r="772">
          <cell r="A772" t="str">
            <v>HUF_BUBOR_3M_EOD</v>
          </cell>
          <cell r="F772">
            <v>0.55936705812795096</v>
          </cell>
        </row>
        <row r="773">
          <cell r="A773" t="str">
            <v>HUF_BUBOR_6M_EOD</v>
          </cell>
          <cell r="F773">
            <v>0.99311004130720903</v>
          </cell>
        </row>
        <row r="774">
          <cell r="A774" t="str">
            <v>HUF_BUBOR_6M_EOD</v>
          </cell>
          <cell r="F774">
            <v>0.98689007522772698</v>
          </cell>
        </row>
        <row r="775">
          <cell r="A775" t="str">
            <v>HUF_BUBOR_6M_EOD</v>
          </cell>
          <cell r="F775">
            <v>0.98036019551989395</v>
          </cell>
        </row>
        <row r="776">
          <cell r="A776" t="str">
            <v>HUF_BUBOR_6M_EOD</v>
          </cell>
          <cell r="F776">
            <v>0.97348753709880398</v>
          </cell>
        </row>
        <row r="777">
          <cell r="A777" t="str">
            <v>HUF_BUBOR_6M_EOD</v>
          </cell>
          <cell r="F777">
            <v>0.95858417972029197</v>
          </cell>
        </row>
        <row r="778">
          <cell r="A778" t="str">
            <v>HUF_BUBOR_6M_EOD</v>
          </cell>
          <cell r="F778">
            <v>0.94006860667080305</v>
          </cell>
        </row>
        <row r="779">
          <cell r="A779" t="str">
            <v>HUF_BUBOR_6M_EOD</v>
          </cell>
          <cell r="F779">
            <v>0.91626594898435298</v>
          </cell>
        </row>
        <row r="780">
          <cell r="A780" t="str">
            <v>HUF_BUBOR_6M_EOD</v>
          </cell>
          <cell r="F780">
            <v>0.88824970135591697</v>
          </cell>
        </row>
        <row r="781">
          <cell r="A781" t="str">
            <v>HUF_BUBOR_6M_EOD</v>
          </cell>
          <cell r="F781">
            <v>0.85737885445210604</v>
          </cell>
        </row>
        <row r="782">
          <cell r="A782" t="str">
            <v>HUF_BUBOR_6M_EOD</v>
          </cell>
          <cell r="F782">
            <v>0.82599373827463796</v>
          </cell>
        </row>
        <row r="783">
          <cell r="A783" t="str">
            <v>HUF_BUBOR_6M_EOD</v>
          </cell>
          <cell r="F783">
            <v>0.79496988911568101</v>
          </cell>
        </row>
        <row r="784">
          <cell r="A784" t="str">
            <v>HUF_BUBOR_6M_EOD</v>
          </cell>
          <cell r="F784">
            <v>0.76503180803471704</v>
          </cell>
        </row>
        <row r="785">
          <cell r="A785" t="str">
            <v>HUF_BUBOR_6M_EOD</v>
          </cell>
          <cell r="F785">
            <v>0.71680488409277199</v>
          </cell>
        </row>
        <row r="786">
          <cell r="A786" t="str">
            <v>HUF_BUBOR_6M_EOD</v>
          </cell>
          <cell r="F786">
            <v>0.65187363551373301</v>
          </cell>
        </row>
        <row r="787">
          <cell r="A787" t="str">
            <v>HUF_BUBOR_6M_EOD</v>
          </cell>
          <cell r="F787">
            <v>0.56354380147093897</v>
          </cell>
        </row>
        <row r="788">
          <cell r="A788" t="str">
            <v>HUF_BUBOR_EOD</v>
          </cell>
          <cell r="F788">
            <v>0.99997555615307199</v>
          </cell>
        </row>
        <row r="789">
          <cell r="A789" t="str">
            <v>HUF_BUBOR_EOD</v>
          </cell>
          <cell r="F789">
            <v>0.99995111290364502</v>
          </cell>
        </row>
        <row r="790">
          <cell r="A790" t="str">
            <v>HUF_BUBOR_EOD</v>
          </cell>
          <cell r="F790">
            <v>0.99969841136077398</v>
          </cell>
        </row>
        <row r="791">
          <cell r="A791" t="str">
            <v>HUF_BUBOR_EOD</v>
          </cell>
          <cell r="F791">
            <v>0.99875260977191904</v>
          </cell>
        </row>
        <row r="792">
          <cell r="A792" t="str">
            <v>HUF_BUBOR_EOD</v>
          </cell>
          <cell r="F792">
            <v>0.99766894519152005</v>
          </cell>
        </row>
        <row r="793">
          <cell r="A793" t="str">
            <v>HUF_BUBOR_EOD</v>
          </cell>
          <cell r="F793">
            <v>0.99651314256180701</v>
          </cell>
        </row>
        <row r="794">
          <cell r="A794" t="str">
            <v>HUF_BUBOR_EOD</v>
          </cell>
          <cell r="F794">
            <v>0.99337435553563602</v>
          </cell>
        </row>
        <row r="795">
          <cell r="A795" t="str">
            <v>HUF_BUBOR_EOD</v>
          </cell>
          <cell r="F795">
            <v>0.990295362205312</v>
          </cell>
        </row>
        <row r="796">
          <cell r="A796" t="str">
            <v>HUF_BUBOR_EOD</v>
          </cell>
          <cell r="F796">
            <v>0.98718859742350396</v>
          </cell>
        </row>
        <row r="797">
          <cell r="A797" t="str">
            <v>HUF_BUBOR_EOD</v>
          </cell>
          <cell r="F797">
            <v>0.97350799749613304</v>
          </cell>
        </row>
        <row r="798">
          <cell r="A798" t="str">
            <v>HUF_BUBOR_EOD</v>
          </cell>
          <cell r="F798">
            <v>0.95860468197239301</v>
          </cell>
        </row>
        <row r="799">
          <cell r="A799" t="str">
            <v>HUF_BUBOR_EOD</v>
          </cell>
          <cell r="F799">
            <v>0.94008859623901297</v>
          </cell>
        </row>
        <row r="800">
          <cell r="A800" t="str">
            <v>HUF_BUBOR_EOD</v>
          </cell>
          <cell r="F800">
            <v>0.91628547326295595</v>
          </cell>
        </row>
        <row r="801">
          <cell r="A801" t="str">
            <v>HUF_BUBOR_EOD</v>
          </cell>
          <cell r="F801">
            <v>0.88826861541306101</v>
          </cell>
        </row>
        <row r="802">
          <cell r="A802" t="str">
            <v>HUF_BUBOR_EOD</v>
          </cell>
          <cell r="F802">
            <v>0.85739711584248501</v>
          </cell>
        </row>
        <row r="803">
          <cell r="A803" t="str">
            <v>HUF_BUBOR_EOD</v>
          </cell>
          <cell r="F803">
            <v>0.82601132723234205</v>
          </cell>
        </row>
        <row r="804">
          <cell r="A804" t="str">
            <v>HUF_BUBOR_EOD</v>
          </cell>
          <cell r="F804">
            <v>0.79498532460574001</v>
          </cell>
        </row>
        <row r="805">
          <cell r="A805" t="str">
            <v>HUF_BUBOR_EOD</v>
          </cell>
          <cell r="F805">
            <v>0.76504666521751696</v>
          </cell>
        </row>
        <row r="806">
          <cell r="A806" t="str">
            <v>HUF_BUBOR_EOD</v>
          </cell>
          <cell r="F806">
            <v>0.71681880052549896</v>
          </cell>
        </row>
        <row r="807">
          <cell r="A807" t="str">
            <v>HUF_BUBOR_EOD</v>
          </cell>
          <cell r="F807">
            <v>0.65188629415514798</v>
          </cell>
        </row>
        <row r="808">
          <cell r="A808" t="str">
            <v>HUF_BUBOR_EOD</v>
          </cell>
          <cell r="F808">
            <v>0.56355474230955205</v>
          </cell>
        </row>
        <row r="809">
          <cell r="A809" t="str">
            <v>JPY_LIBOR_1M_EOD</v>
          </cell>
          <cell r="F809">
            <v>0.99996222360735698</v>
          </cell>
        </row>
        <row r="810">
          <cell r="A810" t="str">
            <v>JPY_LIBOR_1M_EOD</v>
          </cell>
          <cell r="F810">
            <v>0.99991357673258996</v>
          </cell>
        </row>
        <row r="811">
          <cell r="A811" t="str">
            <v>JPY_LIBOR_1M_EOD</v>
          </cell>
          <cell r="F811">
            <v>0.99989021129552502</v>
          </cell>
        </row>
        <row r="812">
          <cell r="A812" t="str">
            <v>JPY_LIBOR_1M_EOD</v>
          </cell>
          <cell r="F812">
            <v>0.99978246841111995</v>
          </cell>
        </row>
        <row r="813">
          <cell r="A813" t="str">
            <v>JPY_LIBOR_1M_EOD</v>
          </cell>
          <cell r="F813">
            <v>0.99967378856937195</v>
          </cell>
        </row>
        <row r="814">
          <cell r="A814" t="str">
            <v>JPY_LIBOR_1M_EOD</v>
          </cell>
          <cell r="F814">
            <v>0.99956901909249796</v>
          </cell>
        </row>
        <row r="815">
          <cell r="A815" t="str">
            <v>JPY_LIBOR_1M_EOD</v>
          </cell>
          <cell r="F815">
            <v>0.99919534506424301</v>
          </cell>
        </row>
        <row r="816">
          <cell r="A816" t="str">
            <v>JPY_LIBOR_1M_EOD</v>
          </cell>
          <cell r="F816">
            <v>0.99864440956752798</v>
          </cell>
        </row>
        <row r="817">
          <cell r="A817" t="str">
            <v>JPY_LIBOR_1M_EOD</v>
          </cell>
          <cell r="F817">
            <v>0.99719878699886499</v>
          </cell>
        </row>
        <row r="818">
          <cell r="A818" t="str">
            <v>JPY_LIBOR_1M_EOD</v>
          </cell>
          <cell r="F818">
            <v>0.99444042359291895</v>
          </cell>
        </row>
        <row r="819">
          <cell r="A819" t="str">
            <v>JPY_LIBOR_1M_EOD</v>
          </cell>
          <cell r="F819">
            <v>0.990271277037853</v>
          </cell>
        </row>
        <row r="820">
          <cell r="A820" t="str">
            <v>JPY_LIBOR_1M_EOD</v>
          </cell>
          <cell r="F820">
            <v>0.98473940585509301</v>
          </cell>
        </row>
        <row r="821">
          <cell r="A821" t="str">
            <v>JPY_LIBOR_1M_EOD</v>
          </cell>
          <cell r="F821">
            <v>0.9777317285114</v>
          </cell>
        </row>
        <row r="822">
          <cell r="A822" t="str">
            <v>JPY_LIBOR_1M_EOD</v>
          </cell>
          <cell r="F822">
            <v>0.96956227087369995</v>
          </cell>
        </row>
        <row r="823">
          <cell r="A823" t="str">
            <v>JPY_LIBOR_1M_EOD</v>
          </cell>
          <cell r="F823">
            <v>0.95975514112557603</v>
          </cell>
        </row>
        <row r="824">
          <cell r="A824" t="str">
            <v>JPY_LIBOR_1M_EOD</v>
          </cell>
          <cell r="F824">
            <v>0.93592712546826096</v>
          </cell>
        </row>
        <row r="825">
          <cell r="A825" t="str">
            <v>JPY_LIBOR_1M_EOD</v>
          </cell>
          <cell r="F825">
            <v>0.88982406188597296</v>
          </cell>
        </row>
        <row r="826">
          <cell r="A826" t="str">
            <v>JPY_LIBOR_1M_EOD</v>
          </cell>
          <cell r="F826">
            <v>0.806706183052597</v>
          </cell>
        </row>
        <row r="827">
          <cell r="A827" t="str">
            <v>JPY_LIBOR_1M_EOD</v>
          </cell>
          <cell r="F827">
            <v>0.73361172305325595</v>
          </cell>
        </row>
        <row r="828">
          <cell r="A828" t="str">
            <v>JPY_LIBOR_1M_EOD</v>
          </cell>
          <cell r="F828">
            <v>0.67050733783349203</v>
          </cell>
        </row>
        <row r="829">
          <cell r="A829" t="str">
            <v>JPY_LIBOR_1M_EOD</v>
          </cell>
          <cell r="F829">
            <v>0.55377473509400399</v>
          </cell>
        </row>
        <row r="830">
          <cell r="A830" t="str">
            <v>JPY_LIBOR_3M_EOD</v>
          </cell>
          <cell r="F830">
            <v>0.99978556883458902</v>
          </cell>
        </row>
        <row r="831">
          <cell r="A831" t="str">
            <v>JPY_LIBOR_3M_EOD</v>
          </cell>
          <cell r="F831">
            <v>0.99972342703804795</v>
          </cell>
        </row>
        <row r="832">
          <cell r="A832" t="str">
            <v>JPY_LIBOR_3M_EOD</v>
          </cell>
          <cell r="F832">
            <v>0.99966044415569</v>
          </cell>
        </row>
        <row r="833">
          <cell r="A833" t="str">
            <v>JPY_LIBOR_3M_EOD</v>
          </cell>
          <cell r="F833">
            <v>0.99959924769939801</v>
          </cell>
        </row>
        <row r="834">
          <cell r="A834" t="str">
            <v>JPY_LIBOR_3M_EOD</v>
          </cell>
          <cell r="F834">
            <v>0.999535374895266</v>
          </cell>
        </row>
        <row r="835">
          <cell r="A835" t="str">
            <v>JPY_LIBOR_3M_EOD</v>
          </cell>
          <cell r="F835">
            <v>0.99947679584710203</v>
          </cell>
        </row>
        <row r="836">
          <cell r="A836" t="str">
            <v>JPY_LIBOR_3M_EOD</v>
          </cell>
          <cell r="F836">
            <v>0.99941067225150904</v>
          </cell>
        </row>
        <row r="837">
          <cell r="A837" t="str">
            <v>JPY_LIBOR_3M_EOD</v>
          </cell>
          <cell r="F837">
            <v>0.99934896548998498</v>
          </cell>
        </row>
        <row r="838">
          <cell r="A838" t="str">
            <v>JPY_LIBOR_3M_EOD</v>
          </cell>
          <cell r="F838">
            <v>0.99928845773083197</v>
          </cell>
        </row>
        <row r="839">
          <cell r="A839" t="str">
            <v>JPY_LIBOR_3M_EOD</v>
          </cell>
          <cell r="F839">
            <v>0.99922640518769101</v>
          </cell>
        </row>
        <row r="840">
          <cell r="A840" t="str">
            <v>JPY_LIBOR_3M_EOD</v>
          </cell>
          <cell r="F840">
            <v>0.998642727955942</v>
          </cell>
        </row>
        <row r="841">
          <cell r="A841" t="str">
            <v>JPY_LIBOR_3M_EOD</v>
          </cell>
          <cell r="F841">
            <v>0.99785555496714595</v>
          </cell>
        </row>
        <row r="842">
          <cell r="A842" t="str">
            <v>JPY_LIBOR_3M_EOD</v>
          </cell>
          <cell r="F842">
            <v>0.99619995862079003</v>
          </cell>
        </row>
        <row r="843">
          <cell r="A843" t="str">
            <v>JPY_LIBOR_3M_EOD</v>
          </cell>
          <cell r="F843">
            <v>0.99325836314582505</v>
          </cell>
        </row>
        <row r="844">
          <cell r="A844" t="str">
            <v>JPY_LIBOR_3M_EOD</v>
          </cell>
          <cell r="F844">
            <v>0.98878571501861801</v>
          </cell>
        </row>
        <row r="845">
          <cell r="A845" t="str">
            <v>JPY_LIBOR_3M_EOD</v>
          </cell>
          <cell r="F845">
            <v>0.98310093225609296</v>
          </cell>
        </row>
        <row r="846">
          <cell r="A846" t="str">
            <v>JPY_LIBOR_3M_EOD</v>
          </cell>
          <cell r="F846">
            <v>0.97587380078392205</v>
          </cell>
        </row>
        <row r="847">
          <cell r="A847" t="str">
            <v>JPY_LIBOR_3M_EOD</v>
          </cell>
          <cell r="F847">
            <v>0.96749097271698103</v>
          </cell>
        </row>
        <row r="848">
          <cell r="A848" t="str">
            <v>JPY_LIBOR_3M_EOD</v>
          </cell>
          <cell r="F848">
            <v>0.95735746103222497</v>
          </cell>
        </row>
        <row r="849">
          <cell r="A849" t="str">
            <v>JPY_LIBOR_3M_EOD</v>
          </cell>
          <cell r="F849">
            <v>0.93289750345689104</v>
          </cell>
        </row>
        <row r="850">
          <cell r="A850" t="str">
            <v>JPY_LIBOR_3M_EOD</v>
          </cell>
          <cell r="F850">
            <v>0.88686170230493599</v>
          </cell>
        </row>
        <row r="851">
          <cell r="A851" t="str">
            <v>JPY_LIBOR_3M_EOD</v>
          </cell>
          <cell r="F851">
            <v>0.80334247016488902</v>
          </cell>
        </row>
        <row r="852">
          <cell r="A852" t="str">
            <v>JPY_LIBOR_3M_EOD</v>
          </cell>
          <cell r="F852">
            <v>0.73005487984069795</v>
          </cell>
        </row>
        <row r="853">
          <cell r="A853" t="str">
            <v>JPY_LIBOR_3M_EOD</v>
          </cell>
          <cell r="F853">
            <v>0.66690298243794099</v>
          </cell>
        </row>
        <row r="854">
          <cell r="A854" t="str">
            <v>JPY_LIBOR_3M_EOD</v>
          </cell>
          <cell r="F854">
            <v>0.54977451420149404</v>
          </cell>
        </row>
        <row r="855">
          <cell r="A855" t="str">
            <v>JPY_LIBOR_6M_EOD</v>
          </cell>
          <cell r="F855">
            <v>0.99938265039364205</v>
          </cell>
        </row>
        <row r="856">
          <cell r="A856" t="str">
            <v>JPY_LIBOR_6M_EOD</v>
          </cell>
          <cell r="F856">
            <v>0.99927283302904502</v>
          </cell>
        </row>
        <row r="857">
          <cell r="A857" t="str">
            <v>JPY_LIBOR_6M_EOD</v>
          </cell>
          <cell r="F857">
            <v>0.99919811830390903</v>
          </cell>
        </row>
        <row r="858">
          <cell r="A858" t="str">
            <v>JPY_LIBOR_6M_EOD</v>
          </cell>
          <cell r="F858">
            <v>0.99911631983595595</v>
          </cell>
        </row>
        <row r="859">
          <cell r="A859" t="str">
            <v>JPY_LIBOR_6M_EOD</v>
          </cell>
          <cell r="F859">
            <v>0.99903729621368198</v>
          </cell>
        </row>
        <row r="860">
          <cell r="A860" t="str">
            <v>JPY_LIBOR_6M_EOD</v>
          </cell>
          <cell r="F860">
            <v>0.99895355633867</v>
          </cell>
        </row>
        <row r="861">
          <cell r="A861" t="str">
            <v>JPY_LIBOR_6M_EOD</v>
          </cell>
          <cell r="F861">
            <v>0.99888467697001204</v>
          </cell>
        </row>
        <row r="862">
          <cell r="A862" t="str">
            <v>JPY_LIBOR_6M_EOD</v>
          </cell>
          <cell r="F862">
            <v>0.99794234864975495</v>
          </cell>
        </row>
        <row r="863">
          <cell r="A863" t="str">
            <v>JPY_LIBOR_6M_EOD</v>
          </cell>
          <cell r="F863">
            <v>0.99673346870954804</v>
          </cell>
        </row>
        <row r="864">
          <cell r="A864" t="str">
            <v>JPY_LIBOR_6M_EOD</v>
          </cell>
          <cell r="F864">
            <v>0.994608077203881</v>
          </cell>
        </row>
        <row r="865">
          <cell r="A865" t="str">
            <v>JPY_LIBOR_6M_EOD</v>
          </cell>
          <cell r="F865">
            <v>0.99115071749493899</v>
          </cell>
        </row>
        <row r="866">
          <cell r="A866" t="str">
            <v>JPY_LIBOR_6M_EOD</v>
          </cell>
          <cell r="F866">
            <v>0.98626932158597302</v>
          </cell>
        </row>
        <row r="867">
          <cell r="A867" t="str">
            <v>JPY_LIBOR_6M_EOD</v>
          </cell>
          <cell r="F867">
            <v>0.980006533386371</v>
          </cell>
        </row>
        <row r="868">
          <cell r="A868" t="str">
            <v>JPY_LIBOR_6M_EOD</v>
          </cell>
          <cell r="F868">
            <v>0.97236871457070595</v>
          </cell>
        </row>
        <row r="869">
          <cell r="A869" t="str">
            <v>JPY_LIBOR_6M_EOD</v>
          </cell>
          <cell r="F869">
            <v>0.96336584998776698</v>
          </cell>
        </row>
        <row r="870">
          <cell r="A870" t="str">
            <v>JPY_LIBOR_6M_EOD</v>
          </cell>
          <cell r="F870">
            <v>0.95282759195880795</v>
          </cell>
        </row>
        <row r="871">
          <cell r="A871" t="str">
            <v>JPY_LIBOR_6M_EOD</v>
          </cell>
          <cell r="F871">
            <v>0.92784070704018895</v>
          </cell>
        </row>
        <row r="872">
          <cell r="A872" t="str">
            <v>JPY_LIBOR_6M_EOD</v>
          </cell>
          <cell r="F872">
            <v>0.88128471396641905</v>
          </cell>
        </row>
        <row r="873">
          <cell r="A873" t="str">
            <v>JPY_LIBOR_6M_EOD</v>
          </cell>
          <cell r="F873">
            <v>0.79749407139265605</v>
          </cell>
        </row>
        <row r="874">
          <cell r="A874" t="str">
            <v>JPY_LIBOR_6M_EOD</v>
          </cell>
          <cell r="F874">
            <v>0.72419156729344203</v>
          </cell>
        </row>
        <row r="875">
          <cell r="A875" t="str">
            <v>JPY_LIBOR_6M_EOD</v>
          </cell>
          <cell r="F875">
            <v>0.66135277941043702</v>
          </cell>
        </row>
        <row r="876">
          <cell r="A876" t="str">
            <v>JPY_LIBOR_6M_EOD</v>
          </cell>
          <cell r="F876">
            <v>0.54357304427700304</v>
          </cell>
        </row>
        <row r="877">
          <cell r="A877" t="str">
            <v>JPY_LIBOR_EOD</v>
          </cell>
          <cell r="F877">
            <v>0.999999265833872</v>
          </cell>
        </row>
        <row r="878">
          <cell r="A878" t="str">
            <v>JPY_LIBOR_EOD</v>
          </cell>
          <cell r="F878">
            <v>0.99999853166828401</v>
          </cell>
        </row>
        <row r="879">
          <cell r="A879" t="str">
            <v>JPY_LIBOR_EOD</v>
          </cell>
          <cell r="F879">
            <v>0.99999228227207104</v>
          </cell>
        </row>
        <row r="880">
          <cell r="A880" t="str">
            <v>JPY_LIBOR_EOD</v>
          </cell>
          <cell r="F880">
            <v>0.99996297742908602</v>
          </cell>
        </row>
        <row r="881">
          <cell r="A881" t="str">
            <v>JPY_LIBOR_EOD</v>
          </cell>
          <cell r="F881">
            <v>0.99988356005713097</v>
          </cell>
        </row>
        <row r="882">
          <cell r="A882" t="str">
            <v>JPY_LIBOR_EOD</v>
          </cell>
          <cell r="F882">
            <v>0.99978866269746802</v>
          </cell>
        </row>
        <row r="883">
          <cell r="A883" t="str">
            <v>JPY_LIBOR_EOD</v>
          </cell>
          <cell r="F883">
            <v>0.99938789123113903</v>
          </cell>
        </row>
        <row r="884">
          <cell r="A884" t="str">
            <v>JPY_LIBOR_EOD</v>
          </cell>
          <cell r="F884">
            <v>0.99887672253589299</v>
          </cell>
        </row>
        <row r="885">
          <cell r="A885" t="str">
            <v>JPY_LIBOR_EOD</v>
          </cell>
          <cell r="F885">
            <v>0.99794566085523195</v>
          </cell>
        </row>
        <row r="886">
          <cell r="A886" t="str">
            <v>JPY_LIBOR_EOD</v>
          </cell>
          <cell r="F886">
            <v>0.99673659384348801</v>
          </cell>
        </row>
        <row r="887">
          <cell r="A887" t="str">
            <v>JPY_LIBOR_EOD</v>
          </cell>
          <cell r="F887">
            <v>0.99460885134920995</v>
          </cell>
        </row>
        <row r="888">
          <cell r="A888" t="str">
            <v>JPY_LIBOR_EOD</v>
          </cell>
          <cell r="F888">
            <v>0.99114629435282398</v>
          </cell>
        </row>
        <row r="889">
          <cell r="A889" t="str">
            <v>JPY_LIBOR_EOD</v>
          </cell>
          <cell r="F889">
            <v>0.98625662652511104</v>
          </cell>
        </row>
        <row r="890">
          <cell r="A890" t="str">
            <v>JPY_LIBOR_EOD</v>
          </cell>
          <cell r="F890">
            <v>0.97998347493264104</v>
          </cell>
        </row>
        <row r="891">
          <cell r="A891" t="str">
            <v>JPY_LIBOR_EOD</v>
          </cell>
          <cell r="F891">
            <v>0.97232460684160604</v>
          </cell>
        </row>
        <row r="892">
          <cell r="A892" t="str">
            <v>JPY_LIBOR_EOD</v>
          </cell>
          <cell r="F892">
            <v>0.96328993639744798</v>
          </cell>
        </row>
        <row r="893">
          <cell r="A893" t="str">
            <v>JPY_LIBOR_EOD</v>
          </cell>
          <cell r="F893">
            <v>0.95270753653344797</v>
          </cell>
        </row>
        <row r="894">
          <cell r="A894" t="str">
            <v>JPY_LIBOR_EOD</v>
          </cell>
          <cell r="F894">
            <v>0.92759399329442604</v>
          </cell>
        </row>
        <row r="895">
          <cell r="A895" t="str">
            <v>JPY_LIBOR_EOD</v>
          </cell>
          <cell r="F895">
            <v>0.880760384221693</v>
          </cell>
        </row>
        <row r="896">
          <cell r="A896" t="str">
            <v>JPY_LIBOR_EOD</v>
          </cell>
          <cell r="F896">
            <v>0.79645848952263698</v>
          </cell>
        </row>
        <row r="897">
          <cell r="A897" t="str">
            <v>JPY_LIBOR_EOD</v>
          </cell>
          <cell r="F897">
            <v>0.72276954947186201</v>
          </cell>
        </row>
        <row r="898">
          <cell r="A898" t="str">
            <v>JPY_LIBOR_EOD</v>
          </cell>
          <cell r="F898">
            <v>0.65966692172695895</v>
          </cell>
        </row>
        <row r="899">
          <cell r="A899" t="str">
            <v>JPY_LIBOR_EOD</v>
          </cell>
          <cell r="F899">
            <v>0.54127248231819503</v>
          </cell>
        </row>
        <row r="900">
          <cell r="A900" t="str">
            <v>JPY_TONA_EOD</v>
          </cell>
          <cell r="F900">
            <v>0.99999791781255498</v>
          </cell>
        </row>
        <row r="901">
          <cell r="A901" t="str">
            <v>JPY_TONA_EOD</v>
          </cell>
          <cell r="F901">
            <v>0.99999583562944505</v>
          </cell>
        </row>
        <row r="902">
          <cell r="A902" t="str">
            <v>JPY_TONA_EOD</v>
          </cell>
          <cell r="F902">
            <v>0.99998313132320504</v>
          </cell>
        </row>
        <row r="903">
          <cell r="A903" t="str">
            <v>JPY_TONA_EOD</v>
          </cell>
          <cell r="F903">
            <v>0.99997042733976205</v>
          </cell>
        </row>
        <row r="904">
          <cell r="A904" t="str">
            <v>JPY_TONA_EOD</v>
          </cell>
          <cell r="F904">
            <v>0.99995772310380604</v>
          </cell>
        </row>
        <row r="905">
          <cell r="A905" t="str">
            <v>JPY_TONA_EOD</v>
          </cell>
          <cell r="F905">
            <v>0.99993446978801104</v>
          </cell>
        </row>
        <row r="906">
          <cell r="A906" t="str">
            <v>JPY_TONA_EOD</v>
          </cell>
          <cell r="F906">
            <v>0.99987990944316796</v>
          </cell>
        </row>
        <row r="907">
          <cell r="A907" t="str">
            <v>JPY_TONA_EOD</v>
          </cell>
          <cell r="F907">
            <v>0.99982950782748503</v>
          </cell>
        </row>
        <row r="908">
          <cell r="A908" t="str">
            <v>JPY_TONA_EOD</v>
          </cell>
          <cell r="F908">
            <v>0.99977267506956902</v>
          </cell>
        </row>
        <row r="909">
          <cell r="A909" t="str">
            <v>JPY_TONA_EOD</v>
          </cell>
          <cell r="F909">
            <v>0.99973458991660602</v>
          </cell>
        </row>
        <row r="910">
          <cell r="A910" t="str">
            <v>JPY_TONA_EOD</v>
          </cell>
          <cell r="F910">
            <v>0.99967960602107597</v>
          </cell>
        </row>
        <row r="911">
          <cell r="A911" t="str">
            <v>JPY_TONA_EOD</v>
          </cell>
          <cell r="F911">
            <v>0.999644179978187</v>
          </cell>
        </row>
        <row r="912">
          <cell r="A912" t="str">
            <v>JPY_TONA_EOD</v>
          </cell>
          <cell r="F912">
            <v>0.99959919718753898</v>
          </cell>
        </row>
        <row r="913">
          <cell r="A913" t="str">
            <v>JPY_TONA_EOD</v>
          </cell>
          <cell r="F913">
            <v>0.99955969963528202</v>
          </cell>
        </row>
        <row r="914">
          <cell r="A914" t="str">
            <v>JPY_TONA_EOD</v>
          </cell>
          <cell r="F914">
            <v>0.99953645962642501</v>
          </cell>
        </row>
        <row r="915">
          <cell r="A915" t="str">
            <v>JPY_TONA_EOD</v>
          </cell>
          <cell r="F915">
            <v>0.99949898878964805</v>
          </cell>
        </row>
        <row r="916">
          <cell r="A916" t="str">
            <v>JPY_TONA_EOD</v>
          </cell>
          <cell r="F916">
            <v>0.99947304714997898</v>
          </cell>
        </row>
        <row r="917">
          <cell r="A917" t="str">
            <v>JPY_TONA_EOD</v>
          </cell>
          <cell r="F917">
            <v>0.99934754445904195</v>
          </cell>
        </row>
        <row r="918">
          <cell r="A918" t="str">
            <v>JPY_TONA_EOD</v>
          </cell>
          <cell r="F918">
            <v>0.99928733768794598</v>
          </cell>
        </row>
        <row r="919">
          <cell r="A919" t="str">
            <v>JPY_TONA_EOD</v>
          </cell>
          <cell r="F919">
            <v>0.99894361733870396</v>
          </cell>
        </row>
        <row r="920">
          <cell r="A920" t="str">
            <v>JPY_TONA_EOD</v>
          </cell>
          <cell r="F920">
            <v>0.99779675310314497</v>
          </cell>
        </row>
        <row r="921">
          <cell r="A921" t="str">
            <v>JPY_TONA_EOD</v>
          </cell>
          <cell r="F921">
            <v>0.995434750517454</v>
          </cell>
        </row>
        <row r="922">
          <cell r="A922" t="str">
            <v>JPY_TONA_EOD</v>
          </cell>
          <cell r="F922">
            <v>0.991762527247953</v>
          </cell>
        </row>
        <row r="923">
          <cell r="A923" t="str">
            <v>JPY_TONA_EOD</v>
          </cell>
          <cell r="F923">
            <v>0.98683689077610404</v>
          </cell>
        </row>
        <row r="924">
          <cell r="A924" t="str">
            <v>JPY_TONA_EOD</v>
          </cell>
          <cell r="F924">
            <v>0.98071146499932005</v>
          </cell>
        </row>
        <row r="925">
          <cell r="A925" t="str">
            <v>JPY_TONA_EOD</v>
          </cell>
          <cell r="F925">
            <v>0.97338893904942203</v>
          </cell>
        </row>
        <row r="926">
          <cell r="A926" t="str">
            <v>JPY_TONA_EOD</v>
          </cell>
          <cell r="F926">
            <v>0.964532122509701</v>
          </cell>
        </row>
        <row r="927">
          <cell r="A927" t="str">
            <v>JPY_TONA_EOD</v>
          </cell>
          <cell r="F927">
            <v>0.94272957770924504</v>
          </cell>
        </row>
        <row r="928">
          <cell r="A928" t="str">
            <v>JPY_TONA_EOD</v>
          </cell>
          <cell r="F928">
            <v>0.89905295127423401</v>
          </cell>
        </row>
        <row r="929">
          <cell r="A929" t="str">
            <v>JPY_TONA_EOD</v>
          </cell>
          <cell r="F929">
            <v>0.81884536699669197</v>
          </cell>
        </row>
        <row r="930">
          <cell r="A930" t="str">
            <v>JPY_TONA_EOD</v>
          </cell>
          <cell r="F930">
            <v>0.74854359680544302</v>
          </cell>
        </row>
        <row r="931">
          <cell r="A931" t="str">
            <v>JPY_TONA_EOD</v>
          </cell>
          <cell r="F931">
            <v>0.68816153398945601</v>
          </cell>
        </row>
        <row r="932">
          <cell r="A932" t="str">
            <v>JPY_TONA_EOD</v>
          </cell>
          <cell r="F932">
            <v>0.57364829080699298</v>
          </cell>
        </row>
        <row r="933">
          <cell r="A933" t="str">
            <v>MXN_TIIE_EOD</v>
          </cell>
          <cell r="F933">
            <v>0.99213168307039501</v>
          </cell>
        </row>
        <row r="934">
          <cell r="A934" t="str">
            <v>MXN_TIIE_EOD</v>
          </cell>
          <cell r="F934">
            <v>0.98409481663331799</v>
          </cell>
        </row>
        <row r="935">
          <cell r="A935" t="str">
            <v>MXN_TIIE_EOD</v>
          </cell>
          <cell r="F935">
            <v>0.97545969274044597</v>
          </cell>
        </row>
        <row r="936">
          <cell r="A936" t="str">
            <v>MXN_TIIE_EOD</v>
          </cell>
          <cell r="F936">
            <v>0.96321707930662603</v>
          </cell>
        </row>
        <row r="937">
          <cell r="A937" t="str">
            <v>MXN_TIIE_EOD</v>
          </cell>
          <cell r="F937">
            <v>0.91953542637455399</v>
          </cell>
        </row>
        <row r="938">
          <cell r="A938" t="str">
            <v>MXN_TIIE_EOD</v>
          </cell>
          <cell r="F938">
            <v>0.87118673654036105</v>
          </cell>
        </row>
        <row r="939">
          <cell r="A939" t="str">
            <v>MXN_TIIE_EOD</v>
          </cell>
          <cell r="F939">
            <v>0.81901607931147502</v>
          </cell>
        </row>
        <row r="940">
          <cell r="A940" t="str">
            <v>MXN_TIIE_EOD</v>
          </cell>
          <cell r="F940">
            <v>0.76623367749268201</v>
          </cell>
        </row>
        <row r="941">
          <cell r="A941" t="str">
            <v>MXN_TIIE_EOD</v>
          </cell>
          <cell r="F941">
            <v>0.66069814129717597</v>
          </cell>
        </row>
        <row r="942">
          <cell r="A942" t="str">
            <v>MXN_TIIE_EOD</v>
          </cell>
          <cell r="F942">
            <v>0.52618592215454996</v>
          </cell>
        </row>
        <row r="943">
          <cell r="A943" t="str">
            <v>MXN_TIIE_EOD</v>
          </cell>
          <cell r="F943">
            <v>0.35117414629930399</v>
          </cell>
        </row>
        <row r="944">
          <cell r="A944" t="str">
            <v>MXN_TIIE_EOD</v>
          </cell>
          <cell r="F944">
            <v>0.232633594615196</v>
          </cell>
        </row>
        <row r="945">
          <cell r="A945" t="str">
            <v>MXN_TIIE_EOD</v>
          </cell>
          <cell r="F945">
            <v>0.102414917152088</v>
          </cell>
        </row>
        <row r="946">
          <cell r="A946" t="str">
            <v>MXN_USDMXNBASIS_EOD</v>
          </cell>
          <cell r="F946">
            <v>0.99975544342539802</v>
          </cell>
        </row>
        <row r="947">
          <cell r="A947" t="str">
            <v>MXN_USDMXNBASIS_EOD</v>
          </cell>
          <cell r="F947">
            <v>0.99733611807579003</v>
          </cell>
        </row>
        <row r="948">
          <cell r="A948" t="str">
            <v>MXN_USDMXNBASIS_EOD</v>
          </cell>
          <cell r="F948">
            <v>0.99516913416126795</v>
          </cell>
        </row>
        <row r="949">
          <cell r="A949" t="str">
            <v>MXN_USDMXNBASIS_EOD</v>
          </cell>
          <cell r="F949">
            <v>0.99294711631854904</v>
          </cell>
        </row>
        <row r="950">
          <cell r="A950" t="str">
            <v>MXN_USDMXNBASIS_EOD</v>
          </cell>
          <cell r="F950">
            <v>0.98545732881464698</v>
          </cell>
        </row>
        <row r="951">
          <cell r="A951" t="str">
            <v>MXN_USDMXNBASIS_EOD</v>
          </cell>
          <cell r="F951">
            <v>0.97740270939408203</v>
          </cell>
        </row>
        <row r="952">
          <cell r="A952" t="str">
            <v>MXN_USDMXNBASIS_EOD</v>
          </cell>
          <cell r="F952">
            <v>0.96880905022622599</v>
          </cell>
        </row>
        <row r="953">
          <cell r="A953" t="str">
            <v>MXN_USDMXNBASIS_EOD</v>
          </cell>
          <cell r="F953">
            <v>0.951253659919304</v>
          </cell>
        </row>
        <row r="954">
          <cell r="A954" t="str">
            <v>MXN_USDMXNBASIS_EOD</v>
          </cell>
          <cell r="F954">
            <v>0.93278478925220198</v>
          </cell>
        </row>
        <row r="955">
          <cell r="A955" t="str">
            <v>MXN_USDMXNBASIS_EOD</v>
          </cell>
          <cell r="F955">
            <v>0.89181261423384794</v>
          </cell>
        </row>
        <row r="956">
          <cell r="A956" t="str">
            <v>MXN_USDMXNBASIS_EOD</v>
          </cell>
          <cell r="F956">
            <v>0.84936944134084902</v>
          </cell>
        </row>
        <row r="957">
          <cell r="A957" t="str">
            <v>MXN_USDMXNBASIS_EOD</v>
          </cell>
          <cell r="F957">
            <v>0.80646948885212999</v>
          </cell>
        </row>
        <row r="958">
          <cell r="A958" t="str">
            <v>MXN_USDMXNBASIS_EOD</v>
          </cell>
          <cell r="F958">
            <v>0.71715349499416603</v>
          </cell>
        </row>
        <row r="959">
          <cell r="A959" t="str">
            <v>MXN_USDMXNBASIS_EOD</v>
          </cell>
          <cell r="F959">
            <v>0.59625733828337601</v>
          </cell>
        </row>
        <row r="960">
          <cell r="A960" t="str">
            <v>MXN_USDMXNBASIS_EOD</v>
          </cell>
          <cell r="F960">
            <v>0.43019986816883798</v>
          </cell>
        </row>
        <row r="961">
          <cell r="A961" t="str">
            <v>MXN_USDMXNBASIS_EOD</v>
          </cell>
          <cell r="F961">
            <v>0.31379118261425698</v>
          </cell>
        </row>
        <row r="962">
          <cell r="A962" t="str">
            <v>MXN_USDMXNBASIS_EOD</v>
          </cell>
          <cell r="F962">
            <v>0.177117809622273</v>
          </cell>
        </row>
        <row r="963">
          <cell r="A963" t="str">
            <v>NOK_NIBOR_3M_EOD</v>
          </cell>
          <cell r="F963">
            <v>0.99710995395874402</v>
          </cell>
        </row>
        <row r="964">
          <cell r="A964" t="str">
            <v>NOK_NIBOR_3M_EOD</v>
          </cell>
          <cell r="F964">
            <v>0.99599440073944401</v>
          </cell>
        </row>
        <row r="965">
          <cell r="A965" t="str">
            <v>NOK_NIBOR_3M_EOD</v>
          </cell>
          <cell r="F965">
            <v>0.99392165994449999</v>
          </cell>
        </row>
        <row r="966">
          <cell r="A966" t="str">
            <v>NOK_NIBOR_3M_EOD</v>
          </cell>
          <cell r="F966">
            <v>0.99189653784675003</v>
          </cell>
        </row>
        <row r="967">
          <cell r="A967" t="str">
            <v>NOK_NIBOR_3M_EOD</v>
          </cell>
          <cell r="F967">
            <v>0.99004460441187903</v>
          </cell>
        </row>
        <row r="968">
          <cell r="A968" t="str">
            <v>NOK_NIBOR_3M_EOD</v>
          </cell>
          <cell r="F968">
            <v>0.98324324765067195</v>
          </cell>
        </row>
        <row r="969">
          <cell r="A969" t="str">
            <v>NOK_NIBOR_3M_EOD</v>
          </cell>
          <cell r="F969">
            <v>0.97328605833463899</v>
          </cell>
        </row>
        <row r="970">
          <cell r="A970" t="str">
            <v>NOK_NIBOR_3M_EOD</v>
          </cell>
          <cell r="F970">
            <v>0.95990317427586302</v>
          </cell>
        </row>
        <row r="971">
          <cell r="A971" t="str">
            <v>NOK_NIBOR_3M_EOD</v>
          </cell>
          <cell r="F971">
            <v>0.94298200755500705</v>
          </cell>
        </row>
        <row r="972">
          <cell r="A972" t="str">
            <v>NOK_NIBOR_3M_EOD</v>
          </cell>
          <cell r="F972">
            <v>0.92368516583050597</v>
          </cell>
        </row>
        <row r="973">
          <cell r="A973" t="str">
            <v>NOK_NIBOR_3M_EOD</v>
          </cell>
          <cell r="F973">
            <v>0.90248842891542502</v>
          </cell>
        </row>
        <row r="974">
          <cell r="A974" t="str">
            <v>NOK_NIBOR_3M_EOD</v>
          </cell>
          <cell r="F974">
            <v>0.88087945870148698</v>
          </cell>
        </row>
        <row r="975">
          <cell r="A975" t="str">
            <v>NOK_NIBOR_3M_EOD</v>
          </cell>
          <cell r="F975">
            <v>0.85798105801205804</v>
          </cell>
        </row>
        <row r="976">
          <cell r="A976" t="str">
            <v>NOK_NIBOR_3M_EOD</v>
          </cell>
          <cell r="F976">
            <v>0.83623350322624601</v>
          </cell>
        </row>
        <row r="977">
          <cell r="A977" t="str">
            <v>NOK_NIBOR_3M_EOD</v>
          </cell>
          <cell r="F977">
            <v>0.79434076039967805</v>
          </cell>
        </row>
        <row r="978">
          <cell r="A978" t="str">
            <v>NOK_NIBOR_3M_EOD</v>
          </cell>
          <cell r="F978">
            <v>0.73952296114518501</v>
          </cell>
        </row>
        <row r="979">
          <cell r="A979" t="str">
            <v>NOK_NIBOR_3M_EOD</v>
          </cell>
          <cell r="F979">
            <v>0.65934656432081795</v>
          </cell>
        </row>
        <row r="980">
          <cell r="A980" t="str">
            <v>NOK_NIBOR_3M_EOD</v>
          </cell>
          <cell r="F980">
            <v>0.58928371419956804</v>
          </cell>
        </row>
        <row r="981">
          <cell r="A981" t="str">
            <v>NOK_NIBOR_3M_EOD</v>
          </cell>
          <cell r="F981">
            <v>0.53231371289817297</v>
          </cell>
        </row>
        <row r="982">
          <cell r="A982" t="str">
            <v>NOK_NIBOR_6M_EOD</v>
          </cell>
          <cell r="F982">
            <v>0.99427720460750302</v>
          </cell>
        </row>
        <row r="983">
          <cell r="A983" t="str">
            <v>NOK_NIBOR_6M_EOD</v>
          </cell>
          <cell r="F983">
            <v>0.98975758143910797</v>
          </cell>
        </row>
        <row r="984">
          <cell r="A984" t="str">
            <v>NOK_NIBOR_6M_EOD</v>
          </cell>
          <cell r="F984">
            <v>0.98134701974218197</v>
          </cell>
        </row>
        <row r="985">
          <cell r="A985" t="str">
            <v>NOK_NIBOR_6M_EOD</v>
          </cell>
          <cell r="F985">
            <v>0.97059368470353402</v>
          </cell>
        </row>
        <row r="986">
          <cell r="A986" t="str">
            <v>NOK_NIBOR_6M_EOD</v>
          </cell>
          <cell r="F986">
            <v>0.95644370274248902</v>
          </cell>
        </row>
        <row r="987">
          <cell r="A987" t="str">
            <v>NOK_NIBOR_6M_EOD</v>
          </cell>
          <cell r="F987">
            <v>0.93888243104703195</v>
          </cell>
        </row>
        <row r="988">
          <cell r="A988" t="str">
            <v>NOK_NIBOR_6M_EOD</v>
          </cell>
          <cell r="F988">
            <v>0.91892821013920301</v>
          </cell>
        </row>
        <row r="989">
          <cell r="A989" t="str">
            <v>NOK_NIBOR_6M_EOD</v>
          </cell>
          <cell r="F989">
            <v>0.89719875494243995</v>
          </cell>
        </row>
        <row r="990">
          <cell r="A990" t="str">
            <v>NOK_NIBOR_6M_EOD</v>
          </cell>
          <cell r="F990">
            <v>0.87520770863632802</v>
          </cell>
        </row>
        <row r="991">
          <cell r="A991" t="str">
            <v>NOK_NIBOR_6M_EOD</v>
          </cell>
          <cell r="F991">
            <v>0.85185442996037097</v>
          </cell>
        </row>
        <row r="992">
          <cell r="A992" t="str">
            <v>NOK_NIBOR_6M_EOD</v>
          </cell>
          <cell r="F992">
            <v>0.82969171869416403</v>
          </cell>
        </row>
        <row r="993">
          <cell r="A993" t="str">
            <v>NOK_NIBOR_6M_EOD</v>
          </cell>
          <cell r="F993">
            <v>0.78730723031772198</v>
          </cell>
        </row>
        <row r="994">
          <cell r="A994" t="str">
            <v>NOK_NIBOR_6M_EOD</v>
          </cell>
          <cell r="F994">
            <v>0.731454462454184</v>
          </cell>
        </row>
        <row r="995">
          <cell r="A995" t="str">
            <v>NOK_NIBOR_6M_EOD</v>
          </cell>
          <cell r="F995">
            <v>0.65033917465465496</v>
          </cell>
        </row>
        <row r="996">
          <cell r="A996" t="str">
            <v>NOK_NIBOR_6M_EOD</v>
          </cell>
          <cell r="F996">
            <v>0.579561459799665</v>
          </cell>
        </row>
        <row r="997">
          <cell r="A997" t="str">
            <v>NOK_NIBOR_6M_EOD</v>
          </cell>
          <cell r="F997">
            <v>0.52197445094003303</v>
          </cell>
        </row>
        <row r="998">
          <cell r="A998" t="str">
            <v>NOK_NIBOR_EOD</v>
          </cell>
          <cell r="F998">
            <v>0.99997916710068602</v>
          </cell>
        </row>
        <row r="999">
          <cell r="A999" t="str">
            <v>NOK_NIBOR_EOD</v>
          </cell>
          <cell r="F999">
            <v>0.99995833463537998</v>
          </cell>
        </row>
        <row r="1000">
          <cell r="A1000" t="str">
            <v>NOK_NIBOR_EOD</v>
          </cell>
          <cell r="F1000">
            <v>0.99977365422425302</v>
          </cell>
        </row>
        <row r="1001">
          <cell r="A1001" t="str">
            <v>NOK_NIBOR_EOD</v>
          </cell>
          <cell r="F1001">
            <v>0.99907027217122801</v>
          </cell>
        </row>
        <row r="1002">
          <cell r="A1002" t="str">
            <v>NOK_NIBOR_EOD</v>
          </cell>
          <cell r="F1002">
            <v>0.99615388358144297</v>
          </cell>
        </row>
        <row r="1003">
          <cell r="A1003" t="str">
            <v>NOK_NIBOR_EOD</v>
          </cell>
          <cell r="F1003">
            <v>0.99408081089039801</v>
          </cell>
        </row>
        <row r="1004">
          <cell r="A1004" t="str">
            <v>NOK_NIBOR_EOD</v>
          </cell>
          <cell r="F1004">
            <v>0.99205536452116705</v>
          </cell>
        </row>
        <row r="1005">
          <cell r="A1005" t="str">
            <v>NOK_NIBOR_EOD</v>
          </cell>
          <cell r="F1005">
            <v>0.99020313454671205</v>
          </cell>
        </row>
        <row r="1006">
          <cell r="A1006" t="str">
            <v>NOK_NIBOR_EOD</v>
          </cell>
          <cell r="F1006">
            <v>0.98135079018993998</v>
          </cell>
        </row>
        <row r="1007">
          <cell r="A1007" t="str">
            <v>NOK_NIBOR_EOD</v>
          </cell>
          <cell r="F1007">
            <v>0.97059630258876195</v>
          </cell>
        </row>
        <row r="1008">
          <cell r="A1008" t="str">
            <v>NOK_NIBOR_EOD</v>
          </cell>
          <cell r="F1008">
            <v>0.95644580431447701</v>
          </cell>
        </row>
        <row r="1009">
          <cell r="A1009" t="str">
            <v>NOK_NIBOR_EOD</v>
          </cell>
          <cell r="F1009">
            <v>0.93888465715193803</v>
          </cell>
        </row>
        <row r="1010">
          <cell r="A1010" t="str">
            <v>NOK_NIBOR_EOD</v>
          </cell>
          <cell r="F1010">
            <v>0.91893033854726802</v>
          </cell>
        </row>
        <row r="1011">
          <cell r="A1011" t="str">
            <v>NOK_NIBOR_EOD</v>
          </cell>
          <cell r="F1011">
            <v>0.89720084854600002</v>
          </cell>
        </row>
        <row r="1012">
          <cell r="A1012" t="str">
            <v>NOK_NIBOR_EOD</v>
          </cell>
          <cell r="F1012">
            <v>0.87520974510691096</v>
          </cell>
        </row>
        <row r="1013">
          <cell r="A1013" t="str">
            <v>NOK_NIBOR_EOD</v>
          </cell>
          <cell r="F1013">
            <v>0.85185493007025903</v>
          </cell>
        </row>
        <row r="1014">
          <cell r="A1014" t="str">
            <v>NOK_NIBOR_EOD</v>
          </cell>
          <cell r="F1014">
            <v>0.82969220756212603</v>
          </cell>
        </row>
        <row r="1015">
          <cell r="A1015" t="str">
            <v>NOK_NIBOR_EOD</v>
          </cell>
          <cell r="F1015">
            <v>0.78730769134517398</v>
          </cell>
        </row>
        <row r="1016">
          <cell r="A1016" t="str">
            <v>NOK_NIBOR_EOD</v>
          </cell>
          <cell r="F1016">
            <v>0.73145486968024997</v>
          </cell>
        </row>
        <row r="1017">
          <cell r="A1017" t="str">
            <v>NOK_NIBOR_EOD</v>
          </cell>
          <cell r="F1017">
            <v>0.65033927971211603</v>
          </cell>
        </row>
        <row r="1018">
          <cell r="A1018" t="str">
            <v>NOK_NIBOR_EOD</v>
          </cell>
          <cell r="F1018">
            <v>0.57956160736520501</v>
          </cell>
        </row>
        <row r="1019">
          <cell r="A1019" t="str">
            <v>NOK_NIBOR_EOD</v>
          </cell>
          <cell r="F1019">
            <v>0.52197458280400599</v>
          </cell>
        </row>
        <row r="1020">
          <cell r="A1020" t="str">
            <v>NZD_BKBM_EOD</v>
          </cell>
          <cell r="F1020">
            <v>0.99992466321030604</v>
          </cell>
        </row>
        <row r="1021">
          <cell r="A1021" t="str">
            <v>NZD_BKBM_EOD</v>
          </cell>
          <cell r="F1021">
            <v>0.99946847445047804</v>
          </cell>
        </row>
        <row r="1022">
          <cell r="A1022" t="str">
            <v>NZD_BKBM_EOD</v>
          </cell>
          <cell r="F1022">
            <v>0.99757261884540405</v>
          </cell>
        </row>
        <row r="1023">
          <cell r="A1023" t="str">
            <v>NZD_BKBM_EOD</v>
          </cell>
          <cell r="F1023">
            <v>0.99507876924536798</v>
          </cell>
        </row>
        <row r="1024">
          <cell r="A1024" t="str">
            <v>NZD_BKBM_EOD</v>
          </cell>
          <cell r="F1024">
            <v>0.99282893856488497</v>
          </cell>
        </row>
        <row r="1025">
          <cell r="A1025" t="str">
            <v>NZD_BKBM_EOD</v>
          </cell>
          <cell r="F1025">
            <v>0.985936626964934</v>
          </cell>
        </row>
        <row r="1026">
          <cell r="A1026" t="str">
            <v>NZD_BKBM_EOD</v>
          </cell>
          <cell r="F1026">
            <v>0.97292798127268298</v>
          </cell>
        </row>
        <row r="1027">
          <cell r="A1027" t="str">
            <v>NZD_BKBM_EOD</v>
          </cell>
          <cell r="F1027">
            <v>0.94671690506405404</v>
          </cell>
        </row>
        <row r="1028">
          <cell r="A1028" t="str">
            <v>NZD_BKBM_EOD</v>
          </cell>
          <cell r="F1028">
            <v>0.91916278155878295</v>
          </cell>
        </row>
        <row r="1029">
          <cell r="A1029" t="str">
            <v>NZD_BKBM_EOD</v>
          </cell>
          <cell r="F1029">
            <v>0.889980474915811</v>
          </cell>
        </row>
        <row r="1030">
          <cell r="A1030" t="str">
            <v>NZD_BKBM_EOD</v>
          </cell>
          <cell r="F1030">
            <v>0.85906762098884704</v>
          </cell>
        </row>
        <row r="1031">
          <cell r="A1031" t="str">
            <v>NZD_BKBM_EOD</v>
          </cell>
          <cell r="F1031">
            <v>0.79460074121737101</v>
          </cell>
        </row>
        <row r="1032">
          <cell r="A1032" t="str">
            <v>NZD_BKBM_EOD</v>
          </cell>
          <cell r="F1032">
            <v>0.70118602735045998</v>
          </cell>
        </row>
        <row r="1033">
          <cell r="A1033" t="str">
            <v>NZD_BKBM_EOD</v>
          </cell>
          <cell r="F1033">
            <v>0.642231751040093</v>
          </cell>
        </row>
        <row r="1034">
          <cell r="A1034" t="str">
            <v>NZD_BKBM_EOD</v>
          </cell>
          <cell r="F1034">
            <v>0.56195760980647003</v>
          </cell>
        </row>
        <row r="1035">
          <cell r="A1035" t="str">
            <v>NZD_BKBM_EOD</v>
          </cell>
          <cell r="F1035">
            <v>0.45020574030518901</v>
          </cell>
        </row>
        <row r="1036">
          <cell r="A1036" t="str">
            <v>PLN_WIBOR_3M_EOD</v>
          </cell>
          <cell r="F1036">
            <v>0.99556421055928801</v>
          </cell>
        </row>
        <row r="1037">
          <cell r="A1037" t="str">
            <v>PLN_WIBOR_3M_EOD</v>
          </cell>
          <cell r="F1037">
            <v>0.99149065842202</v>
          </cell>
        </row>
        <row r="1038">
          <cell r="A1038" t="str">
            <v>PLN_WIBOR_3M_EOD</v>
          </cell>
          <cell r="F1038">
            <v>0.98792846580642102</v>
          </cell>
        </row>
        <row r="1039">
          <cell r="A1039" t="str">
            <v>PLN_WIBOR_3M_EOD</v>
          </cell>
          <cell r="F1039">
            <v>0.98447783055236204</v>
          </cell>
        </row>
        <row r="1040">
          <cell r="A1040" t="str">
            <v>PLN_WIBOR_3M_EOD</v>
          </cell>
          <cell r="F1040">
            <v>0.97069068885501697</v>
          </cell>
        </row>
        <row r="1041">
          <cell r="A1041" t="str">
            <v>PLN_WIBOR_3M_EOD</v>
          </cell>
          <cell r="F1041">
            <v>0.95384464957522797</v>
          </cell>
        </row>
        <row r="1042">
          <cell r="A1042" t="str">
            <v>PLN_WIBOR_3M_EOD</v>
          </cell>
          <cell r="F1042">
            <v>0.93438931278616999</v>
          </cell>
        </row>
        <row r="1043">
          <cell r="A1043" t="str">
            <v>PLN_WIBOR_3M_EOD</v>
          </cell>
          <cell r="F1043">
            <v>0.91252852599391698</v>
          </cell>
        </row>
        <row r="1044">
          <cell r="A1044" t="str">
            <v>PLN_WIBOR_3M_EOD</v>
          </cell>
          <cell r="F1044">
            <v>0.88851599250479196</v>
          </cell>
        </row>
        <row r="1045">
          <cell r="A1045" t="str">
            <v>PLN_WIBOR_3M_EOD</v>
          </cell>
          <cell r="F1045">
            <v>0.86272693883132101</v>
          </cell>
        </row>
        <row r="1046">
          <cell r="A1046" t="str">
            <v>PLN_WIBOR_3M_EOD</v>
          </cell>
          <cell r="F1046">
            <v>0.83730914955916402</v>
          </cell>
        </row>
        <row r="1047">
          <cell r="A1047" t="str">
            <v>PLN_WIBOR_3M_EOD</v>
          </cell>
          <cell r="F1047">
            <v>0.81191705695336602</v>
          </cell>
        </row>
        <row r="1048">
          <cell r="A1048" t="str">
            <v>PLN_WIBOR_3M_EOD</v>
          </cell>
          <cell r="F1048">
            <v>0.78815430018532695</v>
          </cell>
        </row>
        <row r="1049">
          <cell r="A1049" t="str">
            <v>PLN_WIBOR_3M_EOD</v>
          </cell>
          <cell r="F1049">
            <v>0.74217257899823297</v>
          </cell>
        </row>
        <row r="1050">
          <cell r="A1050" t="str">
            <v>PLN_WIBOR_3M_EOD</v>
          </cell>
          <cell r="F1050">
            <v>0.67911745033610305</v>
          </cell>
        </row>
        <row r="1051">
          <cell r="A1051" t="str">
            <v>PLN_WIBOR_3M_EOD</v>
          </cell>
          <cell r="F1051">
            <v>0.59390855560338995</v>
          </cell>
        </row>
        <row r="1052">
          <cell r="A1052" t="str">
            <v>PLN_WIBOR_3M_EOD</v>
          </cell>
          <cell r="F1052">
            <v>0.52674841768471203</v>
          </cell>
        </row>
        <row r="1053">
          <cell r="A1053" t="str">
            <v>PLN_WIBOR_3M_EOD</v>
          </cell>
          <cell r="F1053">
            <v>0.475343161439157</v>
          </cell>
        </row>
        <row r="1054">
          <cell r="A1054" t="str">
            <v>PLN_WIBOR_6M_EOD</v>
          </cell>
          <cell r="F1054">
            <v>0.99090897872726802</v>
          </cell>
        </row>
        <row r="1055">
          <cell r="A1055" t="str">
            <v>PLN_WIBOR_6M_EOD</v>
          </cell>
          <cell r="F1055">
            <v>0.98362021816926304</v>
          </cell>
        </row>
        <row r="1056">
          <cell r="A1056" t="str">
            <v>PLN_WIBOR_6M_EOD</v>
          </cell>
          <cell r="F1056">
            <v>0.97709144039759999</v>
          </cell>
        </row>
        <row r="1057">
          <cell r="A1057" t="str">
            <v>PLN_WIBOR_6M_EOD</v>
          </cell>
          <cell r="F1057">
            <v>0.97018068863833995</v>
          </cell>
        </row>
        <row r="1058">
          <cell r="A1058" t="str">
            <v>PLN_WIBOR_6M_EOD</v>
          </cell>
          <cell r="F1058">
            <v>0.95393579425817998</v>
          </cell>
        </row>
        <row r="1059">
          <cell r="A1059" t="str">
            <v>PLN_WIBOR_6M_EOD</v>
          </cell>
          <cell r="F1059">
            <v>0.935211921638892</v>
          </cell>
        </row>
        <row r="1060">
          <cell r="A1060" t="str">
            <v>PLN_WIBOR_6M_EOD</v>
          </cell>
          <cell r="F1060">
            <v>0.91395099393680101</v>
          </cell>
        </row>
        <row r="1061">
          <cell r="A1061" t="str">
            <v>PLN_WIBOR_6M_EOD</v>
          </cell>
          <cell r="F1061">
            <v>0.89052690736342099</v>
          </cell>
        </row>
        <row r="1062">
          <cell r="A1062" t="str">
            <v>PLN_WIBOR_6M_EOD</v>
          </cell>
          <cell r="F1062">
            <v>0.86573723062372598</v>
          </cell>
        </row>
        <row r="1063">
          <cell r="A1063" t="str">
            <v>PLN_WIBOR_6M_EOD</v>
          </cell>
          <cell r="F1063">
            <v>0.840873924770982</v>
          </cell>
        </row>
        <row r="1064">
          <cell r="A1064" t="str">
            <v>PLN_WIBOR_6M_EOD</v>
          </cell>
          <cell r="F1064">
            <v>0.81612228618264304</v>
          </cell>
        </row>
        <row r="1065">
          <cell r="A1065" t="str">
            <v>PLN_WIBOR_6M_EOD</v>
          </cell>
          <cell r="F1065">
            <v>0.79284517415538802</v>
          </cell>
        </row>
        <row r="1066">
          <cell r="A1066" t="str">
            <v>PLN_WIBOR_6M_EOD</v>
          </cell>
          <cell r="F1066">
            <v>0.74741793459933403</v>
          </cell>
        </row>
        <row r="1067">
          <cell r="A1067" t="str">
            <v>PLN_WIBOR_6M_EOD</v>
          </cell>
          <cell r="F1067">
            <v>0.68552483391875496</v>
          </cell>
        </row>
        <row r="1068">
          <cell r="A1068" t="str">
            <v>PLN_WIBOR_6M_EOD</v>
          </cell>
          <cell r="F1068">
            <v>0.60160375342942696</v>
          </cell>
        </row>
        <row r="1069">
          <cell r="A1069" t="str">
            <v>PLN_WIBOR_6M_EOD</v>
          </cell>
          <cell r="F1069">
            <v>0.53525658450884595</v>
          </cell>
        </row>
        <row r="1070">
          <cell r="A1070" t="str">
            <v>PLN_WIBOR_6M_EOD</v>
          </cell>
          <cell r="F1070">
            <v>0.48431297568696002</v>
          </cell>
        </row>
        <row r="1071">
          <cell r="A1071" t="str">
            <v>PLN_WIBOR_EOD</v>
          </cell>
          <cell r="F1071">
            <v>0.99996411087711601</v>
          </cell>
        </row>
        <row r="1072">
          <cell r="A1072" t="str">
            <v>PLN_WIBOR_EOD</v>
          </cell>
          <cell r="F1072">
            <v>0.99992767515635095</v>
          </cell>
        </row>
        <row r="1073">
          <cell r="A1073" t="str">
            <v>PLN_WIBOR_EOD</v>
          </cell>
          <cell r="F1073">
            <v>0.99961710918325097</v>
          </cell>
        </row>
        <row r="1074">
          <cell r="A1074" t="str">
            <v>PLN_WIBOR_EOD</v>
          </cell>
          <cell r="F1074">
            <v>0.99846581178698302</v>
          </cell>
        </row>
        <row r="1075">
          <cell r="A1075" t="str">
            <v>PLN_WIBOR_EOD</v>
          </cell>
          <cell r="F1075">
            <v>0.99709426561831005</v>
          </cell>
        </row>
        <row r="1076">
          <cell r="A1076" t="str">
            <v>PLN_WIBOR_EOD</v>
          </cell>
          <cell r="F1076">
            <v>0.99558637304310305</v>
          </cell>
        </row>
        <row r="1077">
          <cell r="A1077" t="str">
            <v>PLN_WIBOR_EOD</v>
          </cell>
          <cell r="F1077">
            <v>0.99151273022355502</v>
          </cell>
        </row>
        <row r="1078">
          <cell r="A1078" t="str">
            <v>PLN_WIBOR_EOD</v>
          </cell>
          <cell r="F1078">
            <v>0.98795045830903505</v>
          </cell>
        </row>
        <row r="1079">
          <cell r="A1079" t="str">
            <v>PLN_WIBOR_EOD</v>
          </cell>
          <cell r="F1079">
            <v>0.98449974623957104</v>
          </cell>
        </row>
        <row r="1080">
          <cell r="A1080" t="str">
            <v>PLN_WIBOR_EOD</v>
          </cell>
          <cell r="F1080">
            <v>0.97019099270954001</v>
          </cell>
        </row>
        <row r="1081">
          <cell r="A1081" t="str">
            <v>PLN_WIBOR_EOD</v>
          </cell>
          <cell r="F1081">
            <v>0.95394494469095903</v>
          </cell>
        </row>
        <row r="1082">
          <cell r="A1082" t="str">
            <v>PLN_WIBOR_EOD</v>
          </cell>
          <cell r="F1082">
            <v>0.93522058053331303</v>
          </cell>
        </row>
        <row r="1083">
          <cell r="A1083" t="str">
            <v>PLN_WIBOR_EOD</v>
          </cell>
          <cell r="F1083">
            <v>0.913959551511212</v>
          </cell>
        </row>
        <row r="1084">
          <cell r="A1084" t="str">
            <v>PLN_WIBOR_EOD</v>
          </cell>
          <cell r="F1084">
            <v>0.89053521712138595</v>
          </cell>
        </row>
        <row r="1085">
          <cell r="A1085" t="str">
            <v>PLN_WIBOR_EOD</v>
          </cell>
          <cell r="F1085">
            <v>0.86574531752546802</v>
          </cell>
        </row>
        <row r="1086">
          <cell r="A1086" t="str">
            <v>PLN_WIBOR_EOD</v>
          </cell>
          <cell r="F1086">
            <v>0.84088177634891703</v>
          </cell>
        </row>
        <row r="1087">
          <cell r="A1087" t="str">
            <v>PLN_WIBOR_EOD</v>
          </cell>
          <cell r="F1087">
            <v>0.81612930076196399</v>
          </cell>
        </row>
        <row r="1088">
          <cell r="A1088" t="str">
            <v>PLN_WIBOR_EOD</v>
          </cell>
          <cell r="F1088">
            <v>0.79285198944346702</v>
          </cell>
        </row>
        <row r="1089">
          <cell r="A1089" t="str">
            <v>PLN_WIBOR_EOD</v>
          </cell>
          <cell r="F1089">
            <v>0.74742435800221496</v>
          </cell>
        </row>
        <row r="1090">
          <cell r="A1090" t="str">
            <v>PLN_WIBOR_EOD</v>
          </cell>
          <cell r="F1090">
            <v>0.68553064572668398</v>
          </cell>
        </row>
        <row r="1091">
          <cell r="A1091" t="str">
            <v>PLN_WIBOR_EOD</v>
          </cell>
          <cell r="F1091">
            <v>0.60160877619761899</v>
          </cell>
        </row>
        <row r="1092">
          <cell r="A1092" t="str">
            <v>PLN_WIBOR_EOD</v>
          </cell>
          <cell r="F1092">
            <v>0.53526120021978496</v>
          </cell>
        </row>
        <row r="1093">
          <cell r="A1093" t="str">
            <v>PLN_WIBOR_EOD</v>
          </cell>
          <cell r="F1093">
            <v>0.48431715083891802</v>
          </cell>
        </row>
        <row r="1094">
          <cell r="A1094" t="str">
            <v>SEK_STIBOR_3M_EOD</v>
          </cell>
          <cell r="F1094">
            <v>1.0008388622911499</v>
          </cell>
        </row>
        <row r="1095">
          <cell r="A1095" t="str">
            <v>SEK_STIBOR_3M_EOD</v>
          </cell>
          <cell r="F1095">
            <v>1.0013320164662201</v>
          </cell>
        </row>
        <row r="1096">
          <cell r="A1096" t="str">
            <v>SEK_STIBOR_3M_EOD</v>
          </cell>
          <cell r="F1096">
            <v>1.0022313799309099</v>
          </cell>
        </row>
        <row r="1097">
          <cell r="A1097" t="str">
            <v>SEK_STIBOR_3M_EOD</v>
          </cell>
          <cell r="F1097">
            <v>1.0031735270684099</v>
          </cell>
        </row>
        <row r="1098">
          <cell r="A1098" t="str">
            <v>SEK_STIBOR_3M_EOD</v>
          </cell>
          <cell r="F1098">
            <v>1.0039475427364299</v>
          </cell>
        </row>
        <row r="1099">
          <cell r="A1099" t="str">
            <v>SEK_STIBOR_3M_EOD</v>
          </cell>
          <cell r="F1099">
            <v>1.0045100683747199</v>
          </cell>
        </row>
        <row r="1100">
          <cell r="A1100" t="str">
            <v>SEK_STIBOR_3M_EOD</v>
          </cell>
          <cell r="F1100">
            <v>1.0049340947330301</v>
          </cell>
        </row>
        <row r="1101">
          <cell r="A1101" t="str">
            <v>SEK_STIBOR_3M_EOD</v>
          </cell>
          <cell r="F1101">
            <v>1.0050738279138201</v>
          </cell>
        </row>
        <row r="1102">
          <cell r="A1102" t="str">
            <v>SEK_STIBOR_3M_EOD</v>
          </cell>
          <cell r="F1102">
            <v>1.00493411415712</v>
          </cell>
        </row>
        <row r="1103">
          <cell r="A1103" t="str">
            <v>SEK_STIBOR_3M_EOD</v>
          </cell>
          <cell r="F1103">
            <v>1.00217750837472</v>
          </cell>
        </row>
        <row r="1104">
          <cell r="A1104" t="str">
            <v>SEK_STIBOR_3M_EOD</v>
          </cell>
          <cell r="F1104">
            <v>0.99442728776910105</v>
          </cell>
        </row>
        <row r="1105">
          <cell r="A1105" t="str">
            <v>SEK_STIBOR_3M_EOD</v>
          </cell>
          <cell r="F1105">
            <v>0.98123966643455895</v>
          </cell>
        </row>
        <row r="1106">
          <cell r="A1106" t="str">
            <v>SEK_STIBOR_3M_EOD</v>
          </cell>
          <cell r="F1106">
            <v>0.96396326627707696</v>
          </cell>
        </row>
        <row r="1107">
          <cell r="A1107" t="str">
            <v>SEK_STIBOR_3M_EOD</v>
          </cell>
          <cell r="F1107">
            <v>0.94401202932458705</v>
          </cell>
        </row>
        <row r="1108">
          <cell r="A1108" t="str">
            <v>SEK_STIBOR_3M_EOD</v>
          </cell>
          <cell r="F1108">
            <v>0.92288715510531405</v>
          </cell>
        </row>
        <row r="1109">
          <cell r="A1109" t="str">
            <v>SEK_STIBOR_3M_EOD</v>
          </cell>
          <cell r="F1109">
            <v>0.90094642464497199</v>
          </cell>
        </row>
        <row r="1110">
          <cell r="A1110" t="str">
            <v>SEK_STIBOR_3M_EOD</v>
          </cell>
          <cell r="F1110">
            <v>0.878704146427989</v>
          </cell>
        </row>
        <row r="1111">
          <cell r="A1111" t="str">
            <v>SEK_STIBOR_3M_EOD</v>
          </cell>
          <cell r="F1111">
            <v>0.832165607571558</v>
          </cell>
        </row>
        <row r="1112">
          <cell r="A1112" t="str">
            <v>SEK_STIBOR_3M_EOD</v>
          </cell>
          <cell r="F1112">
            <v>0.76314084734895904</v>
          </cell>
        </row>
        <row r="1113">
          <cell r="A1113" t="str">
            <v>SEK_STIBOR_3M_EOD</v>
          </cell>
          <cell r="F1113">
            <v>0.66268519241447299</v>
          </cell>
        </row>
        <row r="1114">
          <cell r="A1114" t="str">
            <v>SEK_STIBOR_3M_EOD</v>
          </cell>
          <cell r="F1114">
            <v>0.58227369464019896</v>
          </cell>
        </row>
        <row r="1115">
          <cell r="A1115" t="str">
            <v>SEK_STIBOR_3M_EOD</v>
          </cell>
          <cell r="F1115">
            <v>0.52059909532740301</v>
          </cell>
        </row>
        <row r="1116">
          <cell r="A1116" t="str">
            <v>SEK_STIBOR_6M_EOD</v>
          </cell>
          <cell r="F1116">
            <v>1.00111122679192</v>
          </cell>
        </row>
        <row r="1117">
          <cell r="A1117" t="str">
            <v>SEK_STIBOR_6M_EOD</v>
          </cell>
          <cell r="F1117">
            <v>1.0023761895190599</v>
          </cell>
        </row>
        <row r="1118">
          <cell r="A1118" t="str">
            <v>SEK_STIBOR_6M_EOD</v>
          </cell>
          <cell r="F1118">
            <v>1.00289535462484</v>
          </cell>
        </row>
        <row r="1119">
          <cell r="A1119" t="str">
            <v>SEK_STIBOR_6M_EOD</v>
          </cell>
          <cell r="F1119">
            <v>0.99905669316403001</v>
          </cell>
        </row>
        <row r="1120">
          <cell r="A1120" t="str">
            <v>SEK_STIBOR_6M_EOD</v>
          </cell>
          <cell r="F1120">
            <v>0.99036125546674203</v>
          </cell>
        </row>
        <row r="1121">
          <cell r="A1121" t="str">
            <v>SEK_STIBOR_6M_EOD</v>
          </cell>
          <cell r="F1121">
            <v>0.97628212913130497</v>
          </cell>
        </row>
        <row r="1122">
          <cell r="A1122" t="str">
            <v>SEK_STIBOR_6M_EOD</v>
          </cell>
          <cell r="F1122">
            <v>0.95818006334452799</v>
          </cell>
        </row>
        <row r="1123">
          <cell r="A1123" t="str">
            <v>SEK_STIBOR_6M_EOD</v>
          </cell>
          <cell r="F1123">
            <v>0.93746121875506105</v>
          </cell>
        </row>
        <row r="1124">
          <cell r="A1124" t="str">
            <v>SEK_STIBOR_6M_EOD</v>
          </cell>
          <cell r="F1124">
            <v>0.91563675263047795</v>
          </cell>
        </row>
        <row r="1125">
          <cell r="A1125" t="str">
            <v>SEK_STIBOR_6M_EOD</v>
          </cell>
          <cell r="F1125">
            <v>0.89304276104007096</v>
          </cell>
        </row>
        <row r="1126">
          <cell r="A1126" t="str">
            <v>SEK_STIBOR_6M_EOD</v>
          </cell>
          <cell r="F1126">
            <v>0.87023578348980102</v>
          </cell>
        </row>
        <row r="1127">
          <cell r="A1127" t="str">
            <v>SEK_STIBOR_6M_EOD</v>
          </cell>
          <cell r="F1127">
            <v>0.82291299303363197</v>
          </cell>
        </row>
        <row r="1128">
          <cell r="A1128" t="str">
            <v>SEK_STIBOR_6M_EOD</v>
          </cell>
          <cell r="F1128">
            <v>0.75349923863074397</v>
          </cell>
        </row>
        <row r="1129">
          <cell r="A1129" t="str">
            <v>SEK_STIBOR_6M_EOD</v>
          </cell>
          <cell r="F1129">
            <v>0.65309958017597003</v>
          </cell>
        </row>
        <row r="1130">
          <cell r="A1130" t="str">
            <v>SEK_STIBOR_6M_EOD</v>
          </cell>
          <cell r="F1130">
            <v>0.57299659224319999</v>
          </cell>
        </row>
        <row r="1131">
          <cell r="A1131" t="str">
            <v>SEK_STIBOR_6M_EOD</v>
          </cell>
          <cell r="F1131">
            <v>0.51174668643787202</v>
          </cell>
        </row>
        <row r="1132">
          <cell r="A1132" t="str">
            <v>SEK_STIBOR_EOD</v>
          </cell>
          <cell r="F1132">
            <v>1.0000106112237099</v>
          </cell>
        </row>
        <row r="1133">
          <cell r="A1133" t="str">
            <v>SEK_STIBOR_EOD</v>
          </cell>
          <cell r="F1133">
            <v>1.00002122256001</v>
          </cell>
        </row>
        <row r="1134">
          <cell r="A1134" t="str">
            <v>SEK_STIBOR_EOD</v>
          </cell>
          <cell r="F1134">
            <v>1.0000947295226299</v>
          </cell>
        </row>
        <row r="1135">
          <cell r="A1135" t="str">
            <v>SEK_STIBOR_EOD</v>
          </cell>
          <cell r="F1135">
            <v>1.00039381367818</v>
          </cell>
        </row>
        <row r="1136">
          <cell r="A1136" t="str">
            <v>SEK_STIBOR_EOD</v>
          </cell>
          <cell r="F1136">
            <v>1.00146578390339</v>
          </cell>
        </row>
        <row r="1137">
          <cell r="A1137" t="str">
            <v>SEK_STIBOR_EOD</v>
          </cell>
          <cell r="F1137">
            <v>1.0023652675135899</v>
          </cell>
        </row>
        <row r="1138">
          <cell r="A1138" t="str">
            <v>SEK_STIBOR_EOD</v>
          </cell>
          <cell r="F1138">
            <v>1.00330754051205</v>
          </cell>
        </row>
        <row r="1139">
          <cell r="A1139" t="str">
            <v>SEK_STIBOR_EOD</v>
          </cell>
          <cell r="F1139">
            <v>1.0040816595804301</v>
          </cell>
        </row>
        <row r="1140">
          <cell r="A1140" t="str">
            <v>SEK_STIBOR_EOD</v>
          </cell>
          <cell r="F1140">
            <v>1.00464426036624</v>
          </cell>
        </row>
        <row r="1141">
          <cell r="A1141" t="str">
            <v>SEK_STIBOR_EOD</v>
          </cell>
          <cell r="F1141">
            <v>1.0050683433700101</v>
          </cell>
        </row>
        <row r="1142">
          <cell r="A1142" t="str">
            <v>SEK_STIBOR_EOD</v>
          </cell>
          <cell r="F1142">
            <v>1.0052080952176901</v>
          </cell>
        </row>
        <row r="1143">
          <cell r="A1143" t="str">
            <v>SEK_STIBOR_EOD</v>
          </cell>
          <cell r="F1143">
            <v>1.0050683627967001</v>
          </cell>
        </row>
        <row r="1144">
          <cell r="A1144" t="str">
            <v>SEK_STIBOR_EOD</v>
          </cell>
          <cell r="F1144">
            <v>1.0021798715454999</v>
          </cell>
        </row>
        <row r="1145">
          <cell r="A1145" t="str">
            <v>SEK_STIBOR_EOD</v>
          </cell>
          <cell r="F1145">
            <v>0.99442971341031705</v>
          </cell>
        </row>
        <row r="1146">
          <cell r="A1146" t="str">
            <v>SEK_STIBOR_EOD</v>
          </cell>
          <cell r="F1146">
            <v>0.98124202088800405</v>
          </cell>
        </row>
        <row r="1147">
          <cell r="A1147" t="str">
            <v>SEK_STIBOR_EOD</v>
          </cell>
          <cell r="F1147">
            <v>0.96396559314975505</v>
          </cell>
        </row>
        <row r="1148">
          <cell r="A1148" t="str">
            <v>SEK_STIBOR_EOD</v>
          </cell>
          <cell r="F1148">
            <v>0.94401430469869196</v>
          </cell>
        </row>
        <row r="1149">
          <cell r="A1149" t="str">
            <v>SEK_STIBOR_EOD</v>
          </cell>
          <cell r="F1149">
            <v>0.92289008539394601</v>
          </cell>
        </row>
        <row r="1150">
          <cell r="A1150" t="str">
            <v>SEK_STIBOR_EOD</v>
          </cell>
          <cell r="F1150">
            <v>0.90094869708263203</v>
          </cell>
        </row>
        <row r="1151">
          <cell r="A1151" t="str">
            <v>SEK_STIBOR_EOD</v>
          </cell>
          <cell r="F1151">
            <v>0.87870636413879899</v>
          </cell>
        </row>
        <row r="1152">
          <cell r="A1152" t="str">
            <v>SEK_STIBOR_EOD</v>
          </cell>
          <cell r="F1152">
            <v>0.83216770611573898</v>
          </cell>
        </row>
        <row r="1153">
          <cell r="A1153" t="str">
            <v>SEK_STIBOR_EOD</v>
          </cell>
          <cell r="F1153">
            <v>0.76314297269401599</v>
          </cell>
        </row>
        <row r="1154">
          <cell r="A1154" t="str">
            <v>SEK_STIBOR_EOD</v>
          </cell>
          <cell r="F1154">
            <v>0.66268697694008605</v>
          </cell>
        </row>
        <row r="1155">
          <cell r="A1155" t="str">
            <v>SEK_STIBOR_EOD</v>
          </cell>
          <cell r="F1155">
            <v>0.58227537525126705</v>
          </cell>
        </row>
        <row r="1156">
          <cell r="A1156" t="str">
            <v>SEK_STIBOR_EOD</v>
          </cell>
          <cell r="F1156">
            <v>0.52060047508239504</v>
          </cell>
        </row>
        <row r="1157">
          <cell r="A1157" t="str">
            <v>SGD_SOR_3M_EOD</v>
          </cell>
          <cell r="F1157">
            <v>0.99666203329703396</v>
          </cell>
        </row>
        <row r="1158">
          <cell r="A1158" t="str">
            <v>SGD_SOR_3M_EOD</v>
          </cell>
          <cell r="F1158">
            <v>0.99328174584333695</v>
          </cell>
        </row>
        <row r="1159">
          <cell r="A1159" t="str">
            <v>SGD_SOR_3M_EOD</v>
          </cell>
          <cell r="F1159">
            <v>0.98983913955373104</v>
          </cell>
        </row>
        <row r="1160">
          <cell r="A1160" t="str">
            <v>SGD_SOR_3M_EOD</v>
          </cell>
          <cell r="F1160">
            <v>0.98596685602454004</v>
          </cell>
        </row>
        <row r="1161">
          <cell r="A1161" t="str">
            <v>SGD_SOR_3M_EOD</v>
          </cell>
          <cell r="F1161">
            <v>0.96673338579088097</v>
          </cell>
        </row>
        <row r="1162">
          <cell r="A1162" t="str">
            <v>SGD_SOR_3M_EOD</v>
          </cell>
          <cell r="F1162">
            <v>0.94401898669577899</v>
          </cell>
        </row>
        <row r="1163">
          <cell r="A1163" t="str">
            <v>SGD_SOR_3M_EOD</v>
          </cell>
          <cell r="F1163">
            <v>0.91876466354404196</v>
          </cell>
        </row>
        <row r="1164">
          <cell r="A1164" t="str">
            <v>SGD_SOR_3M_EOD</v>
          </cell>
          <cell r="F1164">
            <v>0.89296625243245897</v>
          </cell>
        </row>
        <row r="1165">
          <cell r="A1165" t="str">
            <v>SGD_SOR_3M_EOD</v>
          </cell>
          <cell r="F1165">
            <v>0.83764181779598801</v>
          </cell>
        </row>
        <row r="1166">
          <cell r="A1166" t="str">
            <v>SGD_SOR_3M_EOD</v>
          </cell>
          <cell r="F1166">
            <v>0.75698964046397599</v>
          </cell>
        </row>
        <row r="1167">
          <cell r="A1167" t="str">
            <v>SGD_SOR_3M_EOD</v>
          </cell>
          <cell r="F1167">
            <v>0.70739315307672301</v>
          </cell>
        </row>
        <row r="1168">
          <cell r="A1168" t="str">
            <v>SGD_SOR_3M_EOD</v>
          </cell>
          <cell r="F1168">
            <v>0.63910847776737201</v>
          </cell>
        </row>
        <row r="1169">
          <cell r="A1169" t="str">
            <v>SGD_SOR_3M_EOD</v>
          </cell>
          <cell r="F1169">
            <v>0.54605365467767197</v>
          </cell>
        </row>
        <row r="1170">
          <cell r="A1170" t="str">
            <v>SGD_SOR_3M_EOD</v>
          </cell>
          <cell r="F1170">
            <v>0.465292313342972</v>
          </cell>
        </row>
        <row r="1171">
          <cell r="A1171" t="str">
            <v>SGD_SOR_3M_EOD</v>
          </cell>
          <cell r="F1171">
            <v>0.39435924278092599</v>
          </cell>
        </row>
        <row r="1172">
          <cell r="A1172" t="str">
            <v>SGD_SOR_3M_EOD</v>
          </cell>
          <cell r="F1172">
            <v>0.28246301423940501</v>
          </cell>
        </row>
        <row r="1173">
          <cell r="A1173" t="str">
            <v>SGD_SOR_6M_EOD</v>
          </cell>
          <cell r="F1173">
            <v>0.99278199742783702</v>
          </cell>
        </row>
        <row r="1174">
          <cell r="A1174" t="str">
            <v>SGD_SOR_6M_EOD</v>
          </cell>
          <cell r="F1174">
            <v>0.98524901148590605</v>
          </cell>
        </row>
        <row r="1175">
          <cell r="A1175" t="str">
            <v>SGD_SOR_6M_EOD</v>
          </cell>
          <cell r="F1175">
            <v>0.966063752663745</v>
          </cell>
        </row>
        <row r="1176">
          <cell r="A1176" t="str">
            <v>SGD_SOR_6M_EOD</v>
          </cell>
          <cell r="F1176">
            <v>0.943569763991433</v>
          </cell>
        </row>
        <row r="1177">
          <cell r="A1177" t="str">
            <v>SGD_SOR_6M_EOD</v>
          </cell>
          <cell r="F1177">
            <v>0.91838498988011996</v>
          </cell>
        </row>
        <row r="1178">
          <cell r="A1178" t="str">
            <v>SGD_SOR_6M_EOD</v>
          </cell>
          <cell r="F1178">
            <v>0.89282572005671901</v>
          </cell>
        </row>
        <row r="1179">
          <cell r="A1179" t="str">
            <v>SGD_SOR_6M_EOD</v>
          </cell>
          <cell r="F1179">
            <v>0.83744094446572503</v>
          </cell>
        </row>
        <row r="1180">
          <cell r="A1180" t="str">
            <v>SGD_SOR_6M_EOD</v>
          </cell>
          <cell r="F1180">
            <v>0.756719688901756</v>
          </cell>
        </row>
        <row r="1181">
          <cell r="A1181" t="str">
            <v>SGD_SOR_6M_EOD</v>
          </cell>
          <cell r="F1181">
            <v>0.70698587775517696</v>
          </cell>
        </row>
        <row r="1182">
          <cell r="A1182" t="str">
            <v>SGD_SOR_6M_EOD</v>
          </cell>
          <cell r="F1182">
            <v>0.63864752102381395</v>
          </cell>
        </row>
        <row r="1183">
          <cell r="A1183" t="str">
            <v>SGD_SOR_6M_EOD</v>
          </cell>
          <cell r="F1183">
            <v>0.54552395619102101</v>
          </cell>
        </row>
        <row r="1184">
          <cell r="A1184" t="str">
            <v>SGD_SOR_6M_EOD</v>
          </cell>
          <cell r="F1184">
            <v>0.39379141294074199</v>
          </cell>
        </row>
        <row r="1185">
          <cell r="A1185" t="str">
            <v>SGD_SOR_6M_EOD</v>
          </cell>
          <cell r="F1185">
            <v>0.28191394765175698</v>
          </cell>
        </row>
        <row r="1186">
          <cell r="A1186" t="str">
            <v>SGD_SOR_EOD</v>
          </cell>
          <cell r="F1186">
            <v>0.99997342043252002</v>
          </cell>
        </row>
        <row r="1187">
          <cell r="A1187" t="str">
            <v>SGD_SOR_EOD</v>
          </cell>
          <cell r="F1187">
            <v>0.99994684157151303</v>
          </cell>
        </row>
        <row r="1188">
          <cell r="A1188" t="str">
            <v>SGD_SOR_EOD</v>
          </cell>
          <cell r="F1188">
            <v>0.99974715963357896</v>
          </cell>
        </row>
        <row r="1189">
          <cell r="A1189" t="str">
            <v>SGD_SOR_EOD</v>
          </cell>
          <cell r="F1189">
            <v>0.99878521660231401</v>
          </cell>
        </row>
        <row r="1190">
          <cell r="A1190" t="str">
            <v>SGD_SOR_EOD</v>
          </cell>
          <cell r="F1190">
            <v>0.99775623659160595</v>
          </cell>
        </row>
        <row r="1191">
          <cell r="A1191" t="str">
            <v>SGD_SOR_EOD</v>
          </cell>
          <cell r="F1191">
            <v>0.99667995296635803</v>
          </cell>
        </row>
        <row r="1192">
          <cell r="A1192" t="str">
            <v>SGD_SOR_EOD</v>
          </cell>
          <cell r="F1192">
            <v>0.99280697176934196</v>
          </cell>
        </row>
        <row r="1193">
          <cell r="A1193" t="str">
            <v>SGD_SOR_EOD</v>
          </cell>
          <cell r="F1193">
            <v>0.98527379632824197</v>
          </cell>
        </row>
        <row r="1194">
          <cell r="A1194" t="str">
            <v>SGD_SOR_EOD</v>
          </cell>
          <cell r="F1194">
            <v>0.96608725597484102</v>
          </cell>
        </row>
        <row r="1195">
          <cell r="A1195" t="str">
            <v>SGD_SOR_EOD</v>
          </cell>
          <cell r="F1195">
            <v>0.94358985523321703</v>
          </cell>
        </row>
        <row r="1196">
          <cell r="A1196" t="str">
            <v>SGD_SOR_EOD</v>
          </cell>
          <cell r="F1196">
            <v>0.91840446803029996</v>
          </cell>
        </row>
        <row r="1197">
          <cell r="A1197" t="str">
            <v>SGD_SOR_EOD</v>
          </cell>
          <cell r="F1197">
            <v>0.89284467915204302</v>
          </cell>
        </row>
        <row r="1198">
          <cell r="A1198" t="str">
            <v>SGD_SOR_EOD</v>
          </cell>
          <cell r="F1198">
            <v>0.83745868443416605</v>
          </cell>
        </row>
        <row r="1199">
          <cell r="A1199" t="str">
            <v>SGD_SOR_EOD</v>
          </cell>
          <cell r="F1199">
            <v>0.75673504673120495</v>
          </cell>
        </row>
        <row r="1200">
          <cell r="A1200" t="str">
            <v>SGD_SOR_EOD</v>
          </cell>
          <cell r="F1200">
            <v>0.707000232107447</v>
          </cell>
        </row>
        <row r="1201">
          <cell r="A1201" t="str">
            <v>SGD_SOR_EOD</v>
          </cell>
          <cell r="F1201">
            <v>0.63866015950238597</v>
          </cell>
        </row>
        <row r="1202">
          <cell r="A1202" t="str">
            <v>SGD_SOR_EOD</v>
          </cell>
          <cell r="F1202">
            <v>0.54553460401496201</v>
          </cell>
        </row>
        <row r="1203">
          <cell r="A1203" t="str">
            <v>SGD_SOR_EOD</v>
          </cell>
          <cell r="F1203">
            <v>0.46473532542693002</v>
          </cell>
        </row>
        <row r="1204">
          <cell r="A1204" t="str">
            <v>SGD_SOR_EOD</v>
          </cell>
          <cell r="F1204">
            <v>0.393790067180944</v>
          </cell>
        </row>
        <row r="1205">
          <cell r="A1205" t="str">
            <v>SGD_SOR_EOD</v>
          </cell>
          <cell r="F1205">
            <v>0.28191605860469798</v>
          </cell>
        </row>
        <row r="1206">
          <cell r="A1206" t="str">
            <v>USD_FEDFUND_EOD</v>
          </cell>
          <cell r="F1206">
            <v>0.99999666667777798</v>
          </cell>
        </row>
        <row r="1207">
          <cell r="A1207" t="str">
            <v>USD_FEDFUND_EOD</v>
          </cell>
          <cell r="F1207">
            <v>0.99999333336666696</v>
          </cell>
        </row>
        <row r="1208">
          <cell r="A1208" t="str">
            <v>USD_FEDFUND_EOD</v>
          </cell>
          <cell r="F1208">
            <v>0.99997160481700398</v>
          </cell>
        </row>
        <row r="1209">
          <cell r="A1209" t="str">
            <v>USD_FEDFUND_EOD</v>
          </cell>
          <cell r="F1209">
            <v>0.999945308215614</v>
          </cell>
        </row>
        <row r="1210">
          <cell r="A1210" t="str">
            <v>USD_FEDFUND_EOD</v>
          </cell>
          <cell r="F1210">
            <v>0.999918526961868</v>
          </cell>
        </row>
        <row r="1211">
          <cell r="A1211" t="str">
            <v>USD_FEDFUND_EOD</v>
          </cell>
          <cell r="F1211">
            <v>0.999874148368181</v>
          </cell>
        </row>
        <row r="1212">
          <cell r="A1212" t="str">
            <v>USD_FEDFUND_EOD</v>
          </cell>
          <cell r="F1212">
            <v>0.99973741844012098</v>
          </cell>
        </row>
        <row r="1213">
          <cell r="A1213" t="str">
            <v>USD_FEDFUND_EOD</v>
          </cell>
          <cell r="F1213">
            <v>0.99956163380326701</v>
          </cell>
        </row>
        <row r="1214">
          <cell r="A1214" t="str">
            <v>USD_FEDFUND_EOD</v>
          </cell>
          <cell r="F1214">
            <v>0.99935312277239097</v>
          </cell>
        </row>
        <row r="1215">
          <cell r="A1215" t="str">
            <v>USD_FEDFUND_EOD</v>
          </cell>
          <cell r="F1215">
            <v>0.99913222016125103</v>
          </cell>
        </row>
        <row r="1216">
          <cell r="A1216" t="str">
            <v>USD_FEDFUND_EOD</v>
          </cell>
          <cell r="F1216">
            <v>0.99887625675286495</v>
          </cell>
        </row>
        <row r="1217">
          <cell r="A1217" t="str">
            <v>USD_FEDFUND_EOD</v>
          </cell>
          <cell r="F1217">
            <v>0.99858469096773905</v>
          </cell>
        </row>
        <row r="1218">
          <cell r="A1218" t="str">
            <v>USD_FEDFUND_EOD</v>
          </cell>
          <cell r="F1218">
            <v>0.99830626971832703</v>
          </cell>
        </row>
        <row r="1219">
          <cell r="A1219" t="str">
            <v>USD_FEDFUND_EOD</v>
          </cell>
          <cell r="F1219">
            <v>0.99796814413716695</v>
          </cell>
        </row>
        <row r="1220">
          <cell r="A1220" t="str">
            <v>USD_FEDFUND_EOD</v>
          </cell>
          <cell r="F1220">
            <v>0.99762674104208304</v>
          </cell>
        </row>
        <row r="1221">
          <cell r="A1221" t="str">
            <v>USD_FEDFUND_EOD</v>
          </cell>
          <cell r="F1221">
            <v>0.99722437368905703</v>
          </cell>
        </row>
        <row r="1222">
          <cell r="A1222" t="str">
            <v>USD_FEDFUND_EOD</v>
          </cell>
          <cell r="F1222">
            <v>0.99682177874064004</v>
          </cell>
        </row>
        <row r="1223">
          <cell r="A1223" t="str">
            <v>USD_FEDFUND_EOD</v>
          </cell>
          <cell r="F1223">
            <v>0.99361596977198197</v>
          </cell>
        </row>
        <row r="1224">
          <cell r="A1224" t="str">
            <v>USD_FEDFUND_EOD</v>
          </cell>
          <cell r="F1224">
            <v>0.98923403205400495</v>
          </cell>
        </row>
        <row r="1225">
          <cell r="A1225" t="str">
            <v>USD_FEDFUND_EOD</v>
          </cell>
          <cell r="F1225">
            <v>0.97749710715465599</v>
          </cell>
        </row>
        <row r="1226">
          <cell r="A1226" t="str">
            <v>USD_FEDFUND_EOD</v>
          </cell>
          <cell r="F1226">
            <v>0.96236993350186895</v>
          </cell>
        </row>
        <row r="1227">
          <cell r="A1227" t="str">
            <v>USD_FEDFUND_EOD</v>
          </cell>
          <cell r="F1227">
            <v>0.94444286613163597</v>
          </cell>
        </row>
        <row r="1228">
          <cell r="A1228" t="str">
            <v>USD_FEDFUND_EOD</v>
          </cell>
          <cell r="F1228">
            <v>0.92453642924839396</v>
          </cell>
        </row>
        <row r="1229">
          <cell r="A1229" t="str">
            <v>USD_FEDFUND_EOD</v>
          </cell>
          <cell r="F1229">
            <v>0.90352672715631199</v>
          </cell>
        </row>
        <row r="1230">
          <cell r="A1230" t="str">
            <v>USD_FEDFUND_EOD</v>
          </cell>
          <cell r="F1230">
            <v>0.88198985179738099</v>
          </cell>
        </row>
        <row r="1231">
          <cell r="A1231" t="str">
            <v>USD_FEDFUND_EOD</v>
          </cell>
          <cell r="F1231">
            <v>0.86053494869725899</v>
          </cell>
        </row>
        <row r="1232">
          <cell r="A1232" t="str">
            <v>USD_FEDFUND_EOD</v>
          </cell>
          <cell r="F1232">
            <v>0.83878597051944404</v>
          </cell>
        </row>
        <row r="1233">
          <cell r="A1233" t="str">
            <v>USD_FEDFUND_EOD</v>
          </cell>
          <cell r="F1233">
            <v>0.79588582970403898</v>
          </cell>
        </row>
        <row r="1234">
          <cell r="A1234" t="str">
            <v>USD_FEDFUND_EOD</v>
          </cell>
          <cell r="F1234">
            <v>0.73516374128867601</v>
          </cell>
        </row>
        <row r="1235">
          <cell r="A1235" t="str">
            <v>USD_FEDFUND_EOD</v>
          </cell>
          <cell r="F1235">
            <v>0.64474643764373196</v>
          </cell>
        </row>
        <row r="1236">
          <cell r="A1236" t="str">
            <v>USD_FEDFUND_EOD</v>
          </cell>
          <cell r="F1236">
            <v>0.56816731951455202</v>
          </cell>
        </row>
        <row r="1237">
          <cell r="A1237" t="str">
            <v>USD_FEDFUND_EOD</v>
          </cell>
          <cell r="F1237">
            <v>0.50140619852766299</v>
          </cell>
        </row>
        <row r="1238">
          <cell r="A1238" t="str">
            <v>USD_FEDFUND_EOD</v>
          </cell>
          <cell r="F1238">
            <v>0.39836154718036598</v>
          </cell>
        </row>
        <row r="1239">
          <cell r="A1239" t="str">
            <v>USD_FEDFUND_EOD</v>
          </cell>
          <cell r="F1239">
            <v>0.32328305052563799</v>
          </cell>
        </row>
        <row r="1240">
          <cell r="A1240" t="str">
            <v>USD_FEDFUND_EOD</v>
          </cell>
          <cell r="F1240">
            <v>0.260538484484376</v>
          </cell>
        </row>
        <row r="1241">
          <cell r="A1241" t="str">
            <v>USD_LIBOR_12M_EOD</v>
          </cell>
          <cell r="F1241">
            <v>0.99145653083524599</v>
          </cell>
        </row>
        <row r="1242">
          <cell r="A1242" t="str">
            <v>USD_LIBOR_12M_EOD</v>
          </cell>
          <cell r="F1242">
            <v>0.99139158898934399</v>
          </cell>
        </row>
        <row r="1243">
          <cell r="A1243" t="str">
            <v>USD_LIBOR_12M_EOD</v>
          </cell>
          <cell r="F1243">
            <v>0.99058907241443905</v>
          </cell>
        </row>
        <row r="1244">
          <cell r="A1244" t="str">
            <v>USD_LIBOR_12M_EOD</v>
          </cell>
          <cell r="F1244">
            <v>0.989720556225822</v>
          </cell>
        </row>
        <row r="1245">
          <cell r="A1245" t="str">
            <v>USD_LIBOR_12M_EOD</v>
          </cell>
          <cell r="F1245">
            <v>0.98865536999436898</v>
          </cell>
        </row>
        <row r="1246">
          <cell r="A1246" t="str">
            <v>USD_LIBOR_12M_EOD</v>
          </cell>
          <cell r="F1246">
            <v>0.98759855504774297</v>
          </cell>
        </row>
        <row r="1247">
          <cell r="A1247" t="str">
            <v>USD_LIBOR_12M_EOD</v>
          </cell>
          <cell r="F1247">
            <v>0.98648771475532804</v>
          </cell>
        </row>
        <row r="1248">
          <cell r="A1248" t="str">
            <v>USD_LIBOR_12M_EOD</v>
          </cell>
          <cell r="F1248">
            <v>0.98515384992830002</v>
          </cell>
        </row>
        <row r="1249">
          <cell r="A1249" t="str">
            <v>USD_LIBOR_12M_EOD</v>
          </cell>
          <cell r="F1249">
            <v>0.98403524977525503</v>
          </cell>
        </row>
        <row r="1250">
          <cell r="A1250" t="str">
            <v>USD_LIBOR_12M_EOD</v>
          </cell>
          <cell r="F1250">
            <v>0.98306711303045302</v>
          </cell>
        </row>
        <row r="1251">
          <cell r="A1251" t="str">
            <v>USD_LIBOR_12M_EOD</v>
          </cell>
          <cell r="F1251">
            <v>0.98181375675627902</v>
          </cell>
        </row>
        <row r="1252">
          <cell r="A1252" t="str">
            <v>USD_LIBOR_12M_EOD</v>
          </cell>
          <cell r="F1252">
            <v>0.98066872221960999</v>
          </cell>
        </row>
        <row r="1253">
          <cell r="A1253" t="str">
            <v>USD_LIBOR_12M_EOD</v>
          </cell>
          <cell r="F1253">
            <v>0.97898408099782097</v>
          </cell>
        </row>
        <row r="1254">
          <cell r="A1254" t="str">
            <v>USD_LIBOR_12M_EOD</v>
          </cell>
          <cell r="F1254">
            <v>0.96264861444448202</v>
          </cell>
        </row>
        <row r="1255">
          <cell r="A1255" t="str">
            <v>USD_LIBOR_12M_EOD</v>
          </cell>
          <cell r="F1255">
            <v>0.94278313061323504</v>
          </cell>
        </row>
        <row r="1256">
          <cell r="A1256" t="str">
            <v>USD_LIBOR_12M_EOD</v>
          </cell>
          <cell r="F1256">
            <v>0.92051401044505698</v>
          </cell>
        </row>
        <row r="1257">
          <cell r="A1257" t="str">
            <v>USD_LIBOR_12M_EOD</v>
          </cell>
          <cell r="F1257">
            <v>0.89671030259620099</v>
          </cell>
        </row>
        <row r="1258">
          <cell r="A1258" t="str">
            <v>USD_LIBOR_12M_EOD</v>
          </cell>
          <cell r="F1258">
            <v>0.87211917959995</v>
          </cell>
        </row>
        <row r="1259">
          <cell r="A1259" t="str">
            <v>USD_LIBOR_12M_EOD</v>
          </cell>
          <cell r="F1259">
            <v>0.84708632316848098</v>
          </cell>
        </row>
        <row r="1260">
          <cell r="A1260" t="str">
            <v>USD_LIBOR_12M_EOD</v>
          </cell>
          <cell r="F1260">
            <v>0.82236030133260896</v>
          </cell>
        </row>
        <row r="1261">
          <cell r="A1261" t="str">
            <v>USD_LIBOR_12M_EOD</v>
          </cell>
          <cell r="F1261">
            <v>0.79760159145884901</v>
          </cell>
        </row>
        <row r="1262">
          <cell r="A1262" t="str">
            <v>USD_LIBOR_12M_EOD</v>
          </cell>
          <cell r="F1262">
            <v>0.749056773183427</v>
          </cell>
        </row>
        <row r="1263">
          <cell r="A1263" t="str">
            <v>USD_LIBOR_12M_EOD</v>
          </cell>
          <cell r="F1263">
            <v>0.68127262126016697</v>
          </cell>
        </row>
        <row r="1264">
          <cell r="A1264" t="str">
            <v>USD_LIBOR_12M_EOD</v>
          </cell>
          <cell r="F1264">
            <v>0.58245185205471695</v>
          </cell>
        </row>
        <row r="1265">
          <cell r="A1265" t="str">
            <v>USD_LIBOR_12M_EOD</v>
          </cell>
          <cell r="F1265">
            <v>0.50126478537334196</v>
          </cell>
        </row>
        <row r="1266">
          <cell r="A1266" t="str">
            <v>USD_LIBOR_12M_EOD</v>
          </cell>
          <cell r="F1266">
            <v>0.43118011118191002</v>
          </cell>
        </row>
        <row r="1267">
          <cell r="A1267" t="str">
            <v>USD_LIBOR_12M_EOD</v>
          </cell>
          <cell r="F1267">
            <v>0.32577989189487899</v>
          </cell>
        </row>
        <row r="1268">
          <cell r="A1268" t="str">
            <v>USD_LIBOR_12M_EOD</v>
          </cell>
          <cell r="F1268">
            <v>0.25137127978836699</v>
          </cell>
        </row>
        <row r="1269">
          <cell r="A1269" t="str">
            <v>USD_LIBOR_12M_EOD</v>
          </cell>
          <cell r="F1269">
            <v>0.192630850493578</v>
          </cell>
        </row>
        <row r="1270">
          <cell r="A1270" t="str">
            <v>USD_LIBOR_1M_EOD</v>
          </cell>
          <cell r="F1270">
            <v>0.99981987871723499</v>
          </cell>
        </row>
        <row r="1271">
          <cell r="A1271" t="str">
            <v>USD_LIBOR_1M_EOD</v>
          </cell>
          <cell r="F1271">
            <v>0.99964095698830502</v>
          </cell>
        </row>
        <row r="1272">
          <cell r="A1272" t="str">
            <v>USD_LIBOR_1M_EOD</v>
          </cell>
          <cell r="F1272">
            <v>0.999414354863295</v>
          </cell>
        </row>
        <row r="1273">
          <cell r="A1273" t="str">
            <v>USD_LIBOR_1M_EOD</v>
          </cell>
          <cell r="F1273">
            <v>0.99858274423657101</v>
          </cell>
        </row>
        <row r="1274">
          <cell r="A1274" t="str">
            <v>USD_LIBOR_1M_EOD</v>
          </cell>
          <cell r="F1274">
            <v>0.99751150549492296</v>
          </cell>
        </row>
        <row r="1275">
          <cell r="A1275" t="str">
            <v>USD_LIBOR_1M_EOD</v>
          </cell>
          <cell r="F1275">
            <v>0.99612855547212598</v>
          </cell>
        </row>
        <row r="1276">
          <cell r="A1276" t="str">
            <v>USD_LIBOR_1M_EOD</v>
          </cell>
          <cell r="F1276">
            <v>0.98755258872517004</v>
          </cell>
        </row>
        <row r="1277">
          <cell r="A1277" t="str">
            <v>USD_LIBOR_1M_EOD</v>
          </cell>
          <cell r="F1277">
            <v>0.97481806643971303</v>
          </cell>
        </row>
        <row r="1278">
          <cell r="A1278" t="str">
            <v>USD_LIBOR_1M_EOD</v>
          </cell>
          <cell r="F1278">
            <v>0.95868347866486203</v>
          </cell>
        </row>
        <row r="1279">
          <cell r="A1279" t="str">
            <v>USD_LIBOR_1M_EOD</v>
          </cell>
          <cell r="F1279">
            <v>0.93980507431737403</v>
          </cell>
        </row>
        <row r="1280">
          <cell r="A1280" t="str">
            <v>USD_LIBOR_1M_EOD</v>
          </cell>
          <cell r="F1280">
            <v>0.91884920151449301</v>
          </cell>
        </row>
        <row r="1281">
          <cell r="A1281" t="str">
            <v>USD_LIBOR_1M_EOD</v>
          </cell>
          <cell r="F1281">
            <v>0.89654897399752098</v>
          </cell>
        </row>
        <row r="1282">
          <cell r="A1282" t="str">
            <v>USD_LIBOR_1M_EOD</v>
          </cell>
          <cell r="F1282">
            <v>0.87387389858230902</v>
          </cell>
        </row>
        <row r="1283">
          <cell r="A1283" t="str">
            <v>USD_LIBOR_1M_EOD</v>
          </cell>
          <cell r="F1283">
            <v>0.85125472866190799</v>
          </cell>
        </row>
        <row r="1284">
          <cell r="A1284" t="str">
            <v>USD_LIBOR_1M_EOD</v>
          </cell>
          <cell r="F1284">
            <v>0.82823707489419496</v>
          </cell>
        </row>
        <row r="1285">
          <cell r="A1285" t="str">
            <v>USD_LIBOR_1M_EOD</v>
          </cell>
          <cell r="F1285">
            <v>0.78338326696474303</v>
          </cell>
        </row>
        <row r="1286">
          <cell r="A1286" t="str">
            <v>USD_LIBOR_1M_EOD</v>
          </cell>
          <cell r="F1286">
            <v>0.72026419297809896</v>
          </cell>
        </row>
        <row r="1287">
          <cell r="A1287" t="str">
            <v>USD_LIBOR_1M_EOD</v>
          </cell>
          <cell r="F1287">
            <v>0.62770539022343297</v>
          </cell>
        </row>
        <row r="1288">
          <cell r="A1288" t="str">
            <v>USD_LIBOR_1M_EOD</v>
          </cell>
          <cell r="F1288">
            <v>0.54963972621892099</v>
          </cell>
        </row>
        <row r="1289">
          <cell r="A1289" t="str">
            <v>USD_LIBOR_1M_EOD</v>
          </cell>
          <cell r="F1289">
            <v>0.48181167119844698</v>
          </cell>
        </row>
        <row r="1290">
          <cell r="A1290" t="str">
            <v>USD_LIBOR_1M_EOD</v>
          </cell>
          <cell r="F1290">
            <v>0.37778127226598801</v>
          </cell>
        </row>
        <row r="1291">
          <cell r="A1291" t="str">
            <v>USD_LIBOR_1M_EOD</v>
          </cell>
          <cell r="F1291">
            <v>0.302548791273068</v>
          </cell>
        </row>
        <row r="1292">
          <cell r="A1292" t="str">
            <v>USD_LIBOR_1M_EOD</v>
          </cell>
          <cell r="F1292">
            <v>0.24062839468903299</v>
          </cell>
        </row>
        <row r="1293">
          <cell r="A1293" t="str">
            <v>USD_LIBOR_3M_EOD</v>
          </cell>
          <cell r="F1293">
            <v>0.99915496818655902</v>
          </cell>
        </row>
        <row r="1294">
          <cell r="A1294" t="str">
            <v>USD_LIBOR_3M_EOD</v>
          </cell>
          <cell r="F1294">
            <v>0.998604841587587</v>
          </cell>
        </row>
        <row r="1295">
          <cell r="A1295" t="str">
            <v>USD_LIBOR_3M_EOD</v>
          </cell>
          <cell r="F1295">
            <v>0.99741079399049704</v>
          </cell>
        </row>
        <row r="1296">
          <cell r="A1296" t="str">
            <v>USD_LIBOR_3M_EOD</v>
          </cell>
          <cell r="F1296">
            <v>0.99581972462136203</v>
          </cell>
        </row>
        <row r="1297">
          <cell r="A1297" t="str">
            <v>USD_LIBOR_3M_EOD</v>
          </cell>
          <cell r="F1297">
            <v>0.99402366743550297</v>
          </cell>
        </row>
        <row r="1298">
          <cell r="A1298" t="str">
            <v>USD_LIBOR_3M_EOD</v>
          </cell>
          <cell r="F1298">
            <v>0.99203889838249004</v>
          </cell>
        </row>
        <row r="1299">
          <cell r="A1299" t="str">
            <v>USD_LIBOR_3M_EOD</v>
          </cell>
          <cell r="F1299">
            <v>0.98941423769838399</v>
          </cell>
        </row>
        <row r="1300">
          <cell r="A1300" t="str">
            <v>USD_LIBOR_3M_EOD</v>
          </cell>
          <cell r="F1300">
            <v>0.98665586425913199</v>
          </cell>
        </row>
        <row r="1301">
          <cell r="A1301" t="str">
            <v>USD_LIBOR_3M_EOD</v>
          </cell>
          <cell r="F1301">
            <v>0.98361702863003098</v>
          </cell>
        </row>
        <row r="1302">
          <cell r="A1302" t="str">
            <v>USD_LIBOR_3M_EOD</v>
          </cell>
          <cell r="F1302">
            <v>0.98028932286158699</v>
          </cell>
        </row>
        <row r="1303">
          <cell r="A1303" t="str">
            <v>USD_LIBOR_3M_EOD</v>
          </cell>
          <cell r="F1303">
            <v>0.976713664877225</v>
          </cell>
        </row>
        <row r="1304">
          <cell r="A1304" t="str">
            <v>USD_LIBOR_3M_EOD</v>
          </cell>
          <cell r="F1304">
            <v>0.97289402459538499</v>
          </cell>
        </row>
        <row r="1305">
          <cell r="A1305" t="str">
            <v>USD_LIBOR_3M_EOD</v>
          </cell>
          <cell r="F1305">
            <v>0.96885846534242903</v>
          </cell>
        </row>
        <row r="1306">
          <cell r="A1306" t="str">
            <v>USD_LIBOR_3M_EOD</v>
          </cell>
          <cell r="F1306">
            <v>0.953852679099919</v>
          </cell>
        </row>
        <row r="1307">
          <cell r="A1307" t="str">
            <v>USD_LIBOR_3M_EOD</v>
          </cell>
          <cell r="F1307">
            <v>0.93365603659311502</v>
          </cell>
        </row>
        <row r="1308">
          <cell r="A1308" t="str">
            <v>USD_LIBOR_3M_EOD</v>
          </cell>
          <cell r="F1308">
            <v>0.91165449874604598</v>
          </cell>
        </row>
        <row r="1309">
          <cell r="A1309" t="str">
            <v>USD_LIBOR_3M_EOD</v>
          </cell>
          <cell r="F1309">
            <v>0.88856858042436204</v>
          </cell>
        </row>
        <row r="1310">
          <cell r="A1310" t="str">
            <v>USD_LIBOR_3M_EOD</v>
          </cell>
          <cell r="F1310">
            <v>0.86522619035914605</v>
          </cell>
        </row>
        <row r="1311">
          <cell r="A1311" t="str">
            <v>USD_LIBOR_3M_EOD</v>
          </cell>
          <cell r="F1311">
            <v>0.84203895436306997</v>
          </cell>
        </row>
        <row r="1312">
          <cell r="A1312" t="str">
            <v>USD_LIBOR_3M_EOD</v>
          </cell>
          <cell r="F1312">
            <v>0.81864760366032296</v>
          </cell>
        </row>
        <row r="1313">
          <cell r="A1313" t="str">
            <v>USD_LIBOR_3M_EOD</v>
          </cell>
          <cell r="F1313">
            <v>0.77293028673575104</v>
          </cell>
        </row>
        <row r="1314">
          <cell r="A1314" t="str">
            <v>USD_LIBOR_3M_EOD</v>
          </cell>
          <cell r="F1314">
            <v>0.70862861096877605</v>
          </cell>
        </row>
        <row r="1315">
          <cell r="A1315" t="str">
            <v>USD_LIBOR_3M_EOD</v>
          </cell>
          <cell r="F1315">
            <v>0.61358972614849105</v>
          </cell>
        </row>
        <row r="1316">
          <cell r="A1316" t="str">
            <v>USD_LIBOR_3M_EOD</v>
          </cell>
          <cell r="F1316">
            <v>0.53389206910299303</v>
          </cell>
        </row>
        <row r="1317">
          <cell r="A1317" t="str">
            <v>USD_LIBOR_3M_EOD</v>
          </cell>
          <cell r="F1317">
            <v>0.46511591285557102</v>
          </cell>
        </row>
        <row r="1318">
          <cell r="A1318" t="str">
            <v>USD_LIBOR_3M_EOD</v>
          </cell>
          <cell r="F1318">
            <v>0.36046609314939798</v>
          </cell>
        </row>
        <row r="1319">
          <cell r="A1319" t="str">
            <v>USD_LIBOR_3M_EOD</v>
          </cell>
          <cell r="F1319">
            <v>0.285326214026073</v>
          </cell>
        </row>
        <row r="1320">
          <cell r="A1320" t="str">
            <v>USD_LIBOR_3M_EOD</v>
          </cell>
          <cell r="F1320">
            <v>0.22429573193963701</v>
          </cell>
        </row>
        <row r="1321">
          <cell r="A1321" t="str">
            <v>USD_LIBOR_6M_EOD</v>
          </cell>
          <cell r="F1321">
            <v>0.99725998062174803</v>
          </cell>
        </row>
        <row r="1322">
          <cell r="A1322" t="str">
            <v>USD_LIBOR_6M_EOD</v>
          </cell>
          <cell r="F1322">
            <v>0.99667807595157398</v>
          </cell>
        </row>
        <row r="1323">
          <cell r="A1323" t="str">
            <v>USD_LIBOR_6M_EOD</v>
          </cell>
          <cell r="F1323">
            <v>0.99614303157165196</v>
          </cell>
        </row>
        <row r="1324">
          <cell r="A1324" t="str">
            <v>USD_LIBOR_6M_EOD</v>
          </cell>
          <cell r="F1324">
            <v>0.99555928918412595</v>
          </cell>
        </row>
        <row r="1325">
          <cell r="A1325" t="str">
            <v>USD_LIBOR_6M_EOD</v>
          </cell>
          <cell r="F1325">
            <v>0.99496922856316194</v>
          </cell>
        </row>
        <row r="1326">
          <cell r="A1326" t="str">
            <v>USD_LIBOR_6M_EOD</v>
          </cell>
          <cell r="F1326">
            <v>0.99436300637504904</v>
          </cell>
        </row>
        <row r="1327">
          <cell r="A1327" t="str">
            <v>USD_LIBOR_6M_EOD</v>
          </cell>
          <cell r="F1327">
            <v>0.99370328195130397</v>
          </cell>
        </row>
        <row r="1328">
          <cell r="A1328" t="str">
            <v>USD_LIBOR_6M_EOD</v>
          </cell>
          <cell r="F1328">
            <v>0.98904616576999504</v>
          </cell>
        </row>
        <row r="1329">
          <cell r="A1329" t="str">
            <v>USD_LIBOR_6M_EOD</v>
          </cell>
          <cell r="F1329">
            <v>0.98296730944400701</v>
          </cell>
        </row>
        <row r="1330">
          <cell r="A1330" t="str">
            <v>USD_LIBOR_6M_EOD</v>
          </cell>
          <cell r="F1330">
            <v>0.96819480937203595</v>
          </cell>
        </row>
        <row r="1331">
          <cell r="A1331" t="str">
            <v>USD_LIBOR_6M_EOD</v>
          </cell>
          <cell r="F1331">
            <v>0.95003094868404003</v>
          </cell>
        </row>
        <row r="1332">
          <cell r="A1332" t="str">
            <v>USD_LIBOR_6M_EOD</v>
          </cell>
          <cell r="F1332">
            <v>0.92923117520057896</v>
          </cell>
        </row>
        <row r="1333">
          <cell r="A1333" t="str">
            <v>USD_LIBOR_6M_EOD</v>
          </cell>
          <cell r="F1333">
            <v>0.90659546023624105</v>
          </cell>
        </row>
        <row r="1334">
          <cell r="A1334" t="str">
            <v>USD_LIBOR_6M_EOD</v>
          </cell>
          <cell r="F1334">
            <v>0.88282335911528398</v>
          </cell>
        </row>
        <row r="1335">
          <cell r="A1335" t="str">
            <v>USD_LIBOR_6M_EOD</v>
          </cell>
          <cell r="F1335">
            <v>0.85877331558649805</v>
          </cell>
        </row>
        <row r="1336">
          <cell r="A1336" t="str">
            <v>USD_LIBOR_6M_EOD</v>
          </cell>
          <cell r="F1336">
            <v>0.83474187807301004</v>
          </cell>
        </row>
        <row r="1337">
          <cell r="A1337" t="str">
            <v>USD_LIBOR_6M_EOD</v>
          </cell>
          <cell r="F1337">
            <v>0.81051186792805197</v>
          </cell>
        </row>
        <row r="1338">
          <cell r="A1338" t="str">
            <v>USD_LIBOR_6M_EOD</v>
          </cell>
          <cell r="F1338">
            <v>0.76333540100053499</v>
          </cell>
        </row>
        <row r="1339">
          <cell r="A1339" t="str">
            <v>USD_LIBOR_6M_EOD</v>
          </cell>
          <cell r="F1339">
            <v>0.69732480756777604</v>
          </cell>
        </row>
        <row r="1340">
          <cell r="A1340" t="str">
            <v>USD_LIBOR_6M_EOD</v>
          </cell>
          <cell r="F1340">
            <v>0.60063486662097298</v>
          </cell>
        </row>
        <row r="1341">
          <cell r="A1341" t="str">
            <v>USD_LIBOR_6M_EOD</v>
          </cell>
          <cell r="F1341">
            <v>0.52003820515287402</v>
          </cell>
        </row>
        <row r="1342">
          <cell r="A1342" t="str">
            <v>USD_LIBOR_6M_EOD</v>
          </cell>
          <cell r="F1342">
            <v>0.45068390844704898</v>
          </cell>
        </row>
        <row r="1343">
          <cell r="A1343" t="str">
            <v>USD_LIBOR_6M_EOD</v>
          </cell>
          <cell r="F1343">
            <v>0.34564389286665498</v>
          </cell>
        </row>
        <row r="1344">
          <cell r="A1344" t="str">
            <v>USD_LIBOR_6M_EOD</v>
          </cell>
          <cell r="F1344">
            <v>0.27073592393611901</v>
          </cell>
        </row>
        <row r="1345">
          <cell r="A1345" t="str">
            <v>USD_LIBOR_6M_EOD</v>
          </cell>
          <cell r="F1345">
            <v>0.210605545988126</v>
          </cell>
        </row>
        <row r="1346">
          <cell r="A1346" t="str">
            <v>USD_LIBOR_EOD</v>
          </cell>
          <cell r="F1346">
            <v>0.99999634723556496</v>
          </cell>
        </row>
        <row r="1347">
          <cell r="A1347" t="str">
            <v>USD_LIBOR_EOD</v>
          </cell>
          <cell r="F1347">
            <v>0.99999269448447303</v>
          </cell>
        </row>
        <row r="1348">
          <cell r="A1348" t="str">
            <v>USD_LIBOR_EOD</v>
          </cell>
          <cell r="F1348">
            <v>0.99996298447313403</v>
          </cell>
        </row>
        <row r="1349">
          <cell r="A1349" t="str">
            <v>USD_LIBOR_EOD</v>
          </cell>
          <cell r="F1349">
            <v>0.99982316891161005</v>
          </cell>
        </row>
        <row r="1350">
          <cell r="A1350" t="str">
            <v>USD_LIBOR_EOD</v>
          </cell>
          <cell r="F1350">
            <v>0.99876144806869604</v>
          </cell>
        </row>
        <row r="1351">
          <cell r="A1351" t="str">
            <v>USD_LIBOR_EOD</v>
          </cell>
          <cell r="F1351">
            <v>0.99756721321476105</v>
          </cell>
        </row>
        <row r="1352">
          <cell r="A1352" t="str">
            <v>USD_LIBOR_EOD</v>
          </cell>
          <cell r="F1352">
            <v>0.99597589432573097</v>
          </cell>
        </row>
        <row r="1353">
          <cell r="A1353" t="str">
            <v>USD_LIBOR_EOD</v>
          </cell>
          <cell r="F1353">
            <v>0.99417955547270598</v>
          </cell>
        </row>
        <row r="1354">
          <cell r="A1354" t="str">
            <v>USD_LIBOR_EOD</v>
          </cell>
          <cell r="F1354">
            <v>0.99219447515773596</v>
          </cell>
        </row>
        <row r="1355">
          <cell r="A1355" t="str">
            <v>USD_LIBOR_EOD</v>
          </cell>
          <cell r="F1355">
            <v>0.989569402860491</v>
          </cell>
        </row>
        <row r="1356">
          <cell r="A1356" t="str">
            <v>USD_LIBOR_EOD</v>
          </cell>
          <cell r="F1356">
            <v>0.98681059683855998</v>
          </cell>
        </row>
        <row r="1357">
          <cell r="A1357" t="str">
            <v>USD_LIBOR_EOD</v>
          </cell>
          <cell r="F1357">
            <v>0.98377128464321895</v>
          </cell>
        </row>
        <row r="1358">
          <cell r="A1358" t="str">
            <v>USD_LIBOR_EOD</v>
          </cell>
          <cell r="F1358">
            <v>0.980443057006395</v>
          </cell>
        </row>
        <row r="1359">
          <cell r="A1359" t="str">
            <v>USD_LIBOR_EOD</v>
          </cell>
          <cell r="F1359">
            <v>0.97686683826847798</v>
          </cell>
        </row>
        <row r="1360">
          <cell r="A1360" t="str">
            <v>USD_LIBOR_EOD</v>
          </cell>
          <cell r="F1360">
            <v>0.97304659897049195</v>
          </cell>
        </row>
        <row r="1361">
          <cell r="A1361" t="str">
            <v>USD_LIBOR_EOD</v>
          </cell>
          <cell r="F1361">
            <v>0.96901040683983797</v>
          </cell>
        </row>
        <row r="1362">
          <cell r="A1362" t="str">
            <v>USD_LIBOR_EOD</v>
          </cell>
          <cell r="F1362">
            <v>0.95384256920705401</v>
          </cell>
        </row>
        <row r="1363">
          <cell r="A1363" t="str">
            <v>USD_LIBOR_EOD</v>
          </cell>
          <cell r="F1363">
            <v>0.93361894475734797</v>
          </cell>
        </row>
        <row r="1364">
          <cell r="A1364" t="str">
            <v>USD_LIBOR_EOD</v>
          </cell>
          <cell r="F1364">
            <v>0.911577788383934</v>
          </cell>
        </row>
        <row r="1365">
          <cell r="A1365" t="str">
            <v>USD_LIBOR_EOD</v>
          </cell>
          <cell r="F1365">
            <v>0.88844298618083295</v>
          </cell>
        </row>
        <row r="1366">
          <cell r="A1366" t="str">
            <v>USD_LIBOR_EOD</v>
          </cell>
          <cell r="F1366">
            <v>0.86504438667818895</v>
          </cell>
        </row>
        <row r="1367">
          <cell r="A1367" t="str">
            <v>USD_LIBOR_EOD</v>
          </cell>
          <cell r="F1367">
            <v>0.841798838866475</v>
          </cell>
        </row>
        <row r="1368">
          <cell r="A1368" t="str">
            <v>USD_LIBOR_EOD</v>
          </cell>
          <cell r="F1368">
            <v>0.81834212402247797</v>
          </cell>
        </row>
        <row r="1369">
          <cell r="A1369" t="str">
            <v>USD_LIBOR_EOD</v>
          </cell>
          <cell r="F1369">
            <v>0.77248933685630305</v>
          </cell>
        </row>
        <row r="1370">
          <cell r="A1370" t="str">
            <v>USD_LIBOR_EOD</v>
          </cell>
          <cell r="F1370">
            <v>0.70799802472829498</v>
          </cell>
        </row>
        <row r="1371">
          <cell r="A1371" t="str">
            <v>USD_LIBOR_EOD</v>
          </cell>
          <cell r="F1371">
            <v>0.61269879830655805</v>
          </cell>
        </row>
        <row r="1372">
          <cell r="A1372" t="str">
            <v>USD_LIBOR_EOD</v>
          </cell>
          <cell r="F1372">
            <v>0.53285806783190004</v>
          </cell>
        </row>
        <row r="1373">
          <cell r="A1373" t="str">
            <v>USD_LIBOR_EOD</v>
          </cell>
          <cell r="F1373">
            <v>0.46398740804849897</v>
          </cell>
        </row>
        <row r="1374">
          <cell r="A1374" t="str">
            <v>USD_LIBOR_EOD</v>
          </cell>
          <cell r="F1374">
            <v>0.35956308125914499</v>
          </cell>
        </row>
        <row r="1375">
          <cell r="A1375" t="str">
            <v>USD_LIBOR_EOD</v>
          </cell>
          <cell r="F1375">
            <v>0.28495331750997499</v>
          </cell>
        </row>
        <row r="1376">
          <cell r="A1376" t="str">
            <v>USD_LIBOR_EOD</v>
          </cell>
          <cell r="F1376">
            <v>0.22416263942710399</v>
          </cell>
        </row>
        <row r="1377">
          <cell r="A1377" t="str">
            <v>ZAR_JIBAR_EOD</v>
          </cell>
          <cell r="F1377">
            <v>0.99984166890832105</v>
          </cell>
        </row>
        <row r="1378">
          <cell r="A1378" t="str">
            <v>ZAR_JIBAR_EOD</v>
          </cell>
          <cell r="F1378">
            <v>0.99887922467005497</v>
          </cell>
        </row>
        <row r="1379">
          <cell r="A1379" t="str">
            <v>ZAR_JIBAR_EOD</v>
          </cell>
          <cell r="F1379">
            <v>0.99481814220137699</v>
          </cell>
        </row>
        <row r="1380">
          <cell r="A1380" t="str">
            <v>ZAR_JIBAR_EOD</v>
          </cell>
          <cell r="F1380">
            <v>0.98954653704793405</v>
          </cell>
        </row>
        <row r="1381">
          <cell r="A1381" t="str">
            <v>ZAR_JIBAR_EOD</v>
          </cell>
          <cell r="F1381">
            <v>0.98434922488296706</v>
          </cell>
        </row>
        <row r="1382">
          <cell r="A1382" t="str">
            <v>ZAR_JIBAR_EOD</v>
          </cell>
          <cell r="F1382">
            <v>0.968650191801809</v>
          </cell>
        </row>
        <row r="1383">
          <cell r="A1383" t="str">
            <v>ZAR_JIBAR_EOD</v>
          </cell>
          <cell r="F1383">
            <v>0.95290896729034102</v>
          </cell>
        </row>
        <row r="1384">
          <cell r="A1384" t="str">
            <v>ZAR_JIBAR_EOD</v>
          </cell>
          <cell r="F1384">
            <v>0.93649883924648802</v>
          </cell>
        </row>
        <row r="1385">
          <cell r="A1385" t="str">
            <v>ZAR_JIBAR_EOD</v>
          </cell>
          <cell r="F1385">
            <v>0.87064545957887396</v>
          </cell>
        </row>
        <row r="1386">
          <cell r="A1386" t="str">
            <v>ZAR_JIBAR_EOD</v>
          </cell>
          <cell r="F1386">
            <v>0.80474054030730502</v>
          </cell>
        </row>
        <row r="1387">
          <cell r="A1387" t="str">
            <v>ZAR_JIBAR_EOD</v>
          </cell>
          <cell r="F1387">
            <v>0.741717071764743</v>
          </cell>
        </row>
        <row r="1388">
          <cell r="A1388" t="str">
            <v>ZAR_JIBAR_EOD</v>
          </cell>
          <cell r="F1388">
            <v>0.68121986332078399</v>
          </cell>
        </row>
        <row r="1389">
          <cell r="A1389" t="str">
            <v>ZAR_JIBAR_EOD</v>
          </cell>
          <cell r="F1389">
            <v>0.62407907542734498</v>
          </cell>
        </row>
        <row r="1390">
          <cell r="A1390" t="str">
            <v>ZAR_JIBAR_EOD</v>
          </cell>
          <cell r="F1390">
            <v>0.57072982650620996</v>
          </cell>
        </row>
        <row r="1391">
          <cell r="A1391" t="str">
            <v>ZAR_JIBAR_EOD</v>
          </cell>
          <cell r="F1391">
            <v>0.52090380646302104</v>
          </cell>
        </row>
        <row r="1392">
          <cell r="A1392" t="str">
            <v>ZAR_JIBAR_EOD</v>
          </cell>
          <cell r="F1392">
            <v>0.47471663650120899</v>
          </cell>
        </row>
        <row r="1393">
          <cell r="A1393" t="str">
            <v>ZAR_JIBAR_EOD</v>
          </cell>
          <cell r="F1393">
            <v>0.43230453974184302</v>
          </cell>
        </row>
        <row r="1394">
          <cell r="A1394" t="str">
            <v>ZAR_JIBAR_EOD</v>
          </cell>
          <cell r="F1394">
            <v>0.35707125917695398</v>
          </cell>
        </row>
        <row r="1395">
          <cell r="A1395" t="str">
            <v>ZAR_JIBAR_EOD</v>
          </cell>
          <cell r="F1395">
            <v>0.26739197885648203</v>
          </cell>
        </row>
        <row r="1396">
          <cell r="A1396" t="str">
            <v>ZAR_JIBAR_EOD</v>
          </cell>
          <cell r="F1396">
            <v>0.172116693761689</v>
          </cell>
        </row>
        <row r="1397">
          <cell r="A1397" t="str">
            <v>ZAR_JIBAR_EOD</v>
          </cell>
          <cell r="F1397">
            <v>0.115849251864027</v>
          </cell>
        </row>
        <row r="1398">
          <cell r="A1398" t="str">
            <v>ZAR_JIBAR_EOD</v>
          </cell>
          <cell r="F1398">
            <v>8.5051272674401004E-2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N102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6" customWidth="1"/>
    <col min="3" max="3" width="20.28515625" style="46" bestFit="1" customWidth="1"/>
    <col min="4" max="4" width="30.7109375" style="46" customWidth="1"/>
    <col min="5" max="7" width="2.7109375" style="46" customWidth="1"/>
    <col min="8" max="8" width="20.28515625" style="46" bestFit="1" customWidth="1"/>
    <col min="9" max="9" width="30.7109375" style="46" customWidth="1"/>
    <col min="10" max="10" width="2.7109375" style="46" customWidth="1"/>
    <col min="11" max="12" width="3.28515625" style="46" customWidth="1"/>
    <col min="13" max="13" width="15.140625" style="46" customWidth="1"/>
    <col min="14" max="14" width="17.28515625" style="46" customWidth="1"/>
    <col min="15" max="15" width="3.42578125" style="46" customWidth="1"/>
    <col min="16" max="16384" width="9.140625" style="46"/>
  </cols>
  <sheetData>
    <row r="2" spans="1:10" x14ac:dyDescent="0.2">
      <c r="B2" s="82"/>
      <c r="C2" s="83"/>
      <c r="D2" s="83"/>
      <c r="E2" s="84"/>
      <c r="G2" s="82"/>
      <c r="H2" s="83"/>
      <c r="I2" s="83"/>
      <c r="J2" s="84"/>
    </row>
    <row r="3" spans="1:10" ht="11.25" customHeight="1" x14ac:dyDescent="0.2">
      <c r="B3" s="87"/>
      <c r="C3" s="13" t="s">
        <v>21</v>
      </c>
      <c r="D3" s="81" t="s">
        <v>155</v>
      </c>
      <c r="E3" s="85"/>
      <c r="G3" s="87"/>
      <c r="H3" s="13" t="s">
        <v>34</v>
      </c>
      <c r="I3" s="158" t="s">
        <v>150</v>
      </c>
      <c r="J3" s="85"/>
    </row>
    <row r="4" spans="1:10" ht="11.25" customHeight="1" x14ac:dyDescent="0.2">
      <c r="B4" s="87"/>
      <c r="C4" s="14" t="s">
        <v>19</v>
      </c>
      <c r="D4" s="15" t="b">
        <v>1</v>
      </c>
      <c r="E4" s="85"/>
      <c r="G4" s="87"/>
      <c r="H4" s="14" t="s">
        <v>70</v>
      </c>
      <c r="I4" s="159" t="s">
        <v>71</v>
      </c>
      <c r="J4" s="85"/>
    </row>
    <row r="5" spans="1:10" ht="11.25" customHeight="1" x14ac:dyDescent="0.2">
      <c r="A5" s="48"/>
      <c r="B5" s="88"/>
      <c r="C5" s="17" t="s">
        <v>18</v>
      </c>
      <c r="D5" s="18"/>
      <c r="E5" s="85"/>
      <c r="G5" s="87"/>
      <c r="H5" s="14" t="s">
        <v>121</v>
      </c>
      <c r="I5" s="159" t="s">
        <v>126</v>
      </c>
      <c r="J5" s="85"/>
    </row>
    <row r="6" spans="1:10" ht="11.25" customHeight="1" x14ac:dyDescent="0.2">
      <c r="A6" s="48"/>
      <c r="B6" s="88"/>
      <c r="C6" s="14" t="s">
        <v>20</v>
      </c>
      <c r="D6" s="15" t="b">
        <v>1</v>
      </c>
      <c r="E6" s="85"/>
      <c r="G6" s="87"/>
      <c r="H6" s="14" t="s">
        <v>122</v>
      </c>
      <c r="I6" s="159" t="s">
        <v>127</v>
      </c>
      <c r="J6" s="85"/>
    </row>
    <row r="7" spans="1:10" ht="11.25" customHeight="1" x14ac:dyDescent="0.2">
      <c r="A7" s="48"/>
      <c r="B7" s="88"/>
      <c r="C7" s="14" t="s">
        <v>75</v>
      </c>
      <c r="D7" s="165" t="s">
        <v>76</v>
      </c>
      <c r="E7" s="85"/>
      <c r="G7" s="87"/>
      <c r="H7" s="14" t="s">
        <v>123</v>
      </c>
      <c r="I7" s="159" t="s">
        <v>128</v>
      </c>
      <c r="J7" s="85"/>
    </row>
    <row r="8" spans="1:10" ht="11.25" customHeight="1" x14ac:dyDescent="0.2">
      <c r="A8" s="48"/>
      <c r="B8" s="89"/>
      <c r="C8" s="166"/>
      <c r="D8" s="167"/>
      <c r="E8" s="85"/>
      <c r="G8" s="87"/>
      <c r="H8" s="14" t="s">
        <v>124</v>
      </c>
      <c r="I8" s="159" t="str">
        <f>Currency&amp;"ON"&amp;LCHlinear</f>
        <v>GBPON_linearLCH</v>
      </c>
      <c r="J8" s="85"/>
    </row>
    <row r="9" spans="1:10" ht="11.25" customHeight="1" x14ac:dyDescent="0.2">
      <c r="A9" s="48"/>
      <c r="B9" s="89"/>
      <c r="C9" s="13" t="s">
        <v>29</v>
      </c>
      <c r="D9" s="163">
        <f>_xll.qlSettingsEvaluationDate(Trigger)</f>
        <v>42304</v>
      </c>
      <c r="E9" s="85"/>
      <c r="G9" s="87"/>
      <c r="H9" s="14" t="s">
        <v>125</v>
      </c>
      <c r="I9" s="159" t="str">
        <f>Currency&amp;"ON"&amp;LCHcubic</f>
        <v>GBPON_cubicLCH</v>
      </c>
      <c r="J9" s="85"/>
    </row>
    <row r="10" spans="1:10" ht="11.25" customHeight="1" x14ac:dyDescent="0.2">
      <c r="A10" s="48"/>
      <c r="B10" s="89"/>
      <c r="C10" s="14" t="s">
        <v>30</v>
      </c>
      <c r="D10" s="162">
        <f>_xll.qlCalendarAdvance(Calendar,$D$9,"0D","F",,Trigger)</f>
        <v>42304</v>
      </c>
      <c r="E10" s="85"/>
      <c r="G10" s="87"/>
      <c r="H10" s="14" t="s">
        <v>129</v>
      </c>
      <c r="I10" s="159" t="str">
        <f>Currency&amp;"STD"&amp;LCHlinear</f>
        <v>GBPSTD_linearLCH</v>
      </c>
      <c r="J10" s="85"/>
    </row>
    <row r="11" spans="1:10" ht="11.25" customHeight="1" x14ac:dyDescent="0.2">
      <c r="B11" s="89"/>
      <c r="C11" s="16" t="s">
        <v>14</v>
      </c>
      <c r="D11" s="164" t="s">
        <v>156</v>
      </c>
      <c r="E11" s="85"/>
      <c r="G11" s="87"/>
      <c r="H11" s="16" t="s">
        <v>132</v>
      </c>
      <c r="I11" s="164" t="b">
        <v>1</v>
      </c>
      <c r="J11" s="85"/>
    </row>
    <row r="12" spans="1:10" ht="11.25" customHeight="1" x14ac:dyDescent="0.2">
      <c r="B12" s="90"/>
      <c r="C12" s="91"/>
      <c r="D12" s="92"/>
      <c r="E12" s="86"/>
      <c r="G12" s="90"/>
      <c r="H12" s="91"/>
      <c r="I12" s="92"/>
      <c r="J12" s="86"/>
    </row>
    <row r="13" spans="1:10" ht="11.25" customHeight="1" x14ac:dyDescent="0.2"/>
    <row r="14" spans="1:10" x14ac:dyDescent="0.2">
      <c r="B14" s="35"/>
      <c r="C14" s="36"/>
      <c r="D14" s="36"/>
      <c r="E14" s="37"/>
      <c r="G14" s="35"/>
      <c r="H14" s="36"/>
      <c r="I14" s="36"/>
      <c r="J14" s="37"/>
    </row>
    <row r="15" spans="1:10" x14ac:dyDescent="0.2">
      <c r="B15" s="20"/>
      <c r="C15" s="19" t="s">
        <v>10</v>
      </c>
      <c r="D15" s="39" t="str">
        <f>_xll.qlPiecewiseYieldCurve($D$17,$D$18,Calendar,_xll.ohPack(GBPON!T3:T77),,,,D19,D20,D21,,Permanent,,ObjectOverwrite)</f>
        <v>_GBPON_linearLCH#0006</v>
      </c>
      <c r="E15" s="40"/>
      <c r="G15" s="20"/>
      <c r="H15" s="19"/>
      <c r="I15" s="39" t="str">
        <f>_xll.qlPiecewiseYieldCurve(I17,I18,Calendar,_xll.ohPack(GBPON!T3:T77),,,,I19,I20,I21,,Permanent,Trigger,ObjectOverwrite)</f>
        <v>_GBPON_cubicLCH#0008</v>
      </c>
      <c r="J15" s="40"/>
    </row>
    <row r="16" spans="1:10" x14ac:dyDescent="0.2">
      <c r="B16" s="20"/>
      <c r="C16" s="21" t="s">
        <v>11</v>
      </c>
      <c r="D16" s="41" t="str">
        <f>_xll.ohRangeRetrieveError(YieldCurve1_ON)</f>
        <v/>
      </c>
      <c r="E16" s="40"/>
      <c r="G16" s="20"/>
      <c r="H16" s="21"/>
      <c r="I16" s="41"/>
      <c r="J16" s="40"/>
    </row>
    <row r="17" spans="1:14" x14ac:dyDescent="0.2">
      <c r="B17" s="20"/>
      <c r="C17" s="19" t="s">
        <v>12</v>
      </c>
      <c r="D17" s="22" t="str">
        <f>"_"&amp;Currency&amp;"ON"&amp;LCHlinear</f>
        <v>_GBPON_linearLCH</v>
      </c>
      <c r="E17" s="40"/>
      <c r="G17" s="20"/>
      <c r="H17" s="19"/>
      <c r="I17" s="22" t="str">
        <f>"_"&amp;Currency&amp;"ON"&amp;LCHcubic</f>
        <v>_GBPON_cubicLCH</v>
      </c>
      <c r="J17" s="40"/>
      <c r="N17" s="169"/>
    </row>
    <row r="18" spans="1:14" x14ac:dyDescent="0.2">
      <c r="B18" s="20"/>
      <c r="C18" s="23" t="s">
        <v>13</v>
      </c>
      <c r="D18" s="24">
        <v>0</v>
      </c>
      <c r="E18" s="40"/>
      <c r="G18" s="20"/>
      <c r="H18" s="23"/>
      <c r="I18" s="24">
        <v>0</v>
      </c>
      <c r="J18" s="40"/>
    </row>
    <row r="19" spans="1:14" x14ac:dyDescent="0.2">
      <c r="B19" s="20"/>
      <c r="C19" s="23" t="s">
        <v>15</v>
      </c>
      <c r="D19" s="25"/>
      <c r="E19" s="40"/>
      <c r="G19" s="20"/>
      <c r="H19" s="23"/>
      <c r="I19" s="25"/>
      <c r="J19" s="40"/>
    </row>
    <row r="20" spans="1:14" x14ac:dyDescent="0.2">
      <c r="B20" s="20"/>
      <c r="C20" s="23" t="s">
        <v>16</v>
      </c>
      <c r="D20" s="26" t="s">
        <v>130</v>
      </c>
      <c r="E20" s="40"/>
      <c r="G20" s="20"/>
      <c r="H20" s="23"/>
      <c r="I20" s="26" t="s">
        <v>31</v>
      </c>
      <c r="J20" s="40"/>
    </row>
    <row r="21" spans="1:14" x14ac:dyDescent="0.2">
      <c r="B21" s="20"/>
      <c r="C21" s="21" t="s">
        <v>17</v>
      </c>
      <c r="D21" s="27" t="s">
        <v>131</v>
      </c>
      <c r="E21" s="40"/>
      <c r="G21" s="20"/>
      <c r="H21" s="21"/>
      <c r="I21" s="27" t="s">
        <v>164</v>
      </c>
      <c r="J21" s="40"/>
    </row>
    <row r="22" spans="1:14" x14ac:dyDescent="0.2">
      <c r="B22" s="20"/>
      <c r="C22" s="28"/>
      <c r="D22" s="28"/>
      <c r="E22" s="40"/>
      <c r="G22" s="20"/>
      <c r="H22" s="28"/>
      <c r="I22" s="28"/>
      <c r="J22" s="40"/>
    </row>
    <row r="23" spans="1:14" x14ac:dyDescent="0.2">
      <c r="B23" s="20"/>
      <c r="C23" s="29">
        <f>_xll.qlTermStructureReferenceDate(YieldCurve1_ON)</f>
        <v>42304</v>
      </c>
      <c r="D23" s="30">
        <f>_xll.qlYieldTSDiscount(YieldCurve1_ON,C23,,Trigger)</f>
        <v>1</v>
      </c>
      <c r="E23" s="40"/>
      <c r="G23" s="20"/>
      <c r="H23" s="29">
        <f>_xll.qlTermStructureReferenceDate(yieldcurve2_ON)</f>
        <v>42304</v>
      </c>
      <c r="I23" s="30">
        <f>_xll.qlYieldTSDiscount(yieldcurve2_ON,H23,,Trigger)</f>
        <v>1</v>
      </c>
      <c r="J23" s="40"/>
    </row>
    <row r="24" spans="1:14" x14ac:dyDescent="0.2">
      <c r="B24" s="20"/>
      <c r="C24" s="31">
        <f>_xll.qlTermStructureMaxDate(YieldCurve1_ON,Trigger)</f>
        <v>64220</v>
      </c>
      <c r="D24" s="32">
        <f>_xll.qlYieldTSDiscount(YieldCurve1_ON,C24,,Trigger)</f>
        <v>0.33418861334849348</v>
      </c>
      <c r="E24" s="40"/>
      <c r="G24" s="20"/>
      <c r="H24" s="31">
        <f>_xll.qlTermStructureMaxDate(yieldcurve2_ON,Trigger)</f>
        <v>64220</v>
      </c>
      <c r="I24" s="32">
        <f>_xll.qlYieldTSDiscount(yieldcurve2_ON,H24,,Trigger)</f>
        <v>0.33415872730887936</v>
      </c>
      <c r="J24" s="40"/>
    </row>
    <row r="25" spans="1:14" x14ac:dyDescent="0.2">
      <c r="B25" s="20"/>
      <c r="C25" s="31" t="str">
        <f>Currency&amp;"ON"&amp;LCHlinear</f>
        <v>GBPON_linearLCH</v>
      </c>
      <c r="D25" s="32" t="b">
        <f>_xll.qlRelinkableHandleLinkTo(C25,D15,Trigger)</f>
        <v>1</v>
      </c>
      <c r="E25" s="40"/>
      <c r="G25" s="20"/>
      <c r="H25" s="31" t="str">
        <f>Currency&amp;"ON"&amp;LCHcubic</f>
        <v>GBPON_cubicLCH</v>
      </c>
      <c r="I25" s="32" t="b">
        <f>_xll.qlRelinkableHandleLinkTo(H25,I15,Trigger)</f>
        <v>1</v>
      </c>
      <c r="J25" s="40"/>
    </row>
    <row r="26" spans="1:14" x14ac:dyDescent="0.2">
      <c r="B26" s="20"/>
      <c r="C26" s="33" t="s">
        <v>118</v>
      </c>
      <c r="D26" s="34" t="b">
        <v>0</v>
      </c>
      <c r="E26" s="40"/>
      <c r="G26" s="20"/>
      <c r="H26" s="33" t="s">
        <v>118</v>
      </c>
      <c r="I26" s="34" t="b">
        <v>0</v>
      </c>
      <c r="J26" s="40"/>
    </row>
    <row r="27" spans="1:14" x14ac:dyDescent="0.2">
      <c r="B27" s="42"/>
      <c r="C27" s="43"/>
      <c r="D27" s="43"/>
      <c r="E27" s="44"/>
      <c r="G27" s="42"/>
      <c r="H27" s="43"/>
      <c r="I27" s="43"/>
      <c r="J27" s="44"/>
    </row>
    <row r="28" spans="1:14" x14ac:dyDescent="0.2">
      <c r="A28" s="48"/>
      <c r="B28" s="48"/>
      <c r="C28" s="48"/>
      <c r="D28" s="48"/>
      <c r="E28" s="48"/>
      <c r="G28" s="48"/>
      <c r="H28" s="48"/>
      <c r="I28" s="48"/>
      <c r="J28" s="48"/>
    </row>
    <row r="29" spans="1:14" x14ac:dyDescent="0.2">
      <c r="B29" s="35"/>
      <c r="C29" s="36"/>
      <c r="D29" s="36"/>
      <c r="E29" s="37"/>
      <c r="F29" s="47"/>
      <c r="G29" s="35"/>
      <c r="H29" s="36"/>
      <c r="I29" s="36"/>
      <c r="J29" s="37"/>
    </row>
    <row r="30" spans="1:14" x14ac:dyDescent="0.2">
      <c r="B30" s="20"/>
      <c r="C30" s="19" t="s">
        <v>10</v>
      </c>
      <c r="D30" s="39" t="str">
        <f>_xll.qlPiecewiseYieldCurve(D32,D33,Calendar,_xll.ohPack(GBP3M!Y3:Y65),,,,D34,D35,D36,,Permanent,,ObjectOverwrite)</f>
        <v>_GBP3M_linearLCH#0008</v>
      </c>
      <c r="E30" s="40"/>
      <c r="F30" s="47"/>
      <c r="G30" s="20"/>
      <c r="H30" s="19"/>
      <c r="I30" s="39" t="str">
        <f>_xll.qlPiecewiseYieldCurve(I32,I33,Calendar,_xll.ohPack(GBP3M!Z3:Z65),,,,I34,I35,I36,,Permanent,,ObjectOverwrite)</f>
        <v>_GBP3M_cubicLCH#0009</v>
      </c>
      <c r="J30" s="40"/>
    </row>
    <row r="31" spans="1:14" x14ac:dyDescent="0.2">
      <c r="B31" s="20"/>
      <c r="C31" s="21" t="s">
        <v>11</v>
      </c>
      <c r="D31" s="41" t="str">
        <f>_xll.ohRangeRetrieveError(YieldCurve1_3M)</f>
        <v/>
      </c>
      <c r="E31" s="40"/>
      <c r="F31" s="47"/>
      <c r="G31" s="20"/>
      <c r="H31" s="21"/>
      <c r="I31" s="41" t="str">
        <f>_xll.ohRangeRetrieveError(YieldCurve1_3M)</f>
        <v/>
      </c>
      <c r="J31" s="40"/>
    </row>
    <row r="32" spans="1:14" x14ac:dyDescent="0.2">
      <c r="B32" s="20"/>
      <c r="C32" s="19" t="s">
        <v>12</v>
      </c>
      <c r="D32" s="22" t="str">
        <f>"_"&amp;Currency&amp;"3M"&amp;LCHlinear</f>
        <v>_GBP3M_linearLCH</v>
      </c>
      <c r="E32" s="40"/>
      <c r="F32" s="47"/>
      <c r="G32" s="20"/>
      <c r="H32" s="19"/>
      <c r="I32" s="22" t="str">
        <f>"_"&amp;Currency&amp;"3M"&amp;LCHcubic</f>
        <v>_GBP3M_cubicLCH</v>
      </c>
      <c r="J32" s="40"/>
    </row>
    <row r="33" spans="2:10" x14ac:dyDescent="0.2">
      <c r="B33" s="20"/>
      <c r="C33" s="23" t="s">
        <v>13</v>
      </c>
      <c r="D33" s="24">
        <v>0</v>
      </c>
      <c r="E33" s="40"/>
      <c r="F33" s="47"/>
      <c r="G33" s="20"/>
      <c r="H33" s="23"/>
      <c r="I33" s="24">
        <v>0</v>
      </c>
      <c r="J33" s="40"/>
    </row>
    <row r="34" spans="2:10" x14ac:dyDescent="0.2">
      <c r="B34" s="20"/>
      <c r="C34" s="23" t="s">
        <v>15</v>
      </c>
      <c r="D34" s="25"/>
      <c r="E34" s="40"/>
      <c r="F34" s="47"/>
      <c r="G34" s="20"/>
      <c r="H34" s="23"/>
      <c r="I34" s="25"/>
      <c r="J34" s="40"/>
    </row>
    <row r="35" spans="2:10" x14ac:dyDescent="0.2">
      <c r="B35" s="20"/>
      <c r="C35" s="23" t="s">
        <v>16</v>
      </c>
      <c r="D35" s="26" t="s">
        <v>130</v>
      </c>
      <c r="E35" s="40"/>
      <c r="F35" s="47"/>
      <c r="G35" s="20"/>
      <c r="H35" s="23"/>
      <c r="I35" s="26" t="s">
        <v>31</v>
      </c>
      <c r="J35" s="40"/>
    </row>
    <row r="36" spans="2:10" x14ac:dyDescent="0.2">
      <c r="B36" s="20"/>
      <c r="C36" s="21" t="s">
        <v>17</v>
      </c>
      <c r="D36" s="27" t="s">
        <v>131</v>
      </c>
      <c r="E36" s="40"/>
      <c r="F36" s="47"/>
      <c r="G36" s="20"/>
      <c r="H36" s="21"/>
      <c r="I36" s="27" t="s">
        <v>164</v>
      </c>
      <c r="J36" s="40"/>
    </row>
    <row r="37" spans="2:10" x14ac:dyDescent="0.2">
      <c r="B37" s="20"/>
      <c r="C37" s="28"/>
      <c r="D37" s="28"/>
      <c r="E37" s="40"/>
      <c r="F37" s="47"/>
      <c r="G37" s="20"/>
      <c r="H37" s="28"/>
      <c r="I37" s="28"/>
      <c r="J37" s="40"/>
    </row>
    <row r="38" spans="2:10" x14ac:dyDescent="0.2">
      <c r="B38" s="20"/>
      <c r="C38" s="29">
        <f>_xll.qlTermStructureReferenceDate(YieldCurve1_3M)</f>
        <v>42304</v>
      </c>
      <c r="D38" s="30">
        <f>_xll.qlYieldTSDiscount(YieldCurve1_3M,C38,,Trigger)</f>
        <v>1</v>
      </c>
      <c r="E38" s="40"/>
      <c r="F38" s="47"/>
      <c r="G38" s="20"/>
      <c r="H38" s="29">
        <f>_xll.qlTermStructureReferenceDate(yieldcurve2_3M)</f>
        <v>42304</v>
      </c>
      <c r="I38" s="30">
        <f>_xll.qlYieldTSDiscount(yieldcurve2_3M,H38,,Trigger)</f>
        <v>1</v>
      </c>
      <c r="J38" s="40"/>
    </row>
    <row r="39" spans="2:10" x14ac:dyDescent="0.2">
      <c r="B39" s="20"/>
      <c r="C39" s="31">
        <f>_xll.qlTermStructureMaxDate(YieldCurve1_3M,Trigger)</f>
        <v>64221</v>
      </c>
      <c r="D39" s="32">
        <f>_xll.qlYieldTSDiscount(YieldCurve1_3M,C39,,Trigger)</f>
        <v>0.31451605549152933</v>
      </c>
      <c r="E39" s="40"/>
      <c r="F39" s="47"/>
      <c r="G39" s="20"/>
      <c r="H39" s="31">
        <f>_xll.qlTermStructureMaxDate(yieldcurve2_3M,Trigger)</f>
        <v>64221</v>
      </c>
      <c r="I39" s="32">
        <f>_xll.qlYieldTSDiscount(yieldcurve2_3M,H39,,Trigger)</f>
        <v>0.31446007944696619</v>
      </c>
      <c r="J39" s="40"/>
    </row>
    <row r="40" spans="2:10" x14ac:dyDescent="0.2">
      <c r="B40" s="20"/>
      <c r="C40" s="31" t="str">
        <f>Currency&amp;"3M"&amp;LCHlinear</f>
        <v>GBP3M_linearLCH</v>
      </c>
      <c r="D40" s="32" t="b">
        <f>_xll.qlRelinkableHandleLinkTo(C40,D30,Trigger)</f>
        <v>1</v>
      </c>
      <c r="E40" s="40"/>
      <c r="F40" s="47"/>
      <c r="G40" s="20"/>
      <c r="H40" s="31" t="str">
        <f>Currency&amp;"3M"&amp;LCHcubic</f>
        <v>GBP3M_cubicLCH</v>
      </c>
      <c r="I40" s="32" t="b">
        <f>_xll.qlRelinkableHandleLinkTo(H40,I30,Trigger)</f>
        <v>1</v>
      </c>
      <c r="J40" s="40"/>
    </row>
    <row r="41" spans="2:10" x14ac:dyDescent="0.2">
      <c r="B41" s="20"/>
      <c r="C41" s="33" t="s">
        <v>118</v>
      </c>
      <c r="D41" s="34" t="b">
        <v>0</v>
      </c>
      <c r="E41" s="40"/>
      <c r="F41" s="47"/>
      <c r="G41" s="20"/>
      <c r="H41" s="33" t="s">
        <v>118</v>
      </c>
      <c r="I41" s="34" t="b">
        <v>0</v>
      </c>
      <c r="J41" s="40"/>
    </row>
    <row r="42" spans="2:10" x14ac:dyDescent="0.2">
      <c r="B42" s="42"/>
      <c r="C42" s="43"/>
      <c r="D42" s="43"/>
      <c r="E42" s="44"/>
      <c r="F42" s="47"/>
      <c r="G42" s="42"/>
      <c r="H42" s="43"/>
      <c r="I42" s="43"/>
      <c r="J42" s="44"/>
    </row>
    <row r="43" spans="2:10" x14ac:dyDescent="0.2">
      <c r="F43" s="47"/>
    </row>
    <row r="44" spans="2:10" x14ac:dyDescent="0.2">
      <c r="B44" s="35"/>
      <c r="C44" s="45"/>
      <c r="D44" s="45"/>
      <c r="E44" s="37"/>
      <c r="F44" s="47"/>
      <c r="G44" s="35"/>
      <c r="H44" s="36"/>
      <c r="I44" s="36"/>
      <c r="J44" s="37"/>
    </row>
    <row r="45" spans="2:10" x14ac:dyDescent="0.2">
      <c r="B45" s="38"/>
      <c r="C45" s="19" t="s">
        <v>10</v>
      </c>
      <c r="D45" s="39" t="str">
        <f>_xll.qlPiecewiseYieldCurve(D47,D48,Calendar,_xll.ohPack(GBP6M!Y3:Y403),,,,D49,D50,D51,,Permanent,,ObjectOverwrite)</f>
        <v>_GBP6M_linearLCH#0006</v>
      </c>
      <c r="E45" s="40"/>
      <c r="F45" s="47"/>
      <c r="G45" s="20"/>
      <c r="H45" s="19"/>
      <c r="I45" s="39" t="str">
        <f>_xll.qlPiecewiseYieldCurve(I47,I48,Calendar,_xll.ohPack(GBP6M!Z3:Z59),,,,I49,I50,I51,,Permanent,,ObjectOverwrite)</f>
        <v>_GBP6M_cubicLCH#0007</v>
      </c>
      <c r="J45" s="40"/>
    </row>
    <row r="46" spans="2:10" x14ac:dyDescent="0.2">
      <c r="B46" s="38"/>
      <c r="C46" s="21" t="s">
        <v>11</v>
      </c>
      <c r="D46" s="41" t="str">
        <f>_xll.ohRangeRetrieveError(YieldCurve1_6M)</f>
        <v/>
      </c>
      <c r="E46" s="40"/>
      <c r="G46" s="20"/>
      <c r="H46" s="21"/>
      <c r="I46" s="41" t="str">
        <f>_xll.ohRangeRetrieveError(YieldCurve2_6M)</f>
        <v/>
      </c>
      <c r="J46" s="40"/>
    </row>
    <row r="47" spans="2:10" x14ac:dyDescent="0.2">
      <c r="B47" s="20"/>
      <c r="C47" s="19" t="s">
        <v>12</v>
      </c>
      <c r="D47" s="22" t="str">
        <f>"_"&amp;Currency&amp;"6M"&amp;LCHlinear</f>
        <v>_GBP6M_linearLCH</v>
      </c>
      <c r="E47" s="40"/>
      <c r="G47" s="20"/>
      <c r="H47" s="19"/>
      <c r="I47" s="22" t="str">
        <f>"_"&amp;Currency&amp;"6M"&amp;LCHcubic</f>
        <v>_GBP6M_cubicLCH</v>
      </c>
      <c r="J47" s="40"/>
    </row>
    <row r="48" spans="2:10" x14ac:dyDescent="0.2">
      <c r="B48" s="20"/>
      <c r="C48" s="23" t="s">
        <v>13</v>
      </c>
      <c r="D48" s="24">
        <v>0</v>
      </c>
      <c r="E48" s="40"/>
      <c r="G48" s="20"/>
      <c r="H48" s="23"/>
      <c r="I48" s="24">
        <v>0</v>
      </c>
      <c r="J48" s="40"/>
    </row>
    <row r="49" spans="2:10" x14ac:dyDescent="0.2">
      <c r="B49" s="20"/>
      <c r="C49" s="23" t="s">
        <v>15</v>
      </c>
      <c r="D49" s="25"/>
      <c r="E49" s="40"/>
      <c r="G49" s="20"/>
      <c r="H49" s="23"/>
      <c r="I49" s="25"/>
      <c r="J49" s="40"/>
    </row>
    <row r="50" spans="2:10" x14ac:dyDescent="0.2">
      <c r="B50" s="20"/>
      <c r="C50" s="23" t="s">
        <v>16</v>
      </c>
      <c r="D50" s="26" t="s">
        <v>130</v>
      </c>
      <c r="E50" s="40"/>
      <c r="G50" s="20"/>
      <c r="H50" s="23"/>
      <c r="I50" s="26" t="s">
        <v>31</v>
      </c>
      <c r="J50" s="40"/>
    </row>
    <row r="51" spans="2:10" x14ac:dyDescent="0.2">
      <c r="B51" s="20"/>
      <c r="C51" s="21" t="s">
        <v>17</v>
      </c>
      <c r="D51" s="27" t="s">
        <v>131</v>
      </c>
      <c r="E51" s="40"/>
      <c r="G51" s="20"/>
      <c r="H51" s="21"/>
      <c r="I51" s="27" t="s">
        <v>164</v>
      </c>
      <c r="J51" s="40"/>
    </row>
    <row r="52" spans="2:10" x14ac:dyDescent="0.2">
      <c r="B52" s="20"/>
      <c r="C52" s="28"/>
      <c r="D52" s="28"/>
      <c r="E52" s="40"/>
      <c r="G52" s="20"/>
      <c r="H52" s="28"/>
      <c r="I52" s="28"/>
      <c r="J52" s="40"/>
    </row>
    <row r="53" spans="2:10" x14ac:dyDescent="0.2">
      <c r="B53" s="20"/>
      <c r="C53" s="29">
        <f>_xll.qlTermStructureReferenceDate(YieldCurve1_6M)</f>
        <v>42304</v>
      </c>
      <c r="D53" s="30">
        <f>_xll.qlYieldTSDiscount(YieldCurve1_6M,C53,,Trigger)</f>
        <v>1</v>
      </c>
      <c r="E53" s="40"/>
      <c r="G53" s="20"/>
      <c r="H53" s="29">
        <f>_xll.qlTermStructureReferenceDate(YieldCurve2_6M)</f>
        <v>42304</v>
      </c>
      <c r="I53" s="30">
        <f>_xll.qlYieldTSDiscount(YieldCurve2_6M,H53,,Trigger)</f>
        <v>1</v>
      </c>
      <c r="J53" s="40"/>
    </row>
    <row r="54" spans="2:10" x14ac:dyDescent="0.2">
      <c r="B54" s="20"/>
      <c r="C54" s="31">
        <f>_xll.qlTermStructureMaxDate(YieldCurve1_6M,Trigger)</f>
        <v>64221</v>
      </c>
      <c r="D54" s="32">
        <f>_xll.qlYieldTSDiscount(YieldCurve1_6M,C54,,Trigger)</f>
        <v>0.30911455183145797</v>
      </c>
      <c r="E54" s="40"/>
      <c r="G54" s="20"/>
      <c r="H54" s="31">
        <f>_xll.qlTermStructureMaxDate(YieldCurve2_6M,Trigger)</f>
        <v>64221</v>
      </c>
      <c r="I54" s="32">
        <f>_xll.qlYieldTSDiscount(YieldCurve2_6M,H54,,Trigger)</f>
        <v>0.30905578248198423</v>
      </c>
      <c r="J54" s="40"/>
    </row>
    <row r="55" spans="2:10" x14ac:dyDescent="0.2">
      <c r="B55" s="20"/>
      <c r="C55" s="31" t="str">
        <f>Currency&amp;"6M"&amp;LCHlinear</f>
        <v>GBP6M_linearLCH</v>
      </c>
      <c r="D55" s="32" t="b">
        <f>_xll.qlRelinkableHandleLinkTo(C55,D45,Trigger)</f>
        <v>1</v>
      </c>
      <c r="E55" s="40"/>
      <c r="G55" s="20"/>
      <c r="H55" s="31" t="str">
        <f>Currency&amp;"6M"&amp;LCHcubic</f>
        <v>GBP6M_cubicLCH</v>
      </c>
      <c r="I55" s="32" t="b">
        <f>_xll.qlRelinkableHandleLinkTo(H55,I45,Trigger)</f>
        <v>1</v>
      </c>
      <c r="J55" s="40"/>
    </row>
    <row r="56" spans="2:10" x14ac:dyDescent="0.2">
      <c r="B56" s="20"/>
      <c r="C56" s="33" t="s">
        <v>118</v>
      </c>
      <c r="D56" s="34" t="b">
        <v>0</v>
      </c>
      <c r="E56" s="40"/>
      <c r="G56" s="20"/>
      <c r="H56" s="33" t="s">
        <v>118</v>
      </c>
      <c r="I56" s="34" t="b">
        <v>0</v>
      </c>
      <c r="J56" s="40"/>
    </row>
    <row r="57" spans="2:10" x14ac:dyDescent="0.2">
      <c r="B57" s="42"/>
      <c r="C57" s="43"/>
      <c r="D57" s="43"/>
      <c r="E57" s="44"/>
      <c r="G57" s="42"/>
      <c r="H57" s="43"/>
      <c r="I57" s="43"/>
      <c r="J57" s="44"/>
    </row>
    <row r="59" spans="2:10" x14ac:dyDescent="0.2">
      <c r="B59" s="35"/>
      <c r="C59" s="36"/>
      <c r="D59" s="36"/>
      <c r="E59" s="37"/>
      <c r="G59" s="35"/>
      <c r="H59" s="36"/>
      <c r="I59" s="36"/>
      <c r="J59" s="37"/>
    </row>
    <row r="60" spans="2:10" x14ac:dyDescent="0.2">
      <c r="B60" s="20"/>
      <c r="C60" s="19" t="s">
        <v>10</v>
      </c>
      <c r="D60" s="39" t="str">
        <f>_xll.qlPiecewiseYieldCurve(D62,D63,Calendar,_xll.ohPack(GBP1M!Y3:Y94),,,,D64,D65,D66,,Permanent,,ObjectOverwrite)</f>
        <v>_GBP1M_linearLCH#0006</v>
      </c>
      <c r="E60" s="40"/>
      <c r="G60" s="20"/>
      <c r="H60" s="19"/>
      <c r="I60" s="39" t="str">
        <f>_xll.qlPiecewiseYieldCurve(I62,I63,Calendar,_xll.ohPack(GBP1M!Z3:Z90),,,,I64,I65,I66,,Permanent,,ObjectOverwrite)</f>
        <v>_GBP1M_cubicLCH#0007</v>
      </c>
      <c r="J60" s="40"/>
    </row>
    <row r="61" spans="2:10" x14ac:dyDescent="0.2">
      <c r="B61" s="20"/>
      <c r="C61" s="21" t="s">
        <v>11</v>
      </c>
      <c r="D61" s="41" t="str">
        <f>_xll.ohRangeRetrieveError(yieldcurve1_1M)</f>
        <v/>
      </c>
      <c r="E61" s="40"/>
      <c r="G61" s="20"/>
      <c r="H61" s="21"/>
      <c r="I61" s="41" t="str">
        <f>_xll.ohRangeRetrieveError(yieldcurve2_1M)</f>
        <v/>
      </c>
      <c r="J61" s="40"/>
    </row>
    <row r="62" spans="2:10" x14ac:dyDescent="0.2">
      <c r="B62" s="20"/>
      <c r="C62" s="19" t="s">
        <v>12</v>
      </c>
      <c r="D62" s="22" t="str">
        <f>"_"&amp;Currency&amp;"1M"&amp;LCHlinear</f>
        <v>_GBP1M_linearLCH</v>
      </c>
      <c r="E62" s="40"/>
      <c r="G62" s="20"/>
      <c r="H62" s="19"/>
      <c r="I62" s="22" t="str">
        <f>"_"&amp;Currency&amp;"1M"&amp;LCHcubic</f>
        <v>_GBP1M_cubicLCH</v>
      </c>
      <c r="J62" s="40"/>
    </row>
    <row r="63" spans="2:10" x14ac:dyDescent="0.2">
      <c r="B63" s="20"/>
      <c r="C63" s="23" t="s">
        <v>13</v>
      </c>
      <c r="D63" s="24">
        <v>0</v>
      </c>
      <c r="E63" s="40"/>
      <c r="G63" s="20"/>
      <c r="H63" s="23"/>
      <c r="I63" s="24">
        <v>0</v>
      </c>
      <c r="J63" s="40"/>
    </row>
    <row r="64" spans="2:10" x14ac:dyDescent="0.2">
      <c r="B64" s="20"/>
      <c r="C64" s="23" t="s">
        <v>15</v>
      </c>
      <c r="D64" s="25"/>
      <c r="E64" s="40"/>
      <c r="G64" s="20"/>
      <c r="H64" s="23"/>
      <c r="I64" s="25"/>
      <c r="J64" s="40"/>
    </row>
    <row r="65" spans="2:10" x14ac:dyDescent="0.2">
      <c r="B65" s="20"/>
      <c r="C65" s="23" t="s">
        <v>16</v>
      </c>
      <c r="D65" s="26" t="s">
        <v>130</v>
      </c>
      <c r="E65" s="40"/>
      <c r="G65" s="20"/>
      <c r="H65" s="23"/>
      <c r="I65" s="26" t="s">
        <v>31</v>
      </c>
      <c r="J65" s="40"/>
    </row>
    <row r="66" spans="2:10" x14ac:dyDescent="0.2">
      <c r="B66" s="20"/>
      <c r="C66" s="21" t="s">
        <v>17</v>
      </c>
      <c r="D66" s="27" t="s">
        <v>131</v>
      </c>
      <c r="E66" s="40"/>
      <c r="G66" s="20"/>
      <c r="H66" s="21"/>
      <c r="I66" s="27" t="s">
        <v>164</v>
      </c>
      <c r="J66" s="40"/>
    </row>
    <row r="67" spans="2:10" x14ac:dyDescent="0.2">
      <c r="B67" s="20"/>
      <c r="C67" s="28"/>
      <c r="D67" s="28"/>
      <c r="E67" s="40"/>
      <c r="G67" s="20"/>
      <c r="H67" s="28"/>
      <c r="I67" s="28"/>
      <c r="J67" s="40"/>
    </row>
    <row r="68" spans="2:10" x14ac:dyDescent="0.2">
      <c r="B68" s="20"/>
      <c r="C68" s="29">
        <f>_xll.qlTermStructureReferenceDate(yieldcurve1_1M)</f>
        <v>42304</v>
      </c>
      <c r="D68" s="30">
        <f>_xll.qlYieldTSDiscount(yieldcurve1_1M,C68,,Trigger)</f>
        <v>1</v>
      </c>
      <c r="E68" s="40"/>
      <c r="G68" s="20"/>
      <c r="H68" s="29">
        <f>_xll.qlTermStructureReferenceDate(yieldcurve2_1M)</f>
        <v>42304</v>
      </c>
      <c r="I68" s="30">
        <f>_xll.qlYieldTSDiscount(yieldcurve2_1M,H68,,Trigger)</f>
        <v>1</v>
      </c>
      <c r="J68" s="40"/>
    </row>
    <row r="69" spans="2:10" x14ac:dyDescent="0.2">
      <c r="B69" s="20"/>
      <c r="C69" s="31">
        <f>_xll.qlTermStructureMaxDate(yieldcurve1_1M,Trigger)</f>
        <v>64220</v>
      </c>
      <c r="D69" s="32">
        <f>_xll.qlYieldTSDiscount(yieldcurve1_1M,C69,,Trigger)</f>
        <v>0.32228502738325104</v>
      </c>
      <c r="E69" s="40"/>
      <c r="G69" s="20"/>
      <c r="H69" s="31">
        <f>_xll.qlTermStructureMaxDate(yieldcurve2_1M,Trigger)</f>
        <v>64220</v>
      </c>
      <c r="I69" s="32">
        <f>_xll.qlYieldTSDiscount(yieldcurve2_1M,H69,,Trigger)</f>
        <v>0.32221918572721492</v>
      </c>
      <c r="J69" s="40"/>
    </row>
    <row r="70" spans="2:10" x14ac:dyDescent="0.2">
      <c r="B70" s="20"/>
      <c r="C70" s="31" t="str">
        <f>Currency&amp;"1M"&amp;LCHlinear</f>
        <v>GBP1M_linearLCH</v>
      </c>
      <c r="D70" s="32" t="b">
        <f>_xll.qlRelinkableHandleLinkTo(C70,D60,Trigger)</f>
        <v>1</v>
      </c>
      <c r="E70" s="40"/>
      <c r="G70" s="20"/>
      <c r="H70" s="31" t="str">
        <f>Currency&amp;"1M"&amp;LCHcubic</f>
        <v>GBP1M_cubicLCH</v>
      </c>
      <c r="I70" s="32" t="b">
        <f>_xll.qlRelinkableHandleLinkTo(H70,I60,Trigger)</f>
        <v>1</v>
      </c>
      <c r="J70" s="40"/>
    </row>
    <row r="71" spans="2:10" x14ac:dyDescent="0.2">
      <c r="B71" s="20"/>
      <c r="C71" s="33" t="s">
        <v>118</v>
      </c>
      <c r="D71" s="34" t="b">
        <v>0</v>
      </c>
      <c r="E71" s="40"/>
      <c r="G71" s="20"/>
      <c r="H71" s="33" t="s">
        <v>118</v>
      </c>
      <c r="I71" s="34" t="b">
        <v>0</v>
      </c>
      <c r="J71" s="40"/>
    </row>
    <row r="72" spans="2:10" x14ac:dyDescent="0.2">
      <c r="B72" s="42"/>
      <c r="C72" s="43"/>
      <c r="D72" s="43"/>
      <c r="E72" s="44"/>
      <c r="G72" s="42"/>
      <c r="H72" s="43"/>
      <c r="I72" s="43"/>
      <c r="J72" s="44"/>
    </row>
    <row r="74" spans="2:10" x14ac:dyDescent="0.2">
      <c r="B74" s="35"/>
      <c r="C74" s="36"/>
      <c r="D74" s="36"/>
      <c r="E74" s="37"/>
      <c r="G74" s="35"/>
      <c r="H74" s="36"/>
      <c r="I74" s="36"/>
      <c r="J74" s="37"/>
    </row>
    <row r="75" spans="2:10" x14ac:dyDescent="0.2">
      <c r="B75" s="20"/>
      <c r="C75" s="19" t="s">
        <v>10</v>
      </c>
      <c r="D75" s="39" t="str">
        <f>_xll.qlPiecewiseYieldCurve(D77,D78,Calendar,_xll.ohPack(GBP1Y!Y3:Y81),,,,D79,D80,D81,,Permanent,,ObjectOverwrite)</f>
        <v>_GBP1Y_linearLCH#0006</v>
      </c>
      <c r="E75" s="40"/>
      <c r="G75" s="20"/>
      <c r="H75" s="19"/>
      <c r="I75" s="39" t="str">
        <f>_xll.qlPiecewiseYieldCurve(I77,I78,Calendar,_xll.ohPack(GBP1Y!Z3:Z53),,,,I79,I80,I81,,Permanent,,ObjectOverwrite)</f>
        <v>_GBP1Y_cubicLCH#0007</v>
      </c>
      <c r="J75" s="40"/>
    </row>
    <row r="76" spans="2:10" x14ac:dyDescent="0.2">
      <c r="B76" s="20"/>
      <c r="C76" s="21" t="s">
        <v>11</v>
      </c>
      <c r="D76" s="41" t="str">
        <f>_xll.ohRangeRetrieveError(yieldcurve1_1Y)</f>
        <v/>
      </c>
      <c r="E76" s="40"/>
      <c r="G76" s="20"/>
      <c r="H76" s="21"/>
      <c r="I76" s="41" t="str">
        <f>_xll.ohRangeRetrieveError(yieldcurve2_1Y)</f>
        <v/>
      </c>
      <c r="J76" s="40"/>
    </row>
    <row r="77" spans="2:10" x14ac:dyDescent="0.2">
      <c r="B77" s="20"/>
      <c r="C77" s="19" t="s">
        <v>12</v>
      </c>
      <c r="D77" s="22" t="str">
        <f>"_"&amp;Currency&amp;"1Y"&amp;LCHlinear</f>
        <v>_GBP1Y_linearLCH</v>
      </c>
      <c r="E77" s="40"/>
      <c r="G77" s="20"/>
      <c r="H77" s="19"/>
      <c r="I77" s="22" t="str">
        <f>"_"&amp;Currency&amp;"1Y"&amp;LCHcubic</f>
        <v>_GBP1Y_cubicLCH</v>
      </c>
      <c r="J77" s="40"/>
    </row>
    <row r="78" spans="2:10" x14ac:dyDescent="0.2">
      <c r="B78" s="20"/>
      <c r="C78" s="23" t="s">
        <v>13</v>
      </c>
      <c r="D78" s="24">
        <v>0</v>
      </c>
      <c r="E78" s="40"/>
      <c r="G78" s="20"/>
      <c r="H78" s="23"/>
      <c r="I78" s="24">
        <v>0</v>
      </c>
      <c r="J78" s="40"/>
    </row>
    <row r="79" spans="2:10" x14ac:dyDescent="0.2">
      <c r="B79" s="20"/>
      <c r="C79" s="23" t="s">
        <v>15</v>
      </c>
      <c r="D79" s="25"/>
      <c r="E79" s="40"/>
      <c r="G79" s="20"/>
      <c r="H79" s="23"/>
      <c r="I79" s="25"/>
      <c r="J79" s="40"/>
    </row>
    <row r="80" spans="2:10" x14ac:dyDescent="0.2">
      <c r="B80" s="20"/>
      <c r="C80" s="23" t="s">
        <v>16</v>
      </c>
      <c r="D80" s="26" t="s">
        <v>130</v>
      </c>
      <c r="E80" s="40"/>
      <c r="G80" s="20"/>
      <c r="H80" s="23"/>
      <c r="I80" s="26" t="s">
        <v>31</v>
      </c>
      <c r="J80" s="40"/>
    </row>
    <row r="81" spans="2:10" x14ac:dyDescent="0.2">
      <c r="B81" s="20"/>
      <c r="C81" s="21" t="s">
        <v>17</v>
      </c>
      <c r="D81" s="27" t="s">
        <v>131</v>
      </c>
      <c r="E81" s="40"/>
      <c r="G81" s="20"/>
      <c r="H81" s="21"/>
      <c r="I81" s="27" t="s">
        <v>164</v>
      </c>
      <c r="J81" s="40"/>
    </row>
    <row r="82" spans="2:10" x14ac:dyDescent="0.2">
      <c r="B82" s="20"/>
      <c r="C82" s="28"/>
      <c r="D82" s="28"/>
      <c r="E82" s="40"/>
      <c r="G82" s="20"/>
      <c r="H82" s="28"/>
      <c r="I82" s="28"/>
      <c r="J82" s="40"/>
    </row>
    <row r="83" spans="2:10" x14ac:dyDescent="0.2">
      <c r="B83" s="20"/>
      <c r="C83" s="29">
        <f>_xll.qlTermStructureReferenceDate(yieldcurve1_1Y)</f>
        <v>42304</v>
      </c>
      <c r="D83" s="30">
        <f>_xll.qlYieldTSDiscount(yieldcurve1_1Y,C83,,Trigger)</f>
        <v>1</v>
      </c>
      <c r="E83" s="40"/>
      <c r="G83" s="20"/>
      <c r="H83" s="29">
        <f>_xll.qlTermStructureReferenceDate(yieldcurve2_1Y)</f>
        <v>42304</v>
      </c>
      <c r="I83" s="30">
        <f>_xll.qlYieldTSDiscount(yieldcurve2_1Y,H83,,Trigger)</f>
        <v>1</v>
      </c>
      <c r="J83" s="40"/>
    </row>
    <row r="84" spans="2:10" x14ac:dyDescent="0.2">
      <c r="B84" s="20"/>
      <c r="C84" s="31">
        <f>_xll.qlTermStructureMaxDate(yieldcurve1_1Y,Trigger)</f>
        <v>64221</v>
      </c>
      <c r="D84" s="32">
        <f>_xll.qlYieldTSDiscount(yieldcurve1_1Y,C84,,Trigger)</f>
        <v>0.30298791285777427</v>
      </c>
      <c r="E84" s="40"/>
      <c r="G84" s="20"/>
      <c r="H84" s="31">
        <f>_xll.qlTermStructureMaxDate(yieldcurve2_1Y,Trigger)</f>
        <v>64221</v>
      </c>
      <c r="I84" s="32">
        <f>_xll.qlYieldTSDiscount(yieldcurve2_1Y,H84,,Trigger)</f>
        <v>0.30296813376593845</v>
      </c>
      <c r="J84" s="40"/>
    </row>
    <row r="85" spans="2:10" x14ac:dyDescent="0.2">
      <c r="B85" s="20"/>
      <c r="C85" s="31" t="str">
        <f>Currency&amp;"1Y"&amp;LCHlinear</f>
        <v>GBP1Y_linearLCH</v>
      </c>
      <c r="D85" s="32" t="b">
        <f>_xll.qlRelinkableHandleLinkTo(C85,D75,Trigger)</f>
        <v>1</v>
      </c>
      <c r="E85" s="40"/>
      <c r="G85" s="20"/>
      <c r="H85" s="31" t="str">
        <f>Currency&amp;"1Y"&amp;LCHcubic</f>
        <v>GBP1Y_cubicLCH</v>
      </c>
      <c r="I85" s="32" t="b">
        <f>_xll.qlRelinkableHandleLinkTo(H85,I75,Trigger)</f>
        <v>1</v>
      </c>
      <c r="J85" s="40"/>
    </row>
    <row r="86" spans="2:10" x14ac:dyDescent="0.2">
      <c r="B86" s="20"/>
      <c r="C86" s="33" t="s">
        <v>118</v>
      </c>
      <c r="D86" s="34" t="b">
        <v>0</v>
      </c>
      <c r="E86" s="40"/>
      <c r="G86" s="20"/>
      <c r="H86" s="33" t="s">
        <v>118</v>
      </c>
      <c r="I86" s="34" t="b">
        <v>0</v>
      </c>
      <c r="J86" s="40"/>
    </row>
    <row r="87" spans="2:10" x14ac:dyDescent="0.2">
      <c r="B87" s="42"/>
      <c r="C87" s="43"/>
      <c r="D87" s="43"/>
      <c r="E87" s="44"/>
      <c r="G87" s="42"/>
      <c r="H87" s="43"/>
      <c r="I87" s="43"/>
      <c r="J87" s="44"/>
    </row>
    <row r="89" spans="2:10" x14ac:dyDescent="0.2">
      <c r="B89" s="35"/>
      <c r="C89" s="36"/>
      <c r="D89" s="36"/>
      <c r="E89" s="37"/>
    </row>
    <row r="90" spans="2:10" x14ac:dyDescent="0.2">
      <c r="B90" s="20"/>
      <c r="C90" s="19" t="s">
        <v>10</v>
      </c>
      <c r="D90" s="39" t="str">
        <f>_xll.qlPiecewiseYieldCurve(D92,D93,Calendar,_xll.ohPack(GBPSTD!W3:W72),,,,D94,D95,D96,,Permanent,,ObjectOverwrite)</f>
        <v>_GBPSTD_linearLCH#0009</v>
      </c>
      <c r="E90" s="40"/>
    </row>
    <row r="91" spans="2:10" x14ac:dyDescent="0.2">
      <c r="B91" s="20"/>
      <c r="C91" s="21" t="s">
        <v>11</v>
      </c>
      <c r="D91" s="41" t="str">
        <f>_xll.ohRangeRetrieveError(yieldcurve1_1Y)</f>
        <v/>
      </c>
      <c r="E91" s="40"/>
    </row>
    <row r="92" spans="2:10" x14ac:dyDescent="0.2">
      <c r="B92" s="20"/>
      <c r="C92" s="19" t="s">
        <v>12</v>
      </c>
      <c r="D92" s="22" t="str">
        <f>"_"&amp;Currency&amp;"STD"&amp;LCHlinear</f>
        <v>_GBPSTD_linearLCH</v>
      </c>
      <c r="E92" s="40"/>
    </row>
    <row r="93" spans="2:10" x14ac:dyDescent="0.2">
      <c r="B93" s="20"/>
      <c r="C93" s="23" t="s">
        <v>13</v>
      </c>
      <c r="D93" s="24">
        <v>0</v>
      </c>
      <c r="E93" s="40"/>
    </row>
    <row r="94" spans="2:10" x14ac:dyDescent="0.2">
      <c r="B94" s="20"/>
      <c r="C94" s="23" t="s">
        <v>15</v>
      </c>
      <c r="D94" s="25"/>
      <c r="E94" s="40"/>
    </row>
    <row r="95" spans="2:10" x14ac:dyDescent="0.2">
      <c r="B95" s="20"/>
      <c r="C95" s="23" t="s">
        <v>16</v>
      </c>
      <c r="D95" s="26" t="s">
        <v>130</v>
      </c>
      <c r="E95" s="40"/>
    </row>
    <row r="96" spans="2:10" x14ac:dyDescent="0.2">
      <c r="B96" s="20"/>
      <c r="C96" s="21" t="s">
        <v>17</v>
      </c>
      <c r="D96" s="27" t="s">
        <v>131</v>
      </c>
      <c r="E96" s="40"/>
    </row>
    <row r="97" spans="2:5" x14ac:dyDescent="0.2">
      <c r="B97" s="20"/>
      <c r="C97" s="28"/>
      <c r="D97" s="28"/>
      <c r="E97" s="40"/>
    </row>
    <row r="98" spans="2:5" x14ac:dyDescent="0.2">
      <c r="B98" s="20"/>
      <c r="C98" s="29">
        <f>_xll.qlTermStructureReferenceDate(yieldcurve1_STD)</f>
        <v>42304</v>
      </c>
      <c r="D98" s="30">
        <f>_xll.qlYieldTSDiscount(yieldcurve1_STD,C98,,Trigger)</f>
        <v>1</v>
      </c>
      <c r="E98" s="40"/>
    </row>
    <row r="99" spans="2:5" x14ac:dyDescent="0.2">
      <c r="B99" s="20"/>
      <c r="C99" s="31">
        <f>_xll.qlTermStructureMaxDate(yieldcurve1_STD,Trigger)</f>
        <v>64221</v>
      </c>
      <c r="D99" s="32">
        <f>_xll.qlYieldTSDiscount(yieldcurve1_STD,C99,,Trigger)</f>
        <v>0.3090929907999086</v>
      </c>
      <c r="E99" s="40"/>
    </row>
    <row r="100" spans="2:5" x14ac:dyDescent="0.2">
      <c r="B100" s="20"/>
      <c r="C100" s="31" t="str">
        <f>Currency&amp;"STD"&amp;LCHlinear</f>
        <v>GBPSTD_linearLCH</v>
      </c>
      <c r="D100" s="32" t="b">
        <f>_xll.qlRelinkableHandleLinkTo(C100,D90,Trigger)</f>
        <v>1</v>
      </c>
      <c r="E100" s="40"/>
    </row>
    <row r="101" spans="2:5" x14ac:dyDescent="0.2">
      <c r="B101" s="20"/>
      <c r="C101" s="33" t="s">
        <v>118</v>
      </c>
      <c r="D101" s="34" t="b">
        <v>0</v>
      </c>
      <c r="E101" s="40"/>
    </row>
    <row r="102" spans="2:5" x14ac:dyDescent="0.2">
      <c r="B102" s="42"/>
      <c r="C102" s="43"/>
      <c r="D102" s="43"/>
      <c r="E102" s="44"/>
    </row>
  </sheetData>
  <dataValidations count="3"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11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3">
      <formula1>"ibor,Libor"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I81"/>
  <sheetViews>
    <sheetView showGridLines="0" topLeftCell="H1" zoomScaleNormal="100" workbookViewId="0">
      <selection activeCell="H1" sqref="H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11" style="50" hidden="1" customWidth="1" outlineLevel="1"/>
    <col min="4" max="4" width="12" style="52" hidden="1" customWidth="1" outlineLevel="1"/>
    <col min="5" max="5" width="24.42578125" style="46" hidden="1" customWidth="1" outlineLevel="1"/>
    <col min="6" max="6" width="8" style="46" hidden="1" customWidth="1" outlineLevel="1"/>
    <col min="7" max="7" width="15.140625" style="46" hidden="1" customWidth="1" outlineLevel="1"/>
    <col min="8" max="8" width="2.7109375" style="46" customWidth="1" collapsed="1"/>
    <col min="9" max="9" width="9" style="46" hidden="1" customWidth="1" outlineLevel="1"/>
    <col min="10" max="10" width="15.140625" style="103" hidden="1" customWidth="1" outlineLevel="1"/>
    <col min="11" max="11" width="21.42578125" style="103" hidden="1" customWidth="1" outlineLevel="1"/>
    <col min="12" max="12" width="12" style="103" hidden="1" customWidth="1" outlineLevel="1"/>
    <col min="13" max="13" width="7.85546875" style="103" hidden="1" customWidth="1" outlineLevel="1"/>
    <col min="14" max="14" width="9" style="103" hidden="1" customWidth="1" outlineLevel="1"/>
    <col min="15" max="15" width="5.85546875" style="103" hidden="1" customWidth="1" outlineLevel="1"/>
    <col min="16" max="17" width="10.7109375" style="103" hidden="1" customWidth="1" outlineLevel="1"/>
    <col min="18" max="18" width="2.7109375" style="48" hidden="1" customWidth="1" outlineLevel="1"/>
    <col min="19" max="19" width="6" style="46" customWidth="1" collapsed="1"/>
    <col min="20" max="20" width="10.140625" style="46" hidden="1" customWidth="1" outlineLevel="1"/>
    <col min="21" max="21" width="24.7109375" style="46" customWidth="1" collapsed="1"/>
    <col min="22" max="23" width="9.7109375" style="46" customWidth="1"/>
    <col min="24" max="25" width="17.28515625" style="46" bestFit="1" customWidth="1"/>
    <col min="26" max="26" width="13.140625" style="46" bestFit="1" customWidth="1"/>
    <col min="27" max="27" width="12.42578125" style="46" customWidth="1"/>
    <col min="28" max="28" width="10" style="46" hidden="1" customWidth="1" outlineLevel="1"/>
    <col min="29" max="29" width="9" style="46" hidden="1" customWidth="1" outlineLevel="1"/>
    <col min="30" max="30" width="10" style="46" hidden="1" customWidth="1" outlineLevel="1"/>
    <col min="31" max="31" width="12" style="46" hidden="1" customWidth="1" outlineLevel="1"/>
    <col min="32" max="32" width="10" style="46" hidden="1" customWidth="1" outlineLevel="1"/>
    <col min="33" max="33" width="3.7109375" style="46" customWidth="1" collapsed="1"/>
    <col min="34" max="35" width="24.42578125" style="46" bestFit="1" customWidth="1"/>
    <col min="36" max="37" width="11.7109375" style="46" customWidth="1"/>
    <col min="38" max="39" width="24.42578125" style="46" bestFit="1" customWidth="1"/>
    <col min="40" max="40" width="10" style="46" bestFit="1" customWidth="1"/>
    <col min="41" max="41" width="24.42578125" style="46" bestFit="1" customWidth="1"/>
    <col min="42" max="16384" width="9.140625" style="46"/>
  </cols>
  <sheetData>
    <row r="1" spans="1:35" ht="18" customHeight="1" x14ac:dyDescent="0.2">
      <c r="D1" s="50" t="s">
        <v>157</v>
      </c>
      <c r="I1" s="67" t="s">
        <v>24</v>
      </c>
      <c r="J1" s="106"/>
      <c r="K1" s="106"/>
      <c r="L1" s="106"/>
      <c r="M1" s="106"/>
      <c r="N1" s="106"/>
      <c r="O1" s="106"/>
      <c r="P1" s="106"/>
      <c r="Q1" s="96"/>
      <c r="R1" s="93"/>
      <c r="S1" s="74" t="str">
        <f>Currency&amp;"OIS"</f>
        <v>GBPOIS</v>
      </c>
      <c r="T1" s="66"/>
      <c r="U1" s="66"/>
      <c r="V1" s="69"/>
      <c r="W1" s="69"/>
      <c r="X1" s="66"/>
      <c r="Y1" s="66"/>
      <c r="Z1" s="178" t="s">
        <v>131</v>
      </c>
      <c r="AA1" s="178" t="s">
        <v>139</v>
      </c>
    </row>
    <row r="2" spans="1:35" ht="21.75" customHeight="1" x14ac:dyDescent="0.2">
      <c r="A2" s="65" t="s">
        <v>9</v>
      </c>
      <c r="B2" s="65" t="s">
        <v>28</v>
      </c>
      <c r="C2" s="65" t="s">
        <v>74</v>
      </c>
      <c r="D2" s="65" t="s">
        <v>4</v>
      </c>
      <c r="E2" s="65" t="s">
        <v>1</v>
      </c>
      <c r="F2" s="65"/>
      <c r="G2" s="65" t="s">
        <v>24</v>
      </c>
      <c r="I2" s="73" t="s">
        <v>9</v>
      </c>
      <c r="J2" s="73" t="s">
        <v>24</v>
      </c>
      <c r="K2" s="73" t="s">
        <v>78</v>
      </c>
      <c r="L2" s="73" t="s">
        <v>81</v>
      </c>
      <c r="M2" s="73" t="s">
        <v>79</v>
      </c>
      <c r="N2" s="73" t="s">
        <v>80</v>
      </c>
      <c r="O2" s="73" t="s">
        <v>82</v>
      </c>
      <c r="P2" s="73" t="s">
        <v>22</v>
      </c>
      <c r="Q2" s="73" t="s">
        <v>75</v>
      </c>
      <c r="R2" s="93"/>
      <c r="S2" s="73" t="s">
        <v>9</v>
      </c>
      <c r="T2" s="73" t="s">
        <v>24</v>
      </c>
      <c r="U2" s="73" t="s">
        <v>78</v>
      </c>
      <c r="V2" s="75" t="s">
        <v>23</v>
      </c>
      <c r="W2" s="75" t="s">
        <v>83</v>
      </c>
      <c r="X2" s="73" t="s">
        <v>22</v>
      </c>
      <c r="Y2" s="73" t="s">
        <v>75</v>
      </c>
      <c r="Z2" s="171">
        <f t="array" ref="Z2:Z77">_xll.qlPiecewiseYieldCurveData(YieldCurve1_ON,Trigger)</f>
        <v>4.6329705965992085E-3</v>
      </c>
      <c r="AA2" s="76">
        <f t="array" ref="AA2:AA77">_xll.qlPiecewiseYieldCurveData(yieldcurve2_ON,Trigger)</f>
        <v>1</v>
      </c>
      <c r="AD2" s="46" t="s">
        <v>140</v>
      </c>
      <c r="AF2" s="46" t="s">
        <v>141</v>
      </c>
      <c r="AH2" s="211" t="s">
        <v>84</v>
      </c>
      <c r="AI2" s="212"/>
    </row>
    <row r="3" spans="1:35" ht="11.25" customHeight="1" x14ac:dyDescent="0.2">
      <c r="A3" s="53" t="s">
        <v>26</v>
      </c>
      <c r="B3" s="54" t="s">
        <v>36</v>
      </c>
      <c r="C3" s="56" t="s">
        <v>6</v>
      </c>
      <c r="D3" s="55" t="str">
        <f>$D$1</f>
        <v>Sonia</v>
      </c>
      <c r="E3" s="57" t="str">
        <f>IF(LCHQuoteOverwrite,Currency&amp;"1DOIS"&amp;LCHQuoteSuffix,Currency&amp;$B3&amp;"D"&amp;QuoteSuffix)</f>
        <v>GBP1DOIS_LCHQuote</v>
      </c>
      <c r="F3" s="123"/>
      <c r="G3" s="58" t="str">
        <f>_xll.qlDepositRateHelper(,E3,D3,Permanent,Trigger,ObjectOverwrite)</f>
        <v>obj_0066b#0005</v>
      </c>
      <c r="H3" s="49"/>
      <c r="I3" s="10" t="str">
        <f>A3</f>
        <v>Dp</v>
      </c>
      <c r="J3" s="94" t="str">
        <f>IF(ISBLANK(G3),"--",G3)</f>
        <v>obj_0066b#0005</v>
      </c>
      <c r="K3" s="146" t="str">
        <f>IFERROR(_xll.qlRateHelperQuoteName(J3,Trigger),"--")</f>
        <v>GBP1DOIS_LCHQuote</v>
      </c>
      <c r="L3" s="98">
        <f>IFERROR(_xll.qlRateHelperQuoteValue($J3,Trigger),"--")</f>
        <v>4.633E-3</v>
      </c>
      <c r="M3" s="97" t="b">
        <v>1</v>
      </c>
      <c r="N3" s="94">
        <v>70</v>
      </c>
      <c r="O3" s="94">
        <v>1</v>
      </c>
      <c r="P3" s="99">
        <f>IFERROR(_xll.qlRateHelperEarliestDate(J3,Trigger),"--")</f>
        <v>42304</v>
      </c>
      <c r="Q3" s="99">
        <f>IFERROR(_xll.qlRateHelperPillarDate(J3,Trigger),"--")</f>
        <v>42305</v>
      </c>
      <c r="S3" s="4" t="str">
        <f t="shared" ref="S3:S44" si="0">IFERROR(INDEX($I$3:$I$77,MATCH(U3,$K$3:$K$77,0),1),"")</f>
        <v>Dp</v>
      </c>
      <c r="T3" s="4" t="str">
        <f t="array" ref="T3:T77">_xll.qlRateHelperSelection(_xll.ohFilter(RateHelpers,IncludeFlag),_xll.ohFilter(Priority,IncludeFlag),AI3,AI4,AI5,AI6,_xll.ohFilter(MinDistance,IncludeFlag),Trigger)</f>
        <v>obj_0066b</v>
      </c>
      <c r="U3" s="4" t="str">
        <f>IFERROR(_xll.qlRateHelperQuoteName(T3,Trigger),"")</f>
        <v>GBP1DOIS_LCHQuote</v>
      </c>
      <c r="V3" s="70">
        <f>IFERROR(_xll.qlRateHelperRate(T3,Trigger),"")</f>
        <v>4.633E-3</v>
      </c>
      <c r="W3" s="104" t="str">
        <f>IF(ISERROR(_xll.qlSwapRateHelperSpread($T3)),IF(ISERROR(_xll.qlFuturesRateHelperConvexityAdjustment($T3)),"",_xll.qlFuturesRateHelperConvexityAdjustment($T3)),_xll.qlSwapRateHelperSpread($T3))</f>
        <v/>
      </c>
      <c r="X3" s="5">
        <f>IFERROR(_xll.qlRateHelperEarliestDate(T3,Trigger),"")</f>
        <v>42304</v>
      </c>
      <c r="Y3" s="5">
        <f>IFERROR(_xll.qlRateHelperPillarDate(T3,Trigger),"")</f>
        <v>42305</v>
      </c>
      <c r="Z3" s="70">
        <v>4.6329705965992085E-3</v>
      </c>
      <c r="AA3" s="77">
        <v>0.99998730701042915</v>
      </c>
      <c r="AB3" s="169">
        <f t="array" ref="AB3:AB77">_xll.ohFilter([1]REP00100!$C$2:$C$2000,([1]REP00100!$A$2:$A$2000="GBP_SONIA_EOD"))</f>
        <v>42305</v>
      </c>
      <c r="AC3" s="170">
        <f t="array" ref="AC3:AC77">_xll.ohFilter([1]REP00100!$E$2:$E$2000,([1]REP00100!$A$2:$A$2000="GBP_SONIA_EOD"))</f>
        <v>4.6329705965802402E-3</v>
      </c>
      <c r="AD3" s="172">
        <f>Z3-AC3</f>
        <v>1.8968333848068397E-14</v>
      </c>
      <c r="AE3" s="174">
        <f t="array" ref="AE3:AE77">_xll.ohFilter([1]REP00101!$F$2:$F$2000,([1]REP00101!$A$2:$A$2000="GBP_SONIA_EOD"))</f>
        <v>0.99998730701042904</v>
      </c>
      <c r="AF3" s="173">
        <f>AA3-AE3</f>
        <v>0</v>
      </c>
      <c r="AG3" s="170"/>
      <c r="AH3" s="107" t="s">
        <v>85</v>
      </c>
      <c r="AI3" s="108">
        <v>0</v>
      </c>
    </row>
    <row r="4" spans="1:35" ht="11.25" customHeight="1" x14ac:dyDescent="0.2">
      <c r="A4" s="110" t="s">
        <v>26</v>
      </c>
      <c r="B4" s="111" t="s">
        <v>72</v>
      </c>
      <c r="C4" s="112" t="s">
        <v>73</v>
      </c>
      <c r="D4" s="113" t="str">
        <f>$D$1</f>
        <v>Sonia</v>
      </c>
      <c r="E4" s="168" t="str">
        <f>IF(LCHQuoteOverwrite,Currency&amp;"2DOIS"&amp;LCHQuoteSuffix,Currency&amp;$B4&amp;"D"&amp;QuoteSuffix)</f>
        <v>GBP2DOIS_LCHQuote</v>
      </c>
      <c r="F4" s="122"/>
      <c r="G4" s="114" t="str">
        <f>_xll.qlFraRateHelper(,E4,C4,D4,PillarDate,,Permanent,Trigger,ObjectOverwrite)</f>
        <v>obj_0066c#0005</v>
      </c>
      <c r="H4" s="48"/>
      <c r="I4" s="10" t="str">
        <f>A4</f>
        <v>Dp</v>
      </c>
      <c r="J4" s="94" t="str">
        <f t="shared" ref="J4" si="1">IF(ISBLANK(G4),"--",G4)</f>
        <v>obj_0066c#0005</v>
      </c>
      <c r="K4" s="146" t="str">
        <f>IFERROR(_xll.qlRateHelperQuoteName(J4,Trigger),"--")</f>
        <v>GBP2DOIS_LCHQuote</v>
      </c>
      <c r="L4" s="98" t="str">
        <f>IFERROR(_xll.qlRateHelperQuoteValue($J4,Trigger),"--")</f>
        <v>--</v>
      </c>
      <c r="M4" s="97" t="b">
        <v>0</v>
      </c>
      <c r="N4" s="94">
        <v>70</v>
      </c>
      <c r="O4" s="94">
        <v>1</v>
      </c>
      <c r="P4" s="99">
        <f>IFERROR(_xll.qlRateHelperEarliestDate(J4,Trigger),"--")</f>
        <v>42305</v>
      </c>
      <c r="Q4" s="99">
        <f>IFERROR(_xll.qlRateHelperPillarDate(J4,Trigger),"--")</f>
        <v>42306</v>
      </c>
      <c r="S4" s="4" t="str">
        <f t="shared" si="0"/>
        <v>OIS</v>
      </c>
      <c r="T4" s="4" t="str">
        <v>obj_004d2</v>
      </c>
      <c r="U4" s="4" t="str">
        <f>IFERROR(_xll.qlRateHelperQuoteName(T4,Trigger),"")</f>
        <v>GBP1WOIS_LCHQuote</v>
      </c>
      <c r="V4" s="70">
        <f>IFERROR(_xll.qlRateHelperRate(T4,Trigger),"")</f>
        <v>4.6049999999999997E-3</v>
      </c>
      <c r="W4" s="104" t="str">
        <f>IF(ISERROR(_xll.qlSwapRateHelperSpread($T4)),IF(ISERROR(_xll.qlFuturesRateHelperConvexityAdjustment($T4)),"",_xll.qlFuturesRateHelperConvexityAdjustment($T4)),_xll.qlSwapRateHelperSpread($T4))</f>
        <v/>
      </c>
      <c r="X4" s="5">
        <f>IFERROR(_xll.qlRateHelperEarliestDate(T4,Trigger),"")</f>
        <v>42304</v>
      </c>
      <c r="Y4" s="5">
        <f>IFERROR(_xll.qlRateHelperPillarDate(T4,Trigger),"")</f>
        <v>42311</v>
      </c>
      <c r="Z4" s="70">
        <v>4.6047966664494915E-3</v>
      </c>
      <c r="AA4" s="77">
        <v>0.99991169273037417</v>
      </c>
      <c r="AB4" s="169">
        <v>42311</v>
      </c>
      <c r="AC4" s="170">
        <v>4.6047966665268497E-3</v>
      </c>
      <c r="AD4" s="172">
        <f t="shared" ref="AD4:AD67" si="2">Z4-AC4</f>
        <v>-7.7358258687709736E-14</v>
      </c>
      <c r="AE4" s="174">
        <v>0.99991169273036895</v>
      </c>
      <c r="AF4" s="173">
        <f t="shared" ref="AF4:AF67" si="3">AA4-AE4</f>
        <v>5.2180482157382357E-15</v>
      </c>
      <c r="AG4" s="170"/>
      <c r="AH4" s="107" t="s">
        <v>86</v>
      </c>
      <c r="AI4" s="108">
        <v>0</v>
      </c>
    </row>
    <row r="5" spans="1:35" ht="11.25" customHeight="1" x14ac:dyDescent="0.2">
      <c r="D5" s="50" t="s">
        <v>163</v>
      </c>
      <c r="H5" s="48"/>
      <c r="I5" s="68" t="str">
        <f>A7</f>
        <v>OIS</v>
      </c>
      <c r="J5" s="131" t="str">
        <f>IF(ISBLANK(G7),"--",G7)</f>
        <v>obj_004d2#0005</v>
      </c>
      <c r="K5" s="145" t="str">
        <f>IFERROR(_xll.qlRateHelperQuoteName(J5,Trigger),"--")</f>
        <v>GBP1WOIS_LCHQuote</v>
      </c>
      <c r="L5" s="133">
        <f>IFERROR(_xll.qlRateHelperQuoteValue($J5,Trigger),"--")</f>
        <v>4.6049999999999997E-3</v>
      </c>
      <c r="M5" s="132" t="b">
        <v>1</v>
      </c>
      <c r="N5" s="131">
        <v>50</v>
      </c>
      <c r="O5" s="131">
        <v>1</v>
      </c>
      <c r="P5" s="134">
        <f>IFERROR(_xll.qlRateHelperEarliestDate(J5,Trigger),"--")</f>
        <v>42304</v>
      </c>
      <c r="Q5" s="134">
        <f>IFERROR(_xll.qlRateHelperPillarDate(J5,Trigger),"--")</f>
        <v>42311</v>
      </c>
      <c r="S5" s="4" t="str">
        <f t="shared" si="0"/>
        <v>OIS</v>
      </c>
      <c r="T5" s="4" t="str">
        <v>obj_004ec</v>
      </c>
      <c r="U5" s="4" t="str">
        <f>IFERROR(_xll.qlRateHelperQuoteName(T5,Trigger),"")</f>
        <v>GBP2WOIS_LCHQuote</v>
      </c>
      <c r="V5" s="70">
        <f>IFERROR(_xll.qlRateHelperRate(T5,Trigger),"")</f>
        <v>4.6265000000000004E-3</v>
      </c>
      <c r="W5" s="104" t="str">
        <f>IF(ISERROR(_xll.qlSwapRateHelperSpread($T5)),IF(ISERROR(_xll.qlFuturesRateHelperConvexityAdjustment($T5)),"",_xll.qlFuturesRateHelperConvexityAdjustment($T5)),_xll.qlSwapRateHelperSpread($T5))</f>
        <v/>
      </c>
      <c r="X5" s="5">
        <f>IFERROR(_xll.qlRateHelperEarliestDate(T5,Trigger),"")</f>
        <v>42304</v>
      </c>
      <c r="Y5" s="5">
        <f>IFERROR(_xll.qlRateHelperPillarDate(T5,Trigger),"")</f>
        <v>42318</v>
      </c>
      <c r="Z5" s="70">
        <v>4.6260895512784585E-3</v>
      </c>
      <c r="AA5" s="77">
        <v>0.99982257669009622</v>
      </c>
      <c r="AB5" s="169">
        <v>42318</v>
      </c>
      <c r="AC5" s="170">
        <v>4.6260895512541403E-3</v>
      </c>
      <c r="AD5" s="172">
        <f t="shared" si="2"/>
        <v>2.431822104798087E-14</v>
      </c>
      <c r="AE5" s="174">
        <v>0.999822576690097</v>
      </c>
      <c r="AF5" s="173">
        <f t="shared" si="3"/>
        <v>0</v>
      </c>
      <c r="AG5" s="170"/>
      <c r="AH5" s="107" t="s">
        <v>87</v>
      </c>
      <c r="AI5" s="108">
        <v>0</v>
      </c>
    </row>
    <row r="6" spans="1:35" ht="11.25" customHeight="1" x14ac:dyDescent="0.2">
      <c r="A6" s="65" t="s">
        <v>9</v>
      </c>
      <c r="B6" s="65" t="s">
        <v>28</v>
      </c>
      <c r="C6" s="65" t="s">
        <v>77</v>
      </c>
      <c r="D6" s="65" t="s">
        <v>4</v>
      </c>
      <c r="E6" s="65" t="s">
        <v>1</v>
      </c>
      <c r="F6" s="65"/>
      <c r="G6" s="65" t="s">
        <v>24</v>
      </c>
      <c r="H6" s="48"/>
      <c r="I6" s="10" t="str">
        <f t="shared" ref="I6:I40" si="4">A8</f>
        <v>OIS</v>
      </c>
      <c r="J6" s="94" t="str">
        <f t="shared" ref="J6:J40" si="5">IF(ISBLANK(G8),"--",G8)</f>
        <v>obj_004ec#0005</v>
      </c>
      <c r="K6" s="146" t="str">
        <f>IFERROR(_xll.qlRateHelperQuoteName(J6,Trigger),"--")</f>
        <v>GBP2WOIS_LCHQuote</v>
      </c>
      <c r="L6" s="98">
        <f>IFERROR(_xll.qlRateHelperQuoteValue($J6,Trigger),"--")</f>
        <v>4.6265000000000004E-3</v>
      </c>
      <c r="M6" s="97" t="b">
        <v>1</v>
      </c>
      <c r="N6" s="94">
        <v>50</v>
      </c>
      <c r="O6" s="94">
        <v>1</v>
      </c>
      <c r="P6" s="99">
        <f>IFERROR(_xll.qlRateHelperEarliestDate(J6,Trigger),"--")</f>
        <v>42304</v>
      </c>
      <c r="Q6" s="99">
        <f>IFERROR(_xll.qlRateHelperPillarDate(J6,Trigger),"--")</f>
        <v>42318</v>
      </c>
      <c r="S6" s="4" t="str">
        <f t="shared" si="0"/>
        <v>OIS</v>
      </c>
      <c r="T6" s="4" t="str">
        <v>obj_0051f</v>
      </c>
      <c r="U6" s="4" t="str">
        <f>IFERROR(_xll.qlRateHelperQuoteName(T6,Trigger),"")</f>
        <v>GBP1MOIS_LCHQuote</v>
      </c>
      <c r="V6" s="70">
        <f>IFERROR(_xll.qlRateHelperRate(T6,Trigger),"")</f>
        <v>4.6379999999999998E-3</v>
      </c>
      <c r="W6" s="104" t="str">
        <f>IF(ISERROR(_xll.qlSwapRateHelperSpread($T6)),IF(ISERROR(_xll.qlFuturesRateHelperConvexityAdjustment($T6)),"",_xll.qlFuturesRateHelperConvexityAdjustment($T6)),_xll.qlSwapRateHelperSpread($T6))</f>
        <v/>
      </c>
      <c r="X6" s="5">
        <f>IFERROR(_xll.qlRateHelperEarliestDate(T6,Trigger),"")</f>
        <v>42304</v>
      </c>
      <c r="Y6" s="5">
        <f>IFERROR(_xll.qlRateHelperPillarDate(T6,Trigger),"")</f>
        <v>42335</v>
      </c>
      <c r="Z6" s="70">
        <v>4.637086757126682E-3</v>
      </c>
      <c r="AA6" s="77">
        <v>0.99960624277705579</v>
      </c>
      <c r="AB6" s="169">
        <v>42335</v>
      </c>
      <c r="AC6" s="170">
        <v>4.6370867571261199E-3</v>
      </c>
      <c r="AD6" s="172">
        <f t="shared" si="2"/>
        <v>5.620504062164855E-16</v>
      </c>
      <c r="AE6" s="174">
        <v>0.99960624277705801</v>
      </c>
      <c r="AF6" s="173">
        <f t="shared" si="3"/>
        <v>-2.2204460492503131E-15</v>
      </c>
      <c r="AG6" s="170"/>
      <c r="AH6" s="107" t="s">
        <v>88</v>
      </c>
      <c r="AI6" s="109" t="s">
        <v>89</v>
      </c>
    </row>
    <row r="7" spans="1:35" ht="11.25" customHeight="1" x14ac:dyDescent="0.2">
      <c r="A7" s="53" t="s">
        <v>69</v>
      </c>
      <c r="B7" s="54" t="s">
        <v>37</v>
      </c>
      <c r="C7" s="55">
        <v>0</v>
      </c>
      <c r="D7" s="62" t="str">
        <f>$D$1</f>
        <v>Sonia</v>
      </c>
      <c r="E7" s="57" t="str">
        <f t="shared" ref="E7:E42" si="6">IF(LCHQuoteOverwrite,Currency&amp;B7&amp;"OIS"&amp;LCHQuoteSuffix,Currency&amp;IF($B7="1W","SW",$B7)&amp;"OIS"&amp;QuoteSuffix)</f>
        <v>GBP1WOIS_LCHQuote</v>
      </c>
      <c r="F7" s="123"/>
      <c r="G7" s="58" t="str">
        <f>_xll.qlOISRateHelper(,C7,B7,E7,$D7,,Permanent,Trigger,ObjectOverwrite)</f>
        <v>obj_004d2#0005</v>
      </c>
      <c r="H7" s="48"/>
      <c r="I7" s="10" t="str">
        <f t="shared" si="4"/>
        <v>OIS</v>
      </c>
      <c r="J7" s="94" t="str">
        <f t="shared" si="5"/>
        <v>obj_004de#0005</v>
      </c>
      <c r="K7" s="146" t="str">
        <f>IFERROR(_xll.qlRateHelperQuoteName(J7,Trigger),"--")</f>
        <v>GBP3WOIS_LCHQuote</v>
      </c>
      <c r="L7" s="98" t="str">
        <f>IFERROR(_xll.qlRateHelperQuoteValue($J7,Trigger),"--")</f>
        <v>--</v>
      </c>
      <c r="M7" s="97" t="b">
        <v>0</v>
      </c>
      <c r="N7" s="94">
        <v>50</v>
      </c>
      <c r="O7" s="94">
        <v>1</v>
      </c>
      <c r="P7" s="99">
        <f>IFERROR(_xll.qlRateHelperEarliestDate(J7,Trigger),"--")</f>
        <v>42304</v>
      </c>
      <c r="Q7" s="99">
        <f>IFERROR(_xll.qlRateHelperPillarDate(J7,Trigger),"--")</f>
        <v>42325</v>
      </c>
      <c r="S7" s="4" t="str">
        <f t="shared" si="0"/>
        <v>OIS</v>
      </c>
      <c r="T7" s="4" t="str">
        <v>obj_004b9</v>
      </c>
      <c r="U7" s="4" t="str">
        <f>IFERROR(_xll.qlRateHelperQuoteName(T7,Trigger),"")</f>
        <v>GBP2MOIS_LCHQuote</v>
      </c>
      <c r="V7" s="70">
        <f>IFERROR(_xll.qlRateHelperRate(T7,Trigger),"")</f>
        <v>4.6059999999999999E-3</v>
      </c>
      <c r="W7" s="104" t="str">
        <f>IF(ISERROR(_xll.qlSwapRateHelperSpread($T7)),IF(ISERROR(_xll.qlFuturesRateHelperConvexityAdjustment($T7)),"",_xll.qlFuturesRateHelperConvexityAdjustment($T7)),_xll.qlSwapRateHelperSpread($T7))</f>
        <v/>
      </c>
      <c r="X7" s="5">
        <f>IFERROR(_xll.qlRateHelperEarliestDate(T7,Trigger),"")</f>
        <v>42304</v>
      </c>
      <c r="Y7" s="5">
        <f>IFERROR(_xll.qlRateHelperPillarDate(T7,Trigger),"")</f>
        <v>42367</v>
      </c>
      <c r="Z7" s="70">
        <v>4.6041700658824352E-3</v>
      </c>
      <c r="AA7" s="77">
        <v>0.99920562331681428</v>
      </c>
      <c r="AB7" s="169">
        <v>42367</v>
      </c>
      <c r="AC7" s="170">
        <v>4.6041700658822496E-3</v>
      </c>
      <c r="AD7" s="172">
        <f t="shared" si="2"/>
        <v>1.8561541192951836E-16</v>
      </c>
      <c r="AE7" s="174">
        <v>0.99920562331681395</v>
      </c>
      <c r="AF7" s="173">
        <f t="shared" si="3"/>
        <v>0</v>
      </c>
      <c r="AG7" s="170"/>
    </row>
    <row r="8" spans="1:35" ht="11.25" customHeight="1" x14ac:dyDescent="0.2">
      <c r="A8" s="59" t="s">
        <v>69</v>
      </c>
      <c r="B8" s="60" t="s">
        <v>38</v>
      </c>
      <c r="C8" s="61">
        <v>0</v>
      </c>
      <c r="D8" s="62" t="str">
        <f t="shared" ref="D8:D42" si="7">$D$1</f>
        <v>Sonia</v>
      </c>
      <c r="E8" s="63" t="str">
        <f t="shared" si="6"/>
        <v>GBP2WOIS_LCHQuote</v>
      </c>
      <c r="F8" s="123"/>
      <c r="G8" s="64" t="str">
        <f>_xll.qlOISRateHelper(,C8,B8,E8,$D8,,Permanent,Trigger,ObjectOverwrite)</f>
        <v>obj_004ec#0005</v>
      </c>
      <c r="H8" s="48"/>
      <c r="I8" s="10" t="str">
        <f t="shared" si="4"/>
        <v>OIS</v>
      </c>
      <c r="J8" s="94" t="str">
        <f t="shared" si="5"/>
        <v>obj_0051f#0005</v>
      </c>
      <c r="K8" s="146" t="str">
        <f>IFERROR(_xll.qlRateHelperQuoteName(J8,Trigger),"--")</f>
        <v>GBP1MOIS_LCHQuote</v>
      </c>
      <c r="L8" s="98">
        <f>IFERROR(_xll.qlRateHelperQuoteValue($J8,Trigger),"--")</f>
        <v>4.6379999999999998E-3</v>
      </c>
      <c r="M8" s="97" t="b">
        <v>1</v>
      </c>
      <c r="N8" s="94">
        <v>50</v>
      </c>
      <c r="O8" s="94">
        <v>1</v>
      </c>
      <c r="P8" s="99">
        <f>IFERROR(_xll.qlRateHelperEarliestDate(J8,Trigger),"--")</f>
        <v>42304</v>
      </c>
      <c r="Q8" s="99">
        <f>IFERROR(_xll.qlRateHelperPillarDate(J8,Trigger),"--")</f>
        <v>42335</v>
      </c>
      <c r="S8" s="4" t="str">
        <f t="shared" si="0"/>
        <v>OIS</v>
      </c>
      <c r="T8" s="4" t="str">
        <v>obj_0049d</v>
      </c>
      <c r="U8" s="4" t="str">
        <f>IFERROR(_xll.qlRateHelperQuoteName(T8,Trigger),"")</f>
        <v>GBP3MOIS_LCHQuote</v>
      </c>
      <c r="V8" s="70">
        <f>IFERROR(_xll.qlRateHelperRate(T8,Trigger),"")</f>
        <v>4.5828750000000001E-3</v>
      </c>
      <c r="W8" s="104" t="str">
        <f>IF(ISERROR(_xll.qlSwapRateHelperSpread($T8)),IF(ISERROR(_xll.qlFuturesRateHelperConvexityAdjustment($T8)),"",_xll.qlFuturesRateHelperConvexityAdjustment($T8)),_xll.qlSwapRateHelperSpread($T8))</f>
        <v/>
      </c>
      <c r="X8" s="5">
        <f>IFERROR(_xll.qlRateHelperEarliestDate(T8,Trigger),"")</f>
        <v>42304</v>
      </c>
      <c r="Y8" s="5">
        <f>IFERROR(_xll.qlRateHelperPillarDate(T8,Trigger),"")</f>
        <v>42396</v>
      </c>
      <c r="Z8" s="70">
        <v>4.58023011561741E-3</v>
      </c>
      <c r="AA8" s="77">
        <v>0.99884619718229084</v>
      </c>
      <c r="AB8" s="169">
        <v>42396</v>
      </c>
      <c r="AC8" s="170">
        <v>4.5802301155349803E-3</v>
      </c>
      <c r="AD8" s="172">
        <f t="shared" si="2"/>
        <v>8.2429722769727931E-14</v>
      </c>
      <c r="AE8" s="174">
        <v>0.99884619718229095</v>
      </c>
      <c r="AF8" s="173">
        <f t="shared" si="3"/>
        <v>0</v>
      </c>
      <c r="AG8" s="170"/>
    </row>
    <row r="9" spans="1:35" ht="11.25" customHeight="1" x14ac:dyDescent="0.2">
      <c r="A9" s="59" t="s">
        <v>69</v>
      </c>
      <c r="B9" s="60" t="s">
        <v>39</v>
      </c>
      <c r="C9" s="61">
        <v>0</v>
      </c>
      <c r="D9" s="62" t="str">
        <f t="shared" si="7"/>
        <v>Sonia</v>
      </c>
      <c r="E9" s="63" t="str">
        <f t="shared" si="6"/>
        <v>GBP3WOIS_LCHQuote</v>
      </c>
      <c r="F9" s="123"/>
      <c r="G9" s="64" t="str">
        <f>_xll.qlOISRateHelper(,C9,B9,E9,$D9,,Permanent,Trigger,ObjectOverwrite)</f>
        <v>obj_004de#0005</v>
      </c>
      <c r="H9" s="48"/>
      <c r="I9" s="10" t="str">
        <f t="shared" si="4"/>
        <v>OIS</v>
      </c>
      <c r="J9" s="94" t="str">
        <f t="shared" si="5"/>
        <v>obj_004b9#0005</v>
      </c>
      <c r="K9" s="146" t="str">
        <f>IFERROR(_xll.qlRateHelperQuoteName(J9,Trigger),"--")</f>
        <v>GBP2MOIS_LCHQuote</v>
      </c>
      <c r="L9" s="98">
        <f>IFERROR(_xll.qlRateHelperQuoteValue($J9,Trigger),"--")</f>
        <v>4.6059999999999999E-3</v>
      </c>
      <c r="M9" s="97" t="b">
        <v>1</v>
      </c>
      <c r="N9" s="94">
        <v>50</v>
      </c>
      <c r="O9" s="94">
        <v>1</v>
      </c>
      <c r="P9" s="99">
        <f>IFERROR(_xll.qlRateHelperEarliestDate(J9,Trigger),"--")</f>
        <v>42304</v>
      </c>
      <c r="Q9" s="99">
        <f>IFERROR(_xll.qlRateHelperPillarDate(J9,Trigger),"--")</f>
        <v>42367</v>
      </c>
      <c r="S9" s="4" t="str">
        <f t="shared" si="0"/>
        <v>OIS</v>
      </c>
      <c r="T9" s="4" t="str">
        <v>obj_0049f</v>
      </c>
      <c r="U9" s="4" t="str">
        <f>IFERROR(_xll.qlRateHelperQuoteName(T9,Trigger),"")</f>
        <v>GBP4MOIS_LCHQuote</v>
      </c>
      <c r="V9" s="70">
        <f>IFERROR(_xll.qlRateHelperRate(T9,Trigger),"")</f>
        <v>4.6493749999999999E-3</v>
      </c>
      <c r="W9" s="104" t="str">
        <f>IF(ISERROR(_xll.qlSwapRateHelperSpread($T9)),IF(ISERROR(_xll.qlFuturesRateHelperConvexityAdjustment($T9)),"",_xll.qlFuturesRateHelperConvexityAdjustment($T9)),_xll.qlSwapRateHelperSpread($T9))</f>
        <v/>
      </c>
      <c r="X9" s="5">
        <f>IFERROR(_xll.qlRateHelperEarliestDate(T9,Trigger),"")</f>
        <v>42304</v>
      </c>
      <c r="Y9" s="5">
        <f>IFERROR(_xll.qlRateHelperPillarDate(T9,Trigger),"")</f>
        <v>42429</v>
      </c>
      <c r="Z9" s="70">
        <v>4.6456774367947184E-3</v>
      </c>
      <c r="AA9" s="77">
        <v>0.99841027952282324</v>
      </c>
      <c r="AB9" s="169">
        <v>42429</v>
      </c>
      <c r="AC9" s="170">
        <v>4.6456774367947904E-3</v>
      </c>
      <c r="AD9" s="172">
        <f t="shared" si="2"/>
        <v>-7.1991024253037494E-17</v>
      </c>
      <c r="AE9" s="174">
        <v>0.99841027952282302</v>
      </c>
      <c r="AF9" s="173">
        <f t="shared" si="3"/>
        <v>0</v>
      </c>
      <c r="AG9" s="170"/>
    </row>
    <row r="10" spans="1:35" ht="11.25" customHeight="1" x14ac:dyDescent="0.2">
      <c r="A10" s="59" t="s">
        <v>69</v>
      </c>
      <c r="B10" s="60" t="s">
        <v>2</v>
      </c>
      <c r="C10" s="61">
        <v>0</v>
      </c>
      <c r="D10" s="62" t="str">
        <f t="shared" si="7"/>
        <v>Sonia</v>
      </c>
      <c r="E10" s="63" t="str">
        <f t="shared" si="6"/>
        <v>GBP1MOIS_LCHQuote</v>
      </c>
      <c r="F10" s="123"/>
      <c r="G10" s="64" t="str">
        <f>_xll.qlOISRateHelper(,C10,B10,E10,$D10,,Permanent,Trigger,ObjectOverwrite)</f>
        <v>obj_0051f#0005</v>
      </c>
      <c r="H10" s="48"/>
      <c r="I10" s="10" t="str">
        <f t="shared" si="4"/>
        <v>OIS</v>
      </c>
      <c r="J10" s="94" t="str">
        <f t="shared" si="5"/>
        <v>obj_0049d#0005</v>
      </c>
      <c r="K10" s="146" t="str">
        <f>IFERROR(_xll.qlRateHelperQuoteName(J10,Trigger),"--")</f>
        <v>GBP3MOIS_LCHQuote</v>
      </c>
      <c r="L10" s="98">
        <f>IFERROR(_xll.qlRateHelperQuoteValue($J10,Trigger),"--")</f>
        <v>4.5828750000000001E-3</v>
      </c>
      <c r="M10" s="97" t="b">
        <v>1</v>
      </c>
      <c r="N10" s="94">
        <v>50</v>
      </c>
      <c r="O10" s="94">
        <v>1</v>
      </c>
      <c r="P10" s="99">
        <f>IFERROR(_xll.qlRateHelperEarliestDate(J10,Trigger),"--")</f>
        <v>42304</v>
      </c>
      <c r="Q10" s="99">
        <f>IFERROR(_xll.qlRateHelperPillarDate(J10,Trigger),"--")</f>
        <v>42396</v>
      </c>
      <c r="S10" s="4" t="str">
        <f t="shared" si="0"/>
        <v>OIS</v>
      </c>
      <c r="T10" s="4" t="str">
        <v>obj_004d8</v>
      </c>
      <c r="U10" s="4" t="str">
        <f>IFERROR(_xll.qlRateHelperQuoteName(T10,Trigger),"")</f>
        <v>GBP5MOIS_LCHQuote</v>
      </c>
      <c r="V10" s="70">
        <f>IFERROR(_xll.qlRateHelperRate(T10,Trigger),"")</f>
        <v>4.6968333299999996E-3</v>
      </c>
      <c r="W10" s="104" t="str">
        <f>IF(ISERROR(_xll.qlSwapRateHelperSpread($T10)),IF(ISERROR(_xll.qlFuturesRateHelperConvexityAdjustment($T10)),"",_xll.qlFuturesRateHelperConvexityAdjustment($T10)),_xll.qlSwapRateHelperSpread($T10))</f>
        <v/>
      </c>
      <c r="X10" s="5">
        <f>IFERROR(_xll.qlRateHelperEarliestDate(T10,Trigger),"")</f>
        <v>42304</v>
      </c>
      <c r="Y10" s="5">
        <f>IFERROR(_xll.qlRateHelperPillarDate(T10,Trigger),"")</f>
        <v>42458</v>
      </c>
      <c r="Z10" s="70">
        <v>4.6921856643463867E-3</v>
      </c>
      <c r="AA10" s="77">
        <v>0.9980222416552933</v>
      </c>
      <c r="AB10" s="169">
        <v>42458</v>
      </c>
      <c r="AC10" s="170">
        <v>4.69218566434645E-3</v>
      </c>
      <c r="AD10" s="172">
        <f t="shared" si="2"/>
        <v>-6.3317406873153459E-17</v>
      </c>
      <c r="AE10" s="174">
        <v>0.99802224165529296</v>
      </c>
      <c r="AF10" s="173">
        <f t="shared" si="3"/>
        <v>0</v>
      </c>
      <c r="AG10" s="170"/>
    </row>
    <row r="11" spans="1:35" ht="11.25" customHeight="1" x14ac:dyDescent="0.2">
      <c r="A11" s="59" t="s">
        <v>69</v>
      </c>
      <c r="B11" s="60" t="s">
        <v>40</v>
      </c>
      <c r="C11" s="61">
        <v>0</v>
      </c>
      <c r="D11" s="62" t="str">
        <f t="shared" si="7"/>
        <v>Sonia</v>
      </c>
      <c r="E11" s="63" t="str">
        <f t="shared" si="6"/>
        <v>GBP2MOIS_LCHQuote</v>
      </c>
      <c r="F11" s="123"/>
      <c r="G11" s="64" t="str">
        <f>_xll.qlOISRateHelper(,C11,B11,E11,$D11,,Permanent,Trigger,ObjectOverwrite)</f>
        <v>obj_004b9#0005</v>
      </c>
      <c r="H11" s="48"/>
      <c r="I11" s="10" t="str">
        <f t="shared" si="4"/>
        <v>OIS</v>
      </c>
      <c r="J11" s="94" t="str">
        <f t="shared" si="5"/>
        <v>obj_0049f#0005</v>
      </c>
      <c r="K11" s="146" t="str">
        <f>IFERROR(_xll.qlRateHelperQuoteName(J11,Trigger),"--")</f>
        <v>GBP4MOIS_LCHQuote</v>
      </c>
      <c r="L11" s="98">
        <f>IFERROR(_xll.qlRateHelperQuoteValue($J11,Trigger),"--")</f>
        <v>4.6493749999999999E-3</v>
      </c>
      <c r="M11" s="97" t="b">
        <v>1</v>
      </c>
      <c r="N11" s="94">
        <v>50</v>
      </c>
      <c r="O11" s="94">
        <v>1</v>
      </c>
      <c r="P11" s="99">
        <f>IFERROR(_xll.qlRateHelperEarliestDate(J11,Trigger),"--")</f>
        <v>42304</v>
      </c>
      <c r="Q11" s="99">
        <f>IFERROR(_xll.qlRateHelperPillarDate(J11,Trigger),"--")</f>
        <v>42429</v>
      </c>
      <c r="S11" s="4" t="str">
        <f t="shared" si="0"/>
        <v>OIS</v>
      </c>
      <c r="T11" s="4" t="str">
        <v>obj_004fd</v>
      </c>
      <c r="U11" s="4" t="str">
        <f>IFERROR(_xll.qlRateHelperQuoteName(T11,Trigger),"")</f>
        <v>GBP6MOIS_LCHQuote</v>
      </c>
      <c r="V11" s="70">
        <f>IFERROR(_xll.qlRateHelperRate(T11,Trigger),"")</f>
        <v>4.7373750000000003E-3</v>
      </c>
      <c r="W11" s="104" t="str">
        <f>IF(ISERROR(_xll.qlSwapRateHelperSpread($T11)),IF(ISERROR(_xll.qlFuturesRateHelperConvexityAdjustment($T11)),"",_xll.qlFuturesRateHelperConvexityAdjustment($T11)),_xll.qlSwapRateHelperSpread($T11))</f>
        <v/>
      </c>
      <c r="X11" s="5">
        <f>IFERROR(_xll.qlRateHelperEarliestDate(T11,Trigger),"")</f>
        <v>42304</v>
      </c>
      <c r="Y11" s="5">
        <f>IFERROR(_xll.qlRateHelperPillarDate(T11,Trigger),"")</f>
        <v>42487</v>
      </c>
      <c r="Z11" s="70">
        <v>4.7317578405408041E-3</v>
      </c>
      <c r="AA11" s="77">
        <v>0.99763045104351711</v>
      </c>
      <c r="AB11" s="169">
        <v>42487</v>
      </c>
      <c r="AC11" s="170">
        <v>4.7317578405407798E-3</v>
      </c>
      <c r="AD11" s="172">
        <f t="shared" si="2"/>
        <v>2.4286128663675299E-17</v>
      </c>
      <c r="AE11" s="174">
        <v>0.997630451043517</v>
      </c>
      <c r="AF11" s="173">
        <f t="shared" si="3"/>
        <v>0</v>
      </c>
      <c r="AG11" s="170"/>
    </row>
    <row r="12" spans="1:35" ht="11.25" customHeight="1" x14ac:dyDescent="0.2">
      <c r="A12" s="59" t="s">
        <v>69</v>
      </c>
      <c r="B12" s="60" t="s">
        <v>0</v>
      </c>
      <c r="C12" s="61">
        <v>0</v>
      </c>
      <c r="D12" s="62" t="str">
        <f t="shared" si="7"/>
        <v>Sonia</v>
      </c>
      <c r="E12" s="63" t="str">
        <f t="shared" si="6"/>
        <v>GBP3MOIS_LCHQuote</v>
      </c>
      <c r="F12" s="123"/>
      <c r="G12" s="64" t="str">
        <f>_xll.qlOISRateHelper(,C12,B12,E12,$D12,,Permanent,Trigger,ObjectOverwrite)</f>
        <v>obj_0049d#0005</v>
      </c>
      <c r="H12" s="48"/>
      <c r="I12" s="10" t="str">
        <f t="shared" si="4"/>
        <v>OIS</v>
      </c>
      <c r="J12" s="94" t="str">
        <f t="shared" si="5"/>
        <v>obj_004d8#0005</v>
      </c>
      <c r="K12" s="146" t="str">
        <f>IFERROR(_xll.qlRateHelperQuoteName(J12,Trigger),"--")</f>
        <v>GBP5MOIS_LCHQuote</v>
      </c>
      <c r="L12" s="98">
        <f>IFERROR(_xll.qlRateHelperQuoteValue($J12,Trigger),"--")</f>
        <v>4.6968333299999996E-3</v>
      </c>
      <c r="M12" s="97" t="b">
        <v>1</v>
      </c>
      <c r="N12" s="94">
        <v>50</v>
      </c>
      <c r="O12" s="94">
        <v>1</v>
      </c>
      <c r="P12" s="99">
        <f>IFERROR(_xll.qlRateHelperEarliestDate(J12,Trigger),"--")</f>
        <v>42304</v>
      </c>
      <c r="Q12" s="99">
        <f>IFERROR(_xll.qlRateHelperPillarDate(J12,Trigger),"--")</f>
        <v>42458</v>
      </c>
      <c r="S12" s="4" t="str">
        <f t="shared" si="0"/>
        <v>OIS</v>
      </c>
      <c r="T12" s="4" t="str">
        <v>obj_0049c</v>
      </c>
      <c r="U12" s="4" t="str">
        <f>IFERROR(_xll.qlRateHelperQuoteName(T12,Trigger),"")</f>
        <v>GBP7MOIS_LCHQuote</v>
      </c>
      <c r="V12" s="70">
        <f>IFERROR(_xll.qlRateHelperRate(T12,Trigger),"")</f>
        <v>4.7903750000000004E-3</v>
      </c>
      <c r="W12" s="104" t="str">
        <f>IF(ISERROR(_xll.qlSwapRateHelperSpread($T12)),IF(ISERROR(_xll.qlFuturesRateHelperConvexityAdjustment($T12)),"",_xll.qlFuturesRateHelperConvexityAdjustment($T12)),_xll.qlSwapRateHelperSpread($T12))</f>
        <v/>
      </c>
      <c r="X12" s="5">
        <f>IFERROR(_xll.qlRateHelperEarliestDate(T12,Trigger),"")</f>
        <v>42304</v>
      </c>
      <c r="Y12" s="5">
        <f>IFERROR(_xll.qlRateHelperPillarDate(T12,Trigger),"")</f>
        <v>42517</v>
      </c>
      <c r="Z12" s="70">
        <v>4.7836917557295203E-3</v>
      </c>
      <c r="AA12" s="77">
        <v>0.99721231380892217</v>
      </c>
      <c r="AB12" s="169">
        <v>42517</v>
      </c>
      <c r="AC12" s="170">
        <v>4.7836917557293997E-3</v>
      </c>
      <c r="AD12" s="172">
        <f t="shared" si="2"/>
        <v>1.2056328158038809E-16</v>
      </c>
      <c r="AE12" s="174">
        <v>0.99721231380892195</v>
      </c>
      <c r="AF12" s="173">
        <f t="shared" si="3"/>
        <v>0</v>
      </c>
      <c r="AG12" s="170"/>
    </row>
    <row r="13" spans="1:35" ht="11.25" customHeight="1" x14ac:dyDescent="0.2">
      <c r="A13" s="59" t="s">
        <v>69</v>
      </c>
      <c r="B13" s="60" t="s">
        <v>41</v>
      </c>
      <c r="C13" s="61">
        <v>0</v>
      </c>
      <c r="D13" s="62" t="str">
        <f t="shared" si="7"/>
        <v>Sonia</v>
      </c>
      <c r="E13" s="63" t="str">
        <f t="shared" si="6"/>
        <v>GBP4MOIS_LCHQuote</v>
      </c>
      <c r="F13" s="123"/>
      <c r="G13" s="64" t="str">
        <f>_xll.qlOISRateHelper(,C13,B13,E13,$D13,,Permanent,Trigger,ObjectOverwrite)</f>
        <v>obj_0049f#0005</v>
      </c>
      <c r="H13" s="48"/>
      <c r="I13" s="10" t="str">
        <f t="shared" si="4"/>
        <v>OIS</v>
      </c>
      <c r="J13" s="94" t="str">
        <f t="shared" si="5"/>
        <v>obj_004fd#0005</v>
      </c>
      <c r="K13" s="146" t="str">
        <f>IFERROR(_xll.qlRateHelperQuoteName(J13,Trigger),"--")</f>
        <v>GBP6MOIS_LCHQuote</v>
      </c>
      <c r="L13" s="98">
        <f>IFERROR(_xll.qlRateHelperQuoteValue($J13,Trigger),"--")</f>
        <v>4.7373750000000003E-3</v>
      </c>
      <c r="M13" s="97" t="b">
        <v>1</v>
      </c>
      <c r="N13" s="94">
        <v>50</v>
      </c>
      <c r="O13" s="94">
        <v>1</v>
      </c>
      <c r="P13" s="99">
        <f>IFERROR(_xll.qlRateHelperEarliestDate(J13,Trigger),"--")</f>
        <v>42304</v>
      </c>
      <c r="Q13" s="99">
        <f>IFERROR(_xll.qlRateHelperPillarDate(J13,Trigger),"--")</f>
        <v>42487</v>
      </c>
      <c r="S13" s="4" t="str">
        <f t="shared" si="0"/>
        <v>OIS</v>
      </c>
      <c r="T13" s="4" t="str">
        <v>obj_00509</v>
      </c>
      <c r="U13" s="4" t="str">
        <f>IFERROR(_xll.qlRateHelperQuoteName(T13,Trigger),"")</f>
        <v>GBP8MOIS_LCHQuote</v>
      </c>
      <c r="V13" s="70">
        <f>IFERROR(_xll.qlRateHelperRate(T13,Trigger),"")</f>
        <v>4.8326875000000002E-3</v>
      </c>
      <c r="W13" s="104" t="str">
        <f>IF(ISERROR(_xll.qlSwapRateHelperSpread($T13)),IF(ISERROR(_xll.qlFuturesRateHelperConvexityAdjustment($T13)),"",_xll.qlFuturesRateHelperConvexityAdjustment($T13)),_xll.qlSwapRateHelperSpread($T13))</f>
        <v/>
      </c>
      <c r="X13" s="5">
        <f>IFERROR(_xll.qlRateHelperEarliestDate(T13,Trigger),"")</f>
        <v>42304</v>
      </c>
      <c r="Y13" s="5">
        <f>IFERROR(_xll.qlRateHelperPillarDate(T13,Trigger),"")</f>
        <v>42548</v>
      </c>
      <c r="Z13" s="70">
        <v>4.8248979873158383E-3</v>
      </c>
      <c r="AA13" s="77">
        <v>0.99677978479364682</v>
      </c>
      <c r="AB13" s="169">
        <v>42548</v>
      </c>
      <c r="AC13" s="170">
        <v>4.8248979873158999E-3</v>
      </c>
      <c r="AD13" s="172">
        <f t="shared" si="2"/>
        <v>-6.1582683397176652E-17</v>
      </c>
      <c r="AE13" s="174">
        <v>0.99677978479364704</v>
      </c>
      <c r="AF13" s="173">
        <f t="shared" si="3"/>
        <v>0</v>
      </c>
      <c r="AG13" s="170"/>
    </row>
    <row r="14" spans="1:35" ht="11.25" customHeight="1" x14ac:dyDescent="0.2">
      <c r="A14" s="59" t="s">
        <v>69</v>
      </c>
      <c r="B14" s="60" t="s">
        <v>42</v>
      </c>
      <c r="C14" s="61">
        <v>0</v>
      </c>
      <c r="D14" s="62" t="str">
        <f t="shared" si="7"/>
        <v>Sonia</v>
      </c>
      <c r="E14" s="63" t="str">
        <f t="shared" si="6"/>
        <v>GBP5MOIS_LCHQuote</v>
      </c>
      <c r="F14" s="123"/>
      <c r="G14" s="64" t="str">
        <f>_xll.qlOISRateHelper(,C14,B14,E14,$D14,,Permanent,Trigger,ObjectOverwrite)</f>
        <v>obj_004d8#0005</v>
      </c>
      <c r="H14" s="48"/>
      <c r="I14" s="10" t="str">
        <f t="shared" si="4"/>
        <v>OIS</v>
      </c>
      <c r="J14" s="94" t="str">
        <f t="shared" si="5"/>
        <v>obj_0049c#0005</v>
      </c>
      <c r="K14" s="146" t="str">
        <f>IFERROR(_xll.qlRateHelperQuoteName(J14,Trigger),"--")</f>
        <v>GBP7MOIS_LCHQuote</v>
      </c>
      <c r="L14" s="98">
        <f>IFERROR(_xll.qlRateHelperQuoteValue($J14,Trigger),"--")</f>
        <v>4.7903750000000004E-3</v>
      </c>
      <c r="M14" s="97" t="b">
        <v>1</v>
      </c>
      <c r="N14" s="94">
        <v>50</v>
      </c>
      <c r="O14" s="94">
        <v>1</v>
      </c>
      <c r="P14" s="99">
        <f>IFERROR(_xll.qlRateHelperEarliestDate(J14,Trigger),"--")</f>
        <v>42304</v>
      </c>
      <c r="Q14" s="99">
        <f>IFERROR(_xll.qlRateHelperPillarDate(J14,Trigger),"--")</f>
        <v>42517</v>
      </c>
      <c r="S14" s="4" t="str">
        <f t="shared" si="0"/>
        <v>OIS</v>
      </c>
      <c r="T14" s="4" t="str">
        <v>obj_00519</v>
      </c>
      <c r="U14" s="4" t="str">
        <f>IFERROR(_xll.qlRateHelperQuoteName(T14,Trigger),"")</f>
        <v>GBP9MOIS_LCHQuote</v>
      </c>
      <c r="V14" s="70">
        <f>IFERROR(_xll.qlRateHelperRate(T14,Trigger),"")</f>
        <v>4.8836875E-3</v>
      </c>
      <c r="W14" s="104" t="str">
        <f>IF(ISERROR(_xll.qlSwapRateHelperSpread($T14)),IF(ISERROR(_xll.qlFuturesRateHelperConvexityAdjustment($T14)),"",_xll.qlFuturesRateHelperConvexityAdjustment($T14)),_xll.qlSwapRateHelperSpread($T14))</f>
        <v/>
      </c>
      <c r="X14" s="5">
        <f>IFERROR(_xll.qlRateHelperEarliestDate(T14,Trigger),"")</f>
        <v>42304</v>
      </c>
      <c r="Y14" s="5">
        <f>IFERROR(_xll.qlRateHelperPillarDate(T14,Trigger),"")</f>
        <v>42578</v>
      </c>
      <c r="Z14" s="70">
        <v>4.8747572502384883E-3</v>
      </c>
      <c r="AA14" s="77">
        <v>0.99634728065672484</v>
      </c>
      <c r="AB14" s="169">
        <v>42578</v>
      </c>
      <c r="AC14" s="170">
        <v>4.8747572502383799E-3</v>
      </c>
      <c r="AD14" s="172">
        <f t="shared" si="2"/>
        <v>1.0842021724855044E-16</v>
      </c>
      <c r="AE14" s="174">
        <v>0.99634728065672495</v>
      </c>
      <c r="AF14" s="173">
        <f t="shared" si="3"/>
        <v>0</v>
      </c>
      <c r="AG14" s="170"/>
    </row>
    <row r="15" spans="1:35" ht="11.25" customHeight="1" x14ac:dyDescent="0.2">
      <c r="A15" s="59" t="s">
        <v>69</v>
      </c>
      <c r="B15" s="60" t="s">
        <v>3</v>
      </c>
      <c r="C15" s="61">
        <v>0</v>
      </c>
      <c r="D15" s="62" t="str">
        <f t="shared" si="7"/>
        <v>Sonia</v>
      </c>
      <c r="E15" s="63" t="str">
        <f t="shared" si="6"/>
        <v>GBP6MOIS_LCHQuote</v>
      </c>
      <c r="F15" s="123"/>
      <c r="G15" s="64" t="str">
        <f>_xll.qlOISRateHelper(,C15,B15,E15,$D15,,Permanent,Trigger,ObjectOverwrite)</f>
        <v>obj_004fd#0005</v>
      </c>
      <c r="H15" s="48"/>
      <c r="I15" s="10" t="str">
        <f t="shared" si="4"/>
        <v>OIS</v>
      </c>
      <c r="J15" s="94" t="str">
        <f t="shared" si="5"/>
        <v>obj_00509#0005</v>
      </c>
      <c r="K15" s="146" t="str">
        <f>IFERROR(_xll.qlRateHelperQuoteName(J15,Trigger),"--")</f>
        <v>GBP8MOIS_LCHQuote</v>
      </c>
      <c r="L15" s="98">
        <f>IFERROR(_xll.qlRateHelperQuoteValue($J15,Trigger),"--")</f>
        <v>4.8326875000000002E-3</v>
      </c>
      <c r="M15" s="97" t="b">
        <v>1</v>
      </c>
      <c r="N15" s="94">
        <v>50</v>
      </c>
      <c r="O15" s="94">
        <v>1</v>
      </c>
      <c r="P15" s="99">
        <f>IFERROR(_xll.qlRateHelperEarliestDate(J15,Trigger),"--")</f>
        <v>42304</v>
      </c>
      <c r="Q15" s="99">
        <f>IFERROR(_xll.qlRateHelperPillarDate(J15,Trigger),"--")</f>
        <v>42548</v>
      </c>
      <c r="S15" s="4" t="str">
        <f t="shared" si="0"/>
        <v>OIS</v>
      </c>
      <c r="T15" s="4" t="str">
        <v>obj_004cb</v>
      </c>
      <c r="U15" s="4" t="str">
        <f>IFERROR(_xll.qlRateHelperQuoteName(T15,Trigger),"")</f>
        <v>GBP10MOIS_LCHQuote</v>
      </c>
      <c r="V15" s="70">
        <f>IFERROR(_xll.qlRateHelperRate(T15,Trigger),"")</f>
        <v>4.9329999999999999E-3</v>
      </c>
      <c r="W15" s="104" t="str">
        <f>IF(ISERROR(_xll.qlSwapRateHelperSpread($T15)),IF(ISERROR(_xll.qlFuturesRateHelperConvexityAdjustment($T15)),"",_xll.qlFuturesRateHelperConvexityAdjustment($T15)),_xll.qlSwapRateHelperSpread($T15))</f>
        <v/>
      </c>
      <c r="X15" s="5">
        <f>IFERROR(_xll.qlRateHelperEarliestDate(T15,Trigger),"")</f>
        <v>42304</v>
      </c>
      <c r="Y15" s="5">
        <f>IFERROR(_xll.qlRateHelperPillarDate(T15,Trigger),"")</f>
        <v>42612</v>
      </c>
      <c r="Z15" s="70">
        <v>4.9227612493987207E-3</v>
      </c>
      <c r="AA15" s="77">
        <v>0.99585461465550285</v>
      </c>
      <c r="AB15" s="169">
        <v>42612</v>
      </c>
      <c r="AC15" s="170">
        <v>4.9227612493985204E-3</v>
      </c>
      <c r="AD15" s="172">
        <f t="shared" si="2"/>
        <v>2.0036056147532122E-16</v>
      </c>
      <c r="AE15" s="174">
        <v>0.99585461465550296</v>
      </c>
      <c r="AF15" s="173">
        <f t="shared" si="3"/>
        <v>0</v>
      </c>
      <c r="AG15" s="170"/>
    </row>
    <row r="16" spans="1:35" ht="11.25" customHeight="1" x14ac:dyDescent="0.2">
      <c r="A16" s="59" t="s">
        <v>69</v>
      </c>
      <c r="B16" s="60" t="s">
        <v>43</v>
      </c>
      <c r="C16" s="61">
        <v>0</v>
      </c>
      <c r="D16" s="62" t="str">
        <f t="shared" si="7"/>
        <v>Sonia</v>
      </c>
      <c r="E16" s="63" t="str">
        <f t="shared" si="6"/>
        <v>GBP7MOIS_LCHQuote</v>
      </c>
      <c r="F16" s="123"/>
      <c r="G16" s="64" t="str">
        <f>_xll.qlOISRateHelper(,C16,B16,E16,$D16,,Permanent,Trigger,ObjectOverwrite)</f>
        <v>obj_0049c#0005</v>
      </c>
      <c r="H16" s="48"/>
      <c r="I16" s="10" t="str">
        <f t="shared" si="4"/>
        <v>OIS</v>
      </c>
      <c r="J16" s="94" t="str">
        <f t="shared" si="5"/>
        <v>obj_00519#0005</v>
      </c>
      <c r="K16" s="146" t="str">
        <f>IFERROR(_xll.qlRateHelperQuoteName(J16,Trigger),"--")</f>
        <v>GBP9MOIS_LCHQuote</v>
      </c>
      <c r="L16" s="98">
        <f>IFERROR(_xll.qlRateHelperQuoteValue($J16,Trigger),"--")</f>
        <v>4.8836875E-3</v>
      </c>
      <c r="M16" s="97" t="b">
        <v>1</v>
      </c>
      <c r="N16" s="94">
        <v>50</v>
      </c>
      <c r="O16" s="94">
        <v>1</v>
      </c>
      <c r="P16" s="99">
        <f>IFERROR(_xll.qlRateHelperEarliestDate(J16,Trigger),"--")</f>
        <v>42304</v>
      </c>
      <c r="Q16" s="99">
        <f>IFERROR(_xll.qlRateHelperPillarDate(J16,Trigger),"--")</f>
        <v>42578</v>
      </c>
      <c r="S16" s="4" t="str">
        <f t="shared" si="0"/>
        <v>OIS</v>
      </c>
      <c r="T16" s="4" t="str">
        <v>obj_004ba</v>
      </c>
      <c r="U16" s="4" t="str">
        <f>IFERROR(_xll.qlRateHelperQuoteName(T16,Trigger),"")</f>
        <v>GBP11MOIS_LCHQuote</v>
      </c>
      <c r="V16" s="70">
        <f>IFERROR(_xll.qlRateHelperRate(T16,Trigger),"")</f>
        <v>5.0534999999999998E-3</v>
      </c>
      <c r="W16" s="104" t="str">
        <f>IF(ISERROR(_xll.qlSwapRateHelperSpread($T16)),IF(ISERROR(_xll.qlFuturesRateHelperConvexityAdjustment($T16)),"",_xll.qlFuturesRateHelperConvexityAdjustment($T16)),_xll.qlSwapRateHelperSpread($T16))</f>
        <v/>
      </c>
      <c r="X16" s="5">
        <f>IFERROR(_xll.qlRateHelperEarliestDate(T16,Trigger),"")</f>
        <v>42304</v>
      </c>
      <c r="Y16" s="5">
        <f>IFERROR(_xll.qlRateHelperPillarDate(T16,Trigger),"")</f>
        <v>42640</v>
      </c>
      <c r="Z16" s="70">
        <v>5.041781914233461E-3</v>
      </c>
      <c r="AA16" s="77">
        <v>0.99536955175340325</v>
      </c>
      <c r="AB16" s="169">
        <v>42640</v>
      </c>
      <c r="AC16" s="170">
        <v>5.0417819142411996E-3</v>
      </c>
      <c r="AD16" s="172">
        <f t="shared" si="2"/>
        <v>-7.7386014263325364E-15</v>
      </c>
      <c r="AE16" s="174">
        <v>0.99536955175340303</v>
      </c>
      <c r="AF16" s="173">
        <f t="shared" si="3"/>
        <v>0</v>
      </c>
      <c r="AG16" s="170"/>
    </row>
    <row r="17" spans="1:33" ht="11.25" customHeight="1" x14ac:dyDescent="0.2">
      <c r="A17" s="59" t="s">
        <v>69</v>
      </c>
      <c r="B17" s="60" t="s">
        <v>44</v>
      </c>
      <c r="C17" s="61">
        <v>0</v>
      </c>
      <c r="D17" s="62" t="str">
        <f t="shared" si="7"/>
        <v>Sonia</v>
      </c>
      <c r="E17" s="63" t="str">
        <f t="shared" si="6"/>
        <v>GBP8MOIS_LCHQuote</v>
      </c>
      <c r="F17" s="123"/>
      <c r="G17" s="64" t="str">
        <f>_xll.qlOISRateHelper(,C17,B17,E17,$D17,,Permanent,Trigger,ObjectOverwrite)</f>
        <v>obj_00509#0005</v>
      </c>
      <c r="H17" s="48"/>
      <c r="I17" s="10" t="str">
        <f t="shared" si="4"/>
        <v>OIS</v>
      </c>
      <c r="J17" s="94" t="str">
        <f t="shared" si="5"/>
        <v>obj_004cb#0005</v>
      </c>
      <c r="K17" s="146" t="str">
        <f>IFERROR(_xll.qlRateHelperQuoteName(J17,Trigger),"--")</f>
        <v>GBP10MOIS_LCHQuote</v>
      </c>
      <c r="L17" s="98">
        <f>IFERROR(_xll.qlRateHelperQuoteValue($J17,Trigger),"--")</f>
        <v>4.9329999999999999E-3</v>
      </c>
      <c r="M17" s="97" t="b">
        <v>1</v>
      </c>
      <c r="N17" s="94">
        <v>50</v>
      </c>
      <c r="O17" s="94">
        <v>1</v>
      </c>
      <c r="P17" s="99">
        <f>IFERROR(_xll.qlRateHelperEarliestDate(J17,Trigger),"--")</f>
        <v>42304</v>
      </c>
      <c r="Q17" s="99">
        <f>IFERROR(_xll.qlRateHelperPillarDate(J17,Trigger),"--")</f>
        <v>42612</v>
      </c>
      <c r="S17" s="4" t="str">
        <f t="shared" si="0"/>
        <v>OIS</v>
      </c>
      <c r="T17" s="4" t="str">
        <v>obj_00520</v>
      </c>
      <c r="U17" s="4" t="str">
        <f>IFERROR(_xll.qlRateHelperQuoteName(T17,Trigger),"")</f>
        <v>GBP1YOIS_LCHQuote</v>
      </c>
      <c r="V17" s="70">
        <f>IFERROR(_xll.qlRateHelperRate(T17,Trigger),"")</f>
        <v>5.1168333299999999E-3</v>
      </c>
      <c r="W17" s="104" t="str">
        <f>IF(ISERROR(_xll.qlSwapRateHelperSpread($T17)),IF(ISERROR(_xll.qlFuturesRateHelperConvexityAdjustment($T17)),"",_xll.qlFuturesRateHelperConvexityAdjustment($T17)),_xll.qlSwapRateHelperSpread($T17))</f>
        <v/>
      </c>
      <c r="X17" s="5">
        <f>IFERROR(_xll.qlRateHelperEarliestDate(T17,Trigger),"")</f>
        <v>42304</v>
      </c>
      <c r="Y17" s="5">
        <f>IFERROR(_xll.qlRateHelperPillarDate(T17,Trigger),"")</f>
        <v>42670</v>
      </c>
      <c r="Z17" s="70">
        <v>5.1037512018344954E-3</v>
      </c>
      <c r="AA17" s="77">
        <v>0.99489533920784556</v>
      </c>
      <c r="AB17" s="169">
        <v>42670</v>
      </c>
      <c r="AC17" s="170">
        <v>5.1037512018345301E-3</v>
      </c>
      <c r="AD17" s="172">
        <f t="shared" si="2"/>
        <v>-3.4694469519536142E-17</v>
      </c>
      <c r="AE17" s="174">
        <v>0.99489533920784501</v>
      </c>
      <c r="AF17" s="173">
        <f t="shared" si="3"/>
        <v>0</v>
      </c>
      <c r="AG17" s="170"/>
    </row>
    <row r="18" spans="1:33" ht="11.25" customHeight="1" x14ac:dyDescent="0.2">
      <c r="A18" s="59" t="s">
        <v>69</v>
      </c>
      <c r="B18" s="60" t="s">
        <v>45</v>
      </c>
      <c r="C18" s="61">
        <v>0</v>
      </c>
      <c r="D18" s="62" t="str">
        <f t="shared" si="7"/>
        <v>Sonia</v>
      </c>
      <c r="E18" s="63" t="str">
        <f t="shared" si="6"/>
        <v>GBP9MOIS_LCHQuote</v>
      </c>
      <c r="F18" s="123"/>
      <c r="G18" s="64" t="str">
        <f>_xll.qlOISRateHelper(,C18,B18,E18,$D18,,Permanent,Trigger,ObjectOverwrite)</f>
        <v>obj_00519#0005</v>
      </c>
      <c r="H18" s="48"/>
      <c r="I18" s="10" t="str">
        <f t="shared" si="4"/>
        <v>OIS</v>
      </c>
      <c r="J18" s="94" t="str">
        <f t="shared" si="5"/>
        <v>obj_004ba#0005</v>
      </c>
      <c r="K18" s="146" t="str">
        <f>IFERROR(_xll.qlRateHelperQuoteName(J18,Trigger),"--")</f>
        <v>GBP11MOIS_LCHQuote</v>
      </c>
      <c r="L18" s="98">
        <f>IFERROR(_xll.qlRateHelperQuoteValue($J18,Trigger),"--")</f>
        <v>5.0534999999999998E-3</v>
      </c>
      <c r="M18" s="97" t="b">
        <v>1</v>
      </c>
      <c r="N18" s="94">
        <v>50</v>
      </c>
      <c r="O18" s="94">
        <v>1</v>
      </c>
      <c r="P18" s="99">
        <f>IFERROR(_xll.qlRateHelperEarliestDate(J18,Trigger),"--")</f>
        <v>42304</v>
      </c>
      <c r="Q18" s="99">
        <f>IFERROR(_xll.qlRateHelperPillarDate(J18,Trigger),"--")</f>
        <v>42640</v>
      </c>
      <c r="S18" s="4" t="str">
        <f t="shared" si="0"/>
        <v>OIS</v>
      </c>
      <c r="T18" s="4" t="str">
        <v>obj_00514</v>
      </c>
      <c r="U18" s="4" t="str">
        <f>IFERROR(_xll.qlRateHelperQuoteName(T18,Trigger),"")</f>
        <v>GBP15MOIS_LCHQuote</v>
      </c>
      <c r="V18" s="70">
        <f>IFERROR(_xll.qlRateHelperRate(T18,Trigger),"")</f>
        <v>5.3730000000000002E-3</v>
      </c>
      <c r="W18" s="104" t="str">
        <f>IF(ISERROR(_xll.qlSwapRateHelperSpread($T18)),IF(ISERROR(_xll.qlFuturesRateHelperConvexityAdjustment($T18)),"",_xll.qlFuturesRateHelperConvexityAdjustment($T18)),_xll.qlSwapRateHelperSpread($T18))</f>
        <v/>
      </c>
      <c r="X18" s="5">
        <f>IFERROR(_xll.qlRateHelperEarliestDate(T18,Trigger),"")</f>
        <v>42304</v>
      </c>
      <c r="Y18" s="5">
        <f>IFERROR(_xll.qlRateHelperPillarDate(T18,Trigger),"")</f>
        <v>42762</v>
      </c>
      <c r="Z18" s="70">
        <v>5.3609592499272093E-3</v>
      </c>
      <c r="AA18" s="77">
        <v>0.99329567266743624</v>
      </c>
      <c r="AB18" s="169">
        <v>42762</v>
      </c>
      <c r="AC18" s="170">
        <v>5.3609592499286101E-3</v>
      </c>
      <c r="AD18" s="172">
        <f t="shared" si="2"/>
        <v>-1.4007892068512717E-15</v>
      </c>
      <c r="AE18" s="174">
        <v>0.993295672667318</v>
      </c>
      <c r="AF18" s="173">
        <f t="shared" si="3"/>
        <v>1.1823875212257917E-13</v>
      </c>
      <c r="AG18" s="170"/>
    </row>
    <row r="19" spans="1:33" ht="11.25" customHeight="1" x14ac:dyDescent="0.2">
      <c r="A19" s="59" t="s">
        <v>69</v>
      </c>
      <c r="B19" s="60" t="s">
        <v>46</v>
      </c>
      <c r="C19" s="61">
        <v>0</v>
      </c>
      <c r="D19" s="62" t="str">
        <f t="shared" si="7"/>
        <v>Sonia</v>
      </c>
      <c r="E19" s="63" t="str">
        <f t="shared" si="6"/>
        <v>GBP10MOIS_LCHQuote</v>
      </c>
      <c r="F19" s="123"/>
      <c r="G19" s="64" t="str">
        <f>_xll.qlOISRateHelper(,C19,B19,E19,$D19,,Permanent,Trigger,ObjectOverwrite)</f>
        <v>obj_004cb#0005</v>
      </c>
      <c r="H19" s="48"/>
      <c r="I19" s="10" t="str">
        <f t="shared" si="4"/>
        <v>OIS</v>
      </c>
      <c r="J19" s="94" t="str">
        <f t="shared" si="5"/>
        <v>obj_00520#0005</v>
      </c>
      <c r="K19" s="146" t="str">
        <f>IFERROR(_xll.qlRateHelperQuoteName(J19,Trigger),"--")</f>
        <v>GBP1YOIS_LCHQuote</v>
      </c>
      <c r="L19" s="98">
        <f>IFERROR(_xll.qlRateHelperQuoteValue($J19,Trigger),"--")</f>
        <v>5.1168333299999999E-3</v>
      </c>
      <c r="M19" s="97" t="b">
        <v>1</v>
      </c>
      <c r="N19" s="94">
        <v>50</v>
      </c>
      <c r="O19" s="94">
        <v>1</v>
      </c>
      <c r="P19" s="99">
        <f>IFERROR(_xll.qlRateHelperEarliestDate(J19,Trigger),"--")</f>
        <v>42304</v>
      </c>
      <c r="Q19" s="99">
        <f>IFERROR(_xll.qlRateHelperPillarDate(J19,Trigger),"--")</f>
        <v>42670</v>
      </c>
      <c r="S19" s="4" t="str">
        <f t="shared" si="0"/>
        <v>OIS</v>
      </c>
      <c r="T19" s="4" t="str">
        <v>obj_004eb</v>
      </c>
      <c r="U19" s="4" t="str">
        <f>IFERROR(_xll.qlRateHelperQuoteName(T19,Trigger),"")</f>
        <v>GBP18MOIS_LCHQuote</v>
      </c>
      <c r="V19" s="70">
        <f>IFERROR(_xll.qlRateHelperRate(T19,Trigger),"")</f>
        <v>5.6690000000000004E-3</v>
      </c>
      <c r="W19" s="104" t="str">
        <f>IF(ISERROR(_xll.qlSwapRateHelperSpread($T19)),IF(ISERROR(_xll.qlFuturesRateHelperConvexityAdjustment($T19)),"",_xll.qlFuturesRateHelperConvexityAdjustment($T19)),_xll.qlSwapRateHelperSpread($T19))</f>
        <v/>
      </c>
      <c r="X19" s="5">
        <f>IFERROR(_xll.qlRateHelperEarliestDate(T19,Trigger),"")</f>
        <v>42304</v>
      </c>
      <c r="Y19" s="5">
        <f>IFERROR(_xll.qlRateHelperPillarDate(T19,Trigger),"")</f>
        <v>42852</v>
      </c>
      <c r="Z19" s="70">
        <v>5.6565344088851787E-3</v>
      </c>
      <c r="AA19" s="77">
        <v>0.99154340954582598</v>
      </c>
      <c r="AB19" s="169">
        <v>42852</v>
      </c>
      <c r="AC19" s="170">
        <v>5.6565344088850902E-3</v>
      </c>
      <c r="AD19" s="172">
        <f t="shared" si="2"/>
        <v>8.8470897274817162E-17</v>
      </c>
      <c r="AE19" s="174">
        <v>0.99154340954571096</v>
      </c>
      <c r="AF19" s="173">
        <f t="shared" si="3"/>
        <v>1.1501910535116622E-13</v>
      </c>
      <c r="AG19" s="170"/>
    </row>
    <row r="20" spans="1:33" ht="11.25" customHeight="1" x14ac:dyDescent="0.2">
      <c r="A20" s="59" t="s">
        <v>69</v>
      </c>
      <c r="B20" s="60" t="s">
        <v>47</v>
      </c>
      <c r="C20" s="61">
        <v>0</v>
      </c>
      <c r="D20" s="62" t="str">
        <f t="shared" si="7"/>
        <v>Sonia</v>
      </c>
      <c r="E20" s="63" t="str">
        <f t="shared" si="6"/>
        <v>GBP11MOIS_LCHQuote</v>
      </c>
      <c r="F20" s="123"/>
      <c r="G20" s="64" t="str">
        <f>_xll.qlOISRateHelper(,C20,B20,E20,$D20,,Permanent,Trigger,ObjectOverwrite)</f>
        <v>obj_004ba#0005</v>
      </c>
      <c r="H20" s="48"/>
      <c r="I20" s="10" t="str">
        <f t="shared" si="4"/>
        <v>OIS</v>
      </c>
      <c r="J20" s="94" t="str">
        <f t="shared" si="5"/>
        <v>obj_00514#0005</v>
      </c>
      <c r="K20" s="146" t="str">
        <f>IFERROR(_xll.qlRateHelperQuoteName(J20,Trigger),"--")</f>
        <v>GBP15MOIS_LCHQuote</v>
      </c>
      <c r="L20" s="98">
        <f>IFERROR(_xll.qlRateHelperQuoteValue($J20,Trigger),"--")</f>
        <v>5.3730000000000002E-3</v>
      </c>
      <c r="M20" s="97" t="b">
        <v>1</v>
      </c>
      <c r="N20" s="94">
        <v>50</v>
      </c>
      <c r="O20" s="94">
        <v>1</v>
      </c>
      <c r="P20" s="99">
        <f>IFERROR(_xll.qlRateHelperEarliestDate(J20,Trigger),"--")</f>
        <v>42304</v>
      </c>
      <c r="Q20" s="99">
        <f>IFERROR(_xll.qlRateHelperPillarDate(J20,Trigger),"--")</f>
        <v>42762</v>
      </c>
      <c r="S20" s="4" t="str">
        <f t="shared" si="0"/>
        <v>OIS</v>
      </c>
      <c r="T20" s="4" t="str">
        <v>obj_004af</v>
      </c>
      <c r="U20" s="4" t="str">
        <f>IFERROR(_xll.qlRateHelperQuoteName(T20,Trigger),"")</f>
        <v>GBP21MOIS_LCHQuote</v>
      </c>
      <c r="V20" s="70">
        <f>IFERROR(_xll.qlRateHelperRate(T20,Trigger),"")</f>
        <v>5.9922500000000002E-3</v>
      </c>
      <c r="W20" s="104" t="str">
        <f>IF(ISERROR(_xll.qlSwapRateHelperSpread($T20)),IF(ISERROR(_xll.qlFuturesRateHelperConvexityAdjustment($T20)),"",_xll.qlFuturesRateHelperConvexityAdjustment($T20)),_xll.qlSwapRateHelperSpread($T20))</f>
        <v/>
      </c>
      <c r="X20" s="5">
        <f>IFERROR(_xll.qlRateHelperEarliestDate(T20,Trigger),"")</f>
        <v>42304</v>
      </c>
      <c r="Y20" s="5">
        <f>IFERROR(_xll.qlRateHelperPillarDate(T20,Trigger),"")</f>
        <v>42943</v>
      </c>
      <c r="Z20" s="70">
        <v>5.9784042885358598E-3</v>
      </c>
      <c r="AA20" s="77">
        <v>0.9895882788527347</v>
      </c>
      <c r="AB20" s="169">
        <v>42943</v>
      </c>
      <c r="AC20" s="170">
        <v>5.9784042885360298E-3</v>
      </c>
      <c r="AD20" s="172">
        <f t="shared" si="2"/>
        <v>-1.700029006457271E-16</v>
      </c>
      <c r="AE20" s="174">
        <v>0.98958827885262302</v>
      </c>
      <c r="AF20" s="173">
        <f t="shared" si="3"/>
        <v>1.1168843627729075E-13</v>
      </c>
      <c r="AG20" s="170"/>
    </row>
    <row r="21" spans="1:33" ht="11.25" customHeight="1" x14ac:dyDescent="0.2">
      <c r="A21" s="59" t="s">
        <v>69</v>
      </c>
      <c r="B21" s="60" t="s">
        <v>27</v>
      </c>
      <c r="C21" s="61">
        <v>0</v>
      </c>
      <c r="D21" s="62" t="str">
        <f t="shared" si="7"/>
        <v>Sonia</v>
      </c>
      <c r="E21" s="63" t="str">
        <f t="shared" si="6"/>
        <v>GBP1YOIS_LCHQuote</v>
      </c>
      <c r="F21" s="123"/>
      <c r="G21" s="64" t="str">
        <f>_xll.qlOISRateHelper(,C21,B21,E21,$D21,,Permanent,Trigger,ObjectOverwrite)</f>
        <v>obj_00520#0005</v>
      </c>
      <c r="H21" s="48"/>
      <c r="I21" s="10" t="str">
        <f t="shared" si="4"/>
        <v>OIS</v>
      </c>
      <c r="J21" s="94" t="str">
        <f t="shared" si="5"/>
        <v>obj_004eb#0005</v>
      </c>
      <c r="K21" s="146" t="str">
        <f>IFERROR(_xll.qlRateHelperQuoteName(J21,Trigger),"--")</f>
        <v>GBP18MOIS_LCHQuote</v>
      </c>
      <c r="L21" s="98">
        <f>IFERROR(_xll.qlRateHelperQuoteValue($J21,Trigger),"--")</f>
        <v>5.6690000000000004E-3</v>
      </c>
      <c r="M21" s="97" t="b">
        <v>1</v>
      </c>
      <c r="N21" s="94">
        <v>50</v>
      </c>
      <c r="O21" s="94">
        <v>1</v>
      </c>
      <c r="P21" s="99">
        <f>IFERROR(_xll.qlRateHelperEarliestDate(J21,Trigger),"--")</f>
        <v>42304</v>
      </c>
      <c r="Q21" s="99">
        <f>IFERROR(_xll.qlRateHelperPillarDate(J21,Trigger),"--")</f>
        <v>42852</v>
      </c>
      <c r="S21" s="4" t="str">
        <f t="shared" si="0"/>
        <v>OIS</v>
      </c>
      <c r="T21" s="4" t="str">
        <v>obj_00503</v>
      </c>
      <c r="U21" s="4" t="str">
        <f>IFERROR(_xll.qlRateHelperQuoteName(T21,Trigger),"")</f>
        <v>GBP2YOIS_LCHQuote</v>
      </c>
      <c r="V21" s="70">
        <f>IFERROR(_xll.qlRateHelperRate(T21,Trigger),"")</f>
        <v>6.3499999999999997E-3</v>
      </c>
      <c r="W21" s="104" t="str">
        <f>IF(ISERROR(_xll.qlSwapRateHelperSpread($T21)),IF(ISERROR(_xll.qlFuturesRateHelperConvexityAdjustment($T21)),"",_xll.qlFuturesRateHelperConvexityAdjustment($T21)),_xll.qlSwapRateHelperSpread($T21))</f>
        <v/>
      </c>
      <c r="X21" s="5">
        <f>IFERROR(_xll.qlRateHelperEarliestDate(T21,Trigger),"")</f>
        <v>42304</v>
      </c>
      <c r="Y21" s="5">
        <f>IFERROR(_xll.qlRateHelperPillarDate(T21,Trigger),"")</f>
        <v>43035</v>
      </c>
      <c r="Z21" s="70">
        <v>6.3338076203983251E-3</v>
      </c>
      <c r="AA21" s="77">
        <v>0.98739514695979214</v>
      </c>
      <c r="AB21" s="169">
        <v>43035</v>
      </c>
      <c r="AC21" s="170">
        <v>6.3338076203985003E-3</v>
      </c>
      <c r="AD21" s="172">
        <f t="shared" si="2"/>
        <v>-1.7520707107365752E-16</v>
      </c>
      <c r="AE21" s="174">
        <v>0.98739514695967501</v>
      </c>
      <c r="AF21" s="173">
        <f t="shared" si="3"/>
        <v>1.1712852909795402E-13</v>
      </c>
      <c r="AG21" s="170"/>
    </row>
    <row r="22" spans="1:33" ht="11.25" customHeight="1" x14ac:dyDescent="0.2">
      <c r="A22" s="59" t="s">
        <v>69</v>
      </c>
      <c r="B22" s="60" t="s">
        <v>48</v>
      </c>
      <c r="C22" s="61">
        <v>0</v>
      </c>
      <c r="D22" s="62" t="str">
        <f t="shared" si="7"/>
        <v>Sonia</v>
      </c>
      <c r="E22" s="63" t="str">
        <f t="shared" si="6"/>
        <v>GBP15MOIS_LCHQuote</v>
      </c>
      <c r="F22" s="123"/>
      <c r="G22" s="64" t="str">
        <f>_xll.qlOISRateHelper(,C22,B22,E22,$D22,,Permanent,Trigger,ObjectOverwrite)</f>
        <v>obj_00514#0005</v>
      </c>
      <c r="I22" s="10" t="str">
        <f t="shared" si="4"/>
        <v>OIS</v>
      </c>
      <c r="J22" s="94" t="str">
        <f t="shared" si="5"/>
        <v>obj_004af#0005</v>
      </c>
      <c r="K22" s="146" t="str">
        <f>IFERROR(_xll.qlRateHelperQuoteName(J22,Trigger),"--")</f>
        <v>GBP21MOIS_LCHQuote</v>
      </c>
      <c r="L22" s="98">
        <f>IFERROR(_xll.qlRateHelperQuoteValue($J22,Trigger),"--")</f>
        <v>5.9922500000000002E-3</v>
      </c>
      <c r="M22" s="97" t="b">
        <v>1</v>
      </c>
      <c r="N22" s="94">
        <v>50</v>
      </c>
      <c r="O22" s="94">
        <v>1</v>
      </c>
      <c r="P22" s="99">
        <f>IFERROR(_xll.qlRateHelperEarliestDate(J22,Trigger),"--")</f>
        <v>42304</v>
      </c>
      <c r="Q22" s="99">
        <f>IFERROR(_xll.qlRateHelperPillarDate(J22,Trigger),"--")</f>
        <v>42943</v>
      </c>
      <c r="S22" s="4" t="str">
        <f t="shared" si="0"/>
        <v>BasSw</v>
      </c>
      <c r="T22" s="4" t="str">
        <v>obj_004d6</v>
      </c>
      <c r="U22" s="4" t="str">
        <f>IFERROR(_xll.qlRateHelperQuoteName(T22,Trigger),"")</f>
        <v>GBP6SONIA3L3Y_LCHQuote</v>
      </c>
      <c r="V22" s="70">
        <f>IFERROR(_xll.qlRateHelperRate(T22,Trigger),"")</f>
        <v>7.7307499999999998E-3</v>
      </c>
      <c r="W22" s="104" t="str">
        <f>IF(ISERROR(_xll.qlSwapRateHelperSpread($T22)),IF(ISERROR(_xll.qlFuturesRateHelperConvexityAdjustment($T22)),"",_xll.qlFuturesRateHelperConvexityAdjustment($T22)),_xll.qlSwapRateHelperSpread($T22))</f>
        <v/>
      </c>
      <c r="X22" s="5">
        <f>IFERROR(_xll.qlRateHelperEarliestDate(T22,Trigger),"")</f>
        <v>42304</v>
      </c>
      <c r="Y22" s="5">
        <f>IFERROR(_xll.qlRateHelperPillarDate(T22,Trigger),"")</f>
        <v>43402</v>
      </c>
      <c r="Z22" s="70">
        <v>7.7309785399012178E-3</v>
      </c>
      <c r="AA22" s="77">
        <v>0.97701188479482881</v>
      </c>
      <c r="AB22" s="169">
        <v>43402</v>
      </c>
      <c r="AC22" s="170">
        <v>7.7309785399009697E-3</v>
      </c>
      <c r="AD22" s="172">
        <f t="shared" si="2"/>
        <v>2.4806545706468341E-16</v>
      </c>
      <c r="AE22" s="174">
        <v>0.97701188479479395</v>
      </c>
      <c r="AF22" s="173">
        <f t="shared" si="3"/>
        <v>3.4861002973229915E-14</v>
      </c>
      <c r="AG22" s="170"/>
    </row>
    <row r="23" spans="1:33" ht="11.25" customHeight="1" x14ac:dyDescent="0.2">
      <c r="A23" s="59" t="s">
        <v>69</v>
      </c>
      <c r="B23" s="60" t="s">
        <v>49</v>
      </c>
      <c r="C23" s="61">
        <v>0</v>
      </c>
      <c r="D23" s="62" t="str">
        <f t="shared" si="7"/>
        <v>Sonia</v>
      </c>
      <c r="E23" s="63" t="str">
        <f t="shared" si="6"/>
        <v>GBP18MOIS_LCHQuote</v>
      </c>
      <c r="F23" s="123"/>
      <c r="G23" s="64" t="str">
        <f>_xll.qlOISRateHelper(,C23,B23,E23,$D23,,Permanent,Trigger,ObjectOverwrite)</f>
        <v>obj_004eb#0005</v>
      </c>
      <c r="I23" s="10" t="str">
        <f t="shared" si="4"/>
        <v>OIS</v>
      </c>
      <c r="J23" s="94" t="str">
        <f t="shared" si="5"/>
        <v>obj_00503#0005</v>
      </c>
      <c r="K23" s="146" t="str">
        <f>IFERROR(_xll.qlRateHelperQuoteName(J23,Trigger),"--")</f>
        <v>GBP2YOIS_LCHQuote</v>
      </c>
      <c r="L23" s="98">
        <f>IFERROR(_xll.qlRateHelperQuoteValue($J23,Trigger),"--")</f>
        <v>6.3499999999999997E-3</v>
      </c>
      <c r="M23" s="97" t="b">
        <v>1</v>
      </c>
      <c r="N23" s="94">
        <v>50</v>
      </c>
      <c r="O23" s="94">
        <v>1</v>
      </c>
      <c r="P23" s="99">
        <f>IFERROR(_xll.qlRateHelperEarliestDate(J23,Trigger),"--")</f>
        <v>42304</v>
      </c>
      <c r="Q23" s="99">
        <f>IFERROR(_xll.qlRateHelperPillarDate(J23,Trigger),"--")</f>
        <v>43035</v>
      </c>
      <c r="S23" s="4" t="str">
        <f t="shared" si="0"/>
        <v>BasSw</v>
      </c>
      <c r="T23" s="4" t="str">
        <v>obj_004c8</v>
      </c>
      <c r="U23" s="4" t="str">
        <f>IFERROR(_xll.qlRateHelperQuoteName(T23,Trigger),"")</f>
        <v>GBP6SONIA3L4Y_LCHQuote</v>
      </c>
      <c r="V23" s="70">
        <f>IFERROR(_xll.qlRateHelperRate(T23,Trigger),"")</f>
        <v>9.1140000000000995E-3</v>
      </c>
      <c r="W23" s="104" t="str">
        <f>IF(ISERROR(_xll.qlSwapRateHelperSpread($T23)),IF(ISERROR(_xll.qlFuturesRateHelperConvexityAdjustment($T23)),"",_xll.qlFuturesRateHelperConvexityAdjustment($T23)),_xll.qlSwapRateHelperSpread($T23))</f>
        <v/>
      </c>
      <c r="X23" s="5">
        <f>IFERROR(_xll.qlRateHelperEarliestDate(T23,Trigger),"")</f>
        <v>42304</v>
      </c>
      <c r="Y23" s="5">
        <f>IFERROR(_xll.qlRateHelperPillarDate(T23,Trigger),"")</f>
        <v>43766</v>
      </c>
      <c r="Z23" s="70">
        <v>9.1262402718954166E-3</v>
      </c>
      <c r="AA23" s="77">
        <v>0.96410517165814047</v>
      </c>
      <c r="AB23" s="169">
        <v>43766</v>
      </c>
      <c r="AC23" s="170">
        <v>9.1262402718920999E-3</v>
      </c>
      <c r="AD23" s="172">
        <f t="shared" si="2"/>
        <v>3.3167912860676552E-15</v>
      </c>
      <c r="AE23" s="174">
        <v>0.96410517165808995</v>
      </c>
      <c r="AF23" s="173">
        <f t="shared" si="3"/>
        <v>5.0515147620444623E-14</v>
      </c>
      <c r="AG23" s="170"/>
    </row>
    <row r="24" spans="1:33" ht="11.25" customHeight="1" x14ac:dyDescent="0.2">
      <c r="A24" s="59" t="s">
        <v>69</v>
      </c>
      <c r="B24" s="60" t="s">
        <v>50</v>
      </c>
      <c r="C24" s="61">
        <v>0</v>
      </c>
      <c r="D24" s="62" t="str">
        <f t="shared" si="7"/>
        <v>Sonia</v>
      </c>
      <c r="E24" s="63" t="str">
        <f t="shared" si="6"/>
        <v>GBP21MOIS_LCHQuote</v>
      </c>
      <c r="F24" s="123"/>
      <c r="G24" s="64" t="str">
        <f>_xll.qlOISRateHelper(,C24,B24,E24,$D24,,Permanent,Trigger,ObjectOverwrite)</f>
        <v>obj_004af#0005</v>
      </c>
      <c r="I24" s="10" t="str">
        <f t="shared" si="4"/>
        <v>OIS</v>
      </c>
      <c r="J24" s="94" t="str">
        <f t="shared" si="5"/>
        <v>obj_004fc#0005</v>
      </c>
      <c r="K24" s="146" t="str">
        <f>IFERROR(_xll.qlRateHelperQuoteName(J24,Trigger),"--")</f>
        <v>GBP3YOIS_LCHQuote</v>
      </c>
      <c r="L24" s="98" t="str">
        <f>IFERROR(_xll.qlRateHelperQuoteValue($J24,Trigger),"--")</f>
        <v>--</v>
      </c>
      <c r="M24" s="97" t="b">
        <v>0</v>
      </c>
      <c r="N24" s="94">
        <v>50</v>
      </c>
      <c r="O24" s="94">
        <v>1</v>
      </c>
      <c r="P24" s="99">
        <f>IFERROR(_xll.qlRateHelperEarliestDate(J24,Trigger),"--")</f>
        <v>42304</v>
      </c>
      <c r="Q24" s="99">
        <f>IFERROR(_xll.qlRateHelperPillarDate(J24,Trigger),"--")</f>
        <v>43402</v>
      </c>
      <c r="S24" s="4" t="str">
        <f t="shared" si="0"/>
        <v>BasSw</v>
      </c>
      <c r="T24" s="4" t="str">
        <v>obj_004e9</v>
      </c>
      <c r="U24" s="4" t="str">
        <f>IFERROR(_xll.qlRateHelperQuoteName(T24,Trigger),"")</f>
        <v>GBP6SONIA3L5Y_LCHQuote</v>
      </c>
      <c r="V24" s="70">
        <f>IFERROR(_xll.qlRateHelperRate(T24,Trigger),"")</f>
        <v>1.041425E-2</v>
      </c>
      <c r="W24" s="104" t="str">
        <f>IF(ISERROR(_xll.qlSwapRateHelperSpread($T24)),IF(ISERROR(_xll.qlFuturesRateHelperConvexityAdjustment($T24)),"",_xll.qlFuturesRateHelperConvexityAdjustment($T24)),_xll.qlSwapRateHelperSpread($T24))</f>
        <v/>
      </c>
      <c r="X24" s="5">
        <f>IFERROR(_xll.qlRateHelperEarliestDate(T24,Trigger),"")</f>
        <v>42304</v>
      </c>
      <c r="Y24" s="5">
        <f>IFERROR(_xll.qlRateHelperPillarDate(T24,Trigger),"")</f>
        <v>44131</v>
      </c>
      <c r="Z24" s="70">
        <v>1.0445258388567618E-2</v>
      </c>
      <c r="AA24" s="77">
        <v>0.94906015137194888</v>
      </c>
      <c r="AB24" s="169">
        <v>44131</v>
      </c>
      <c r="AC24" s="170">
        <v>1.0445258388782399E-2</v>
      </c>
      <c r="AD24" s="172">
        <f t="shared" si="2"/>
        <v>-2.1478131773111642E-13</v>
      </c>
      <c r="AE24" s="174">
        <v>0.94906015137198096</v>
      </c>
      <c r="AF24" s="173">
        <f t="shared" si="3"/>
        <v>-3.2085445411667024E-14</v>
      </c>
      <c r="AG24" s="170"/>
    </row>
    <row r="25" spans="1:33" ht="11.25" customHeight="1" x14ac:dyDescent="0.2">
      <c r="A25" s="59" t="s">
        <v>69</v>
      </c>
      <c r="B25" s="60" t="s">
        <v>51</v>
      </c>
      <c r="C25" s="61">
        <v>0</v>
      </c>
      <c r="D25" s="62" t="str">
        <f t="shared" si="7"/>
        <v>Sonia</v>
      </c>
      <c r="E25" s="63" t="str">
        <f t="shared" si="6"/>
        <v>GBP2YOIS_LCHQuote</v>
      </c>
      <c r="F25" s="123"/>
      <c r="G25" s="64" t="str">
        <f>_xll.qlOISRateHelper(,C25,B25,E25,$D25,,Permanent,Trigger,ObjectOverwrite)</f>
        <v>obj_00503#0005</v>
      </c>
      <c r="I25" s="10" t="str">
        <f t="shared" si="4"/>
        <v>OIS</v>
      </c>
      <c r="J25" s="94" t="str">
        <f t="shared" si="5"/>
        <v>obj_004e3#0005</v>
      </c>
      <c r="K25" s="146" t="str">
        <f>IFERROR(_xll.qlRateHelperQuoteName(J25,Trigger),"--")</f>
        <v>GBP4YOIS_LCHQuote</v>
      </c>
      <c r="L25" s="98" t="str">
        <f>IFERROR(_xll.qlRateHelperQuoteValue($J25,Trigger),"--")</f>
        <v>--</v>
      </c>
      <c r="M25" s="97" t="b">
        <v>0</v>
      </c>
      <c r="N25" s="94">
        <v>50</v>
      </c>
      <c r="O25" s="94">
        <v>1</v>
      </c>
      <c r="P25" s="99">
        <f>IFERROR(_xll.qlRateHelperEarliestDate(J25,Trigger),"--")</f>
        <v>42304</v>
      </c>
      <c r="Q25" s="99">
        <f>IFERROR(_xll.qlRateHelperPillarDate(J25,Trigger),"--")</f>
        <v>43766</v>
      </c>
      <c r="S25" s="4" t="str">
        <f t="shared" si="0"/>
        <v>BasSw</v>
      </c>
      <c r="T25" s="4" t="str">
        <v>obj_00498</v>
      </c>
      <c r="U25" s="4" t="str">
        <f>IFERROR(_xll.qlRateHelperQuoteName(T25,Trigger),"")</f>
        <v>GBP6SONIA3L6Y_LCHQuote</v>
      </c>
      <c r="V25" s="70">
        <f>IFERROR(_xll.qlRateHelperRate(T25,Trigger),"")</f>
        <v>1.1572000000000001E-2</v>
      </c>
      <c r="W25" s="104" t="str">
        <f>IF(ISERROR(_xll.qlSwapRateHelperSpread($T25)),IF(ISERROR(_xll.qlFuturesRateHelperConvexityAdjustment($T25)),"",_xll.qlFuturesRateHelperConvexityAdjustment($T25)),_xll.qlSwapRateHelperSpread($T25))</f>
        <v/>
      </c>
      <c r="X25" s="5">
        <f>IFERROR(_xll.qlRateHelperEarliestDate(T25,Trigger),"")</f>
        <v>42304</v>
      </c>
      <c r="Y25" s="5">
        <f>IFERROR(_xll.qlRateHelperPillarDate(T25,Trigger),"")</f>
        <v>44496</v>
      </c>
      <c r="Z25" s="70">
        <v>1.1627052172449803E-2</v>
      </c>
      <c r="AA25" s="77">
        <v>0.93255709161849454</v>
      </c>
      <c r="AB25" s="169">
        <v>44496</v>
      </c>
      <c r="AC25" s="170">
        <v>1.1627052172447701E-2</v>
      </c>
      <c r="AD25" s="172">
        <f t="shared" si="2"/>
        <v>2.1024848528838902E-15</v>
      </c>
      <c r="AE25" s="174">
        <v>0.93255709161852496</v>
      </c>
      <c r="AF25" s="173">
        <f t="shared" si="3"/>
        <v>-3.0420110874729289E-14</v>
      </c>
      <c r="AG25" s="170"/>
    </row>
    <row r="26" spans="1:33" ht="11.25" customHeight="1" x14ac:dyDescent="0.2">
      <c r="A26" s="59" t="s">
        <v>69</v>
      </c>
      <c r="B26" s="60" t="s">
        <v>52</v>
      </c>
      <c r="C26" s="61">
        <v>0</v>
      </c>
      <c r="D26" s="62" t="str">
        <f t="shared" si="7"/>
        <v>Sonia</v>
      </c>
      <c r="E26" s="63" t="str">
        <f t="shared" si="6"/>
        <v>GBP3YOIS_LCHQuote</v>
      </c>
      <c r="F26" s="123"/>
      <c r="G26" s="64" t="str">
        <f>_xll.qlOISRateHelper(,C26,B26,E26,$D26,,Permanent,Trigger,ObjectOverwrite)</f>
        <v>obj_004fc#0005</v>
      </c>
      <c r="I26" s="10" t="str">
        <f t="shared" si="4"/>
        <v>OIS</v>
      </c>
      <c r="J26" s="94" t="str">
        <f t="shared" si="5"/>
        <v>obj_00527#0005</v>
      </c>
      <c r="K26" s="146" t="str">
        <f>IFERROR(_xll.qlRateHelperQuoteName(J26,Trigger),"--")</f>
        <v>GBP5YOIS_LCHQuote</v>
      </c>
      <c r="L26" s="98" t="str">
        <f>IFERROR(_xll.qlRateHelperQuoteValue($J26,Trigger),"--")</f>
        <v>--</v>
      </c>
      <c r="M26" s="97" t="b">
        <v>0</v>
      </c>
      <c r="N26" s="94">
        <v>50</v>
      </c>
      <c r="O26" s="94">
        <v>1</v>
      </c>
      <c r="P26" s="99">
        <f>IFERROR(_xll.qlRateHelperEarliestDate(J26,Trigger),"--")</f>
        <v>42304</v>
      </c>
      <c r="Q26" s="99">
        <f>IFERROR(_xll.qlRateHelperPillarDate(J26,Trigger),"--")</f>
        <v>44131</v>
      </c>
      <c r="S26" s="4" t="str">
        <f t="shared" si="0"/>
        <v>BasSw</v>
      </c>
      <c r="T26" s="4" t="str">
        <v>obj_0049a</v>
      </c>
      <c r="U26" s="4" t="str">
        <f>IFERROR(_xll.qlRateHelperQuoteName(T26,Trigger),"")</f>
        <v>GBP6SONIA3L7Y_LCHQuote</v>
      </c>
      <c r="V26" s="70">
        <f>IFERROR(_xll.qlRateHelperRate(T26,Trigger),"")</f>
        <v>1.2550250000000001E-2</v>
      </c>
      <c r="W26" s="104" t="str">
        <f>IF(ISERROR(_xll.qlSwapRateHelperSpread($T26)),IF(ISERROR(_xll.qlFuturesRateHelperConvexityAdjustment($T26)),"",_xll.qlFuturesRateHelperConvexityAdjustment($T26)),_xll.qlSwapRateHelperSpread($T26))</f>
        <v/>
      </c>
      <c r="X26" s="5">
        <f>IFERROR(_xll.qlRateHelperEarliestDate(T26,Trigger),"")</f>
        <v>42304</v>
      </c>
      <c r="Y26" s="5">
        <f>IFERROR(_xll.qlRateHelperPillarDate(T26,Trigger),"")</f>
        <v>44861</v>
      </c>
      <c r="Z26" s="70">
        <v>1.2631595595126333E-2</v>
      </c>
      <c r="AA26" s="77">
        <v>0.91531390783842304</v>
      </c>
      <c r="AB26" s="169">
        <v>44861</v>
      </c>
      <c r="AC26" s="170">
        <v>1.2631595595124299E-2</v>
      </c>
      <c r="AD26" s="172">
        <f t="shared" si="2"/>
        <v>2.0330959138448179E-15</v>
      </c>
      <c r="AE26" s="174">
        <v>0.91531390783849398</v>
      </c>
      <c r="AF26" s="173">
        <f t="shared" si="3"/>
        <v>-7.0943251273547503E-14</v>
      </c>
      <c r="AG26" s="170"/>
    </row>
    <row r="27" spans="1:33" ht="11.25" customHeight="1" x14ac:dyDescent="0.2">
      <c r="A27" s="59" t="s">
        <v>69</v>
      </c>
      <c r="B27" s="60" t="s">
        <v>53</v>
      </c>
      <c r="C27" s="61">
        <v>0</v>
      </c>
      <c r="D27" s="62" t="str">
        <f t="shared" si="7"/>
        <v>Sonia</v>
      </c>
      <c r="E27" s="63" t="str">
        <f t="shared" si="6"/>
        <v>GBP4YOIS_LCHQuote</v>
      </c>
      <c r="F27" s="123"/>
      <c r="G27" s="64" t="str">
        <f>_xll.qlOISRateHelper(,C27,B27,E27,$D27,,Permanent,Trigger,ObjectOverwrite)</f>
        <v>obj_004e3#0005</v>
      </c>
      <c r="I27" s="10" t="str">
        <f t="shared" si="4"/>
        <v>OIS</v>
      </c>
      <c r="J27" s="94" t="str">
        <f t="shared" si="5"/>
        <v>obj_0050f#0005</v>
      </c>
      <c r="K27" s="146" t="str">
        <f>IFERROR(_xll.qlRateHelperQuoteName(J27,Trigger),"--")</f>
        <v>GBP6YOIS_LCHQuote</v>
      </c>
      <c r="L27" s="98" t="str">
        <f>IFERROR(_xll.qlRateHelperQuoteValue($J27,Trigger),"--")</f>
        <v>--</v>
      </c>
      <c r="M27" s="97" t="b">
        <v>0</v>
      </c>
      <c r="N27" s="94">
        <v>50</v>
      </c>
      <c r="O27" s="94">
        <v>1</v>
      </c>
      <c r="P27" s="99">
        <f>IFERROR(_xll.qlRateHelperEarliestDate(J27,Trigger),"--")</f>
        <v>42304</v>
      </c>
      <c r="Q27" s="99">
        <f>IFERROR(_xll.qlRateHelperPillarDate(J27,Trigger),"--")</f>
        <v>44496</v>
      </c>
      <c r="S27" s="4" t="str">
        <f t="shared" si="0"/>
        <v>BasSw</v>
      </c>
      <c r="T27" s="4" t="str">
        <v>obj_004bf</v>
      </c>
      <c r="U27" s="4" t="str">
        <f>IFERROR(_xll.qlRateHelperQuoteName(T27,Trigger),"")</f>
        <v>GBP6SONIA3L8Y_LCHQuote</v>
      </c>
      <c r="V27" s="70">
        <f>IFERROR(_xll.qlRateHelperRate(T27,Trigger),"")</f>
        <v>1.3366499999999899E-2</v>
      </c>
      <c r="W27" s="104" t="str">
        <f>IF(ISERROR(_xll.qlSwapRateHelperSpread($T27)),IF(ISERROR(_xll.qlFuturesRateHelperConvexityAdjustment($T27)),"",_xll.qlFuturesRateHelperConvexityAdjustment($T27)),_xll.qlSwapRateHelperSpread($T27))</f>
        <v/>
      </c>
      <c r="X27" s="5">
        <f>IFERROR(_xll.qlRateHelperEarliestDate(T27,Trigger),"")</f>
        <v>42304</v>
      </c>
      <c r="Y27" s="5">
        <f>IFERROR(_xll.qlRateHelperPillarDate(T27,Trigger),"")</f>
        <v>45226</v>
      </c>
      <c r="Z27" s="70">
        <v>1.3474488557961083E-2</v>
      </c>
      <c r="AA27" s="77">
        <v>0.89774721021245618</v>
      </c>
      <c r="AB27" s="169">
        <v>45226</v>
      </c>
      <c r="AC27" s="170">
        <v>1.3474488557959401E-2</v>
      </c>
      <c r="AD27" s="172">
        <f t="shared" si="2"/>
        <v>1.6826817716975029E-15</v>
      </c>
      <c r="AE27" s="174">
        <v>0.89774721021268999</v>
      </c>
      <c r="AF27" s="173">
        <f t="shared" si="3"/>
        <v>-2.3381296898605797E-13</v>
      </c>
      <c r="AG27" s="170"/>
    </row>
    <row r="28" spans="1:33" ht="11.25" customHeight="1" x14ac:dyDescent="0.2">
      <c r="A28" s="59" t="s">
        <v>69</v>
      </c>
      <c r="B28" s="60" t="s">
        <v>54</v>
      </c>
      <c r="C28" s="61">
        <v>0</v>
      </c>
      <c r="D28" s="62" t="str">
        <f t="shared" si="7"/>
        <v>Sonia</v>
      </c>
      <c r="E28" s="63" t="str">
        <f t="shared" si="6"/>
        <v>GBP5YOIS_LCHQuote</v>
      </c>
      <c r="F28" s="123"/>
      <c r="G28" s="64" t="str">
        <f>_xll.qlOISRateHelper(,C28,B28,E28,$D28,,Permanent,Trigger,ObjectOverwrite)</f>
        <v>obj_00527#0005</v>
      </c>
      <c r="I28" s="10" t="str">
        <f t="shared" si="4"/>
        <v>OIS</v>
      </c>
      <c r="J28" s="94" t="str">
        <f t="shared" si="5"/>
        <v>obj_0051a#0005</v>
      </c>
      <c r="K28" s="146" t="str">
        <f>IFERROR(_xll.qlRateHelperQuoteName(J28,Trigger),"--")</f>
        <v>GBP7YOIS_LCHQuote</v>
      </c>
      <c r="L28" s="98" t="str">
        <f>IFERROR(_xll.qlRateHelperQuoteValue($J28,Trigger),"--")</f>
        <v>--</v>
      </c>
      <c r="M28" s="97" t="b">
        <v>0</v>
      </c>
      <c r="N28" s="94">
        <v>50</v>
      </c>
      <c r="O28" s="94">
        <v>1</v>
      </c>
      <c r="P28" s="99">
        <f>IFERROR(_xll.qlRateHelperEarliestDate(J28,Trigger),"--")</f>
        <v>42304</v>
      </c>
      <c r="Q28" s="99">
        <f>IFERROR(_xll.qlRateHelperPillarDate(J28,Trigger),"--")</f>
        <v>44861</v>
      </c>
      <c r="S28" s="4" t="str">
        <f t="shared" si="0"/>
        <v>BasSw</v>
      </c>
      <c r="T28" s="4" t="str">
        <v>obj_004b7</v>
      </c>
      <c r="U28" s="4" t="str">
        <f>IFERROR(_xll.qlRateHelperQuoteName(T28,Trigger),"")</f>
        <v>GBP6SONIA3L9Y_LCHQuote</v>
      </c>
      <c r="V28" s="70">
        <f>IFERROR(_xll.qlRateHelperRate(T28,Trigger),"")</f>
        <v>1.4111000000000099E-2</v>
      </c>
      <c r="W28" s="104" t="str">
        <f>IF(ISERROR(_xll.qlSwapRateHelperSpread($T28)),IF(ISERROR(_xll.qlFuturesRateHelperConvexityAdjustment($T28)),"",_xll.qlFuturesRateHelperConvexityAdjustment($T28)),_xll.qlSwapRateHelperSpread($T28))</f>
        <v/>
      </c>
      <c r="X28" s="5">
        <f>IFERROR(_xll.qlRateHelperEarliestDate(T28,Trigger),"")</f>
        <v>42304</v>
      </c>
      <c r="Y28" s="5">
        <f>IFERROR(_xll.qlRateHelperPillarDate(T28,Trigger),"")</f>
        <v>45593</v>
      </c>
      <c r="Z28" s="70">
        <v>1.4248911315067414E-2</v>
      </c>
      <c r="AA28" s="77">
        <v>0.8795080589540677</v>
      </c>
      <c r="AB28" s="169">
        <v>45593</v>
      </c>
      <c r="AC28" s="170">
        <v>1.42489113150657E-2</v>
      </c>
      <c r="AD28" s="172">
        <f t="shared" si="2"/>
        <v>1.7139067942650854E-15</v>
      </c>
      <c r="AE28" s="174">
        <v>0.87950805895468798</v>
      </c>
      <c r="AF28" s="173">
        <f t="shared" si="3"/>
        <v>-6.2028160385807496E-13</v>
      </c>
      <c r="AG28" s="170"/>
    </row>
    <row r="29" spans="1:33" ht="11.25" customHeight="1" x14ac:dyDescent="0.2">
      <c r="A29" s="59" t="s">
        <v>69</v>
      </c>
      <c r="B29" s="60" t="s">
        <v>55</v>
      </c>
      <c r="C29" s="61">
        <v>0</v>
      </c>
      <c r="D29" s="62" t="str">
        <f t="shared" si="7"/>
        <v>Sonia</v>
      </c>
      <c r="E29" s="63" t="str">
        <f t="shared" si="6"/>
        <v>GBP6YOIS_LCHQuote</v>
      </c>
      <c r="F29" s="123"/>
      <c r="G29" s="64" t="str">
        <f>_xll.qlOISRateHelper(,C29,B29,E29,$D29,,Permanent,Trigger,ObjectOverwrite)</f>
        <v>obj_0050f#0005</v>
      </c>
      <c r="I29" s="10" t="str">
        <f t="shared" si="4"/>
        <v>OIS</v>
      </c>
      <c r="J29" s="94" t="str">
        <f t="shared" si="5"/>
        <v>obj_004f5#0005</v>
      </c>
      <c r="K29" s="146" t="str">
        <f>IFERROR(_xll.qlRateHelperQuoteName(J29,Trigger),"--")</f>
        <v>GBP8YOIS_LCHQuote</v>
      </c>
      <c r="L29" s="98" t="str">
        <f>IFERROR(_xll.qlRateHelperQuoteValue($J29,Trigger),"--")</f>
        <v>--</v>
      </c>
      <c r="M29" s="97" t="b">
        <v>0</v>
      </c>
      <c r="N29" s="94">
        <v>50</v>
      </c>
      <c r="O29" s="94">
        <v>1</v>
      </c>
      <c r="P29" s="99">
        <f>IFERROR(_xll.qlRateHelperEarliestDate(J29,Trigger),"--")</f>
        <v>42304</v>
      </c>
      <c r="Q29" s="99">
        <f>IFERROR(_xll.qlRateHelperPillarDate(J29,Trigger),"--")</f>
        <v>45226</v>
      </c>
      <c r="S29" s="4" t="str">
        <f t="shared" si="0"/>
        <v>BasSw</v>
      </c>
      <c r="T29" s="4" t="str">
        <v>obj_00497</v>
      </c>
      <c r="U29" s="4" t="str">
        <f>IFERROR(_xll.qlRateHelperQuoteName(T29,Trigger),"")</f>
        <v>GBP6SONIA3L10Y_LCHQuote</v>
      </c>
      <c r="V29" s="70">
        <f>IFERROR(_xll.qlRateHelperRate(T29,Trigger),"")</f>
        <v>1.47614999999999E-2</v>
      </c>
      <c r="W29" s="104" t="str">
        <f>IF(ISERROR(_xll.qlSwapRateHelperSpread($T29)),IF(ISERROR(_xll.qlFuturesRateHelperConvexityAdjustment($T29)),"",_xll.qlFuturesRateHelperConvexityAdjustment($T29)),_xll.qlSwapRateHelperSpread($T29))</f>
        <v/>
      </c>
      <c r="X29" s="5">
        <f>IFERROR(_xll.qlRateHelperEarliestDate(T29,Trigger),"")</f>
        <v>42304</v>
      </c>
      <c r="Y29" s="5">
        <f>IFERROR(_xll.qlRateHelperPillarDate(T29,Trigger),"")</f>
        <v>45957</v>
      </c>
      <c r="Z29" s="70">
        <v>1.4930103059766149E-2</v>
      </c>
      <c r="AA29" s="77">
        <v>0.86120799091743472</v>
      </c>
      <c r="AB29" s="169">
        <v>45957</v>
      </c>
      <c r="AC29" s="170">
        <v>1.4930103059764501E-2</v>
      </c>
      <c r="AD29" s="172">
        <f t="shared" si="2"/>
        <v>1.6479873021779667E-15</v>
      </c>
      <c r="AE29" s="174">
        <v>0.86120799091729106</v>
      </c>
      <c r="AF29" s="173">
        <f t="shared" si="3"/>
        <v>1.4366285938649526E-13</v>
      </c>
      <c r="AG29" s="170"/>
    </row>
    <row r="30" spans="1:33" ht="11.25" customHeight="1" x14ac:dyDescent="0.2">
      <c r="A30" s="59" t="s">
        <v>69</v>
      </c>
      <c r="B30" s="60" t="s">
        <v>56</v>
      </c>
      <c r="C30" s="61">
        <v>0</v>
      </c>
      <c r="D30" s="62" t="str">
        <f t="shared" si="7"/>
        <v>Sonia</v>
      </c>
      <c r="E30" s="63" t="str">
        <f t="shared" si="6"/>
        <v>GBP7YOIS_LCHQuote</v>
      </c>
      <c r="F30" s="123"/>
      <c r="G30" s="64" t="str">
        <f>_xll.qlOISRateHelper(,C30,B30,E30,$D30,,Permanent,Trigger,ObjectOverwrite)</f>
        <v>obj_0051a#0005</v>
      </c>
      <c r="I30" s="10" t="str">
        <f t="shared" si="4"/>
        <v>OIS</v>
      </c>
      <c r="J30" s="94" t="str">
        <f t="shared" si="5"/>
        <v>obj_0050e#0005</v>
      </c>
      <c r="K30" s="146" t="str">
        <f>IFERROR(_xll.qlRateHelperQuoteName(J30,Trigger),"--")</f>
        <v>GBP9YOIS_LCHQuote</v>
      </c>
      <c r="L30" s="98" t="str">
        <f>IFERROR(_xll.qlRateHelperQuoteValue($J30,Trigger),"--")</f>
        <v>--</v>
      </c>
      <c r="M30" s="97" t="b">
        <v>0</v>
      </c>
      <c r="N30" s="94">
        <v>50</v>
      </c>
      <c r="O30" s="94">
        <v>1</v>
      </c>
      <c r="P30" s="99">
        <f>IFERROR(_xll.qlRateHelperEarliestDate(J30,Trigger),"--")</f>
        <v>42304</v>
      </c>
      <c r="Q30" s="99">
        <f>IFERROR(_xll.qlRateHelperPillarDate(J30,Trigger),"--")</f>
        <v>45593</v>
      </c>
      <c r="S30" s="4" t="str">
        <f t="shared" si="0"/>
        <v>BasSw</v>
      </c>
      <c r="T30" s="4" t="str">
        <v>obj_00508</v>
      </c>
      <c r="U30" s="4" t="str">
        <f>IFERROR(_xll.qlRateHelperQuoteName(T30,Trigger),"")</f>
        <v>GBP6SONIA3L12Y_LCHQuote</v>
      </c>
      <c r="V30" s="70">
        <f>IFERROR(_xll.qlRateHelperRate(T30,Trigger),"")</f>
        <v>1.5946499999999999E-2</v>
      </c>
      <c r="W30" s="104" t="str">
        <f>IF(ISERROR(_xll.qlSwapRateHelperSpread($T30)),IF(ISERROR(_xll.qlFuturesRateHelperConvexityAdjustment($T30)),"",_xll.qlFuturesRateHelperConvexityAdjustment($T30)),_xll.qlSwapRateHelperSpread($T30))</f>
        <v/>
      </c>
      <c r="X30" s="5">
        <f>IFERROR(_xll.qlRateHelperEarliestDate(T30,Trigger),"")</f>
        <v>42304</v>
      </c>
      <c r="Y30" s="5">
        <f>IFERROR(_xll.qlRateHelperPillarDate(T30,Trigger),"")</f>
        <v>46687</v>
      </c>
      <c r="Z30" s="70">
        <v>1.6187339470536747E-2</v>
      </c>
      <c r="AA30" s="77">
        <v>0.82335251575066848</v>
      </c>
      <c r="AB30" s="169">
        <v>46687</v>
      </c>
      <c r="AC30" s="170">
        <v>1.6187339470535401E-2</v>
      </c>
      <c r="AD30" s="172">
        <f t="shared" si="2"/>
        <v>1.3461454173580023E-15</v>
      </c>
      <c r="AE30" s="174">
        <v>0.82335251575047996</v>
      </c>
      <c r="AF30" s="173">
        <f t="shared" si="3"/>
        <v>1.8851586958135158E-13</v>
      </c>
      <c r="AG30" s="170"/>
    </row>
    <row r="31" spans="1:33" ht="11.25" customHeight="1" x14ac:dyDescent="0.2">
      <c r="A31" s="59" t="s">
        <v>69</v>
      </c>
      <c r="B31" s="60" t="s">
        <v>57</v>
      </c>
      <c r="C31" s="61">
        <v>0</v>
      </c>
      <c r="D31" s="62" t="str">
        <f t="shared" si="7"/>
        <v>Sonia</v>
      </c>
      <c r="E31" s="63" t="str">
        <f t="shared" si="6"/>
        <v>GBP8YOIS_LCHQuote</v>
      </c>
      <c r="F31" s="123"/>
      <c r="G31" s="64" t="str">
        <f>_xll.qlOISRateHelper(,C31,B31,E31,$D31,,Permanent,Trigger,ObjectOverwrite)</f>
        <v>obj_004f5#0005</v>
      </c>
      <c r="I31" s="10" t="str">
        <f t="shared" si="4"/>
        <v>OIS</v>
      </c>
      <c r="J31" s="94" t="str">
        <f t="shared" si="5"/>
        <v>obj_004ca#0005</v>
      </c>
      <c r="K31" s="146" t="str">
        <f>IFERROR(_xll.qlRateHelperQuoteName(J31,Trigger),"--")</f>
        <v>GBP10YOIS_LCHQuote</v>
      </c>
      <c r="L31" s="98" t="str">
        <f>IFERROR(_xll.qlRateHelperQuoteValue($J31,Trigger),"--")</f>
        <v>--</v>
      </c>
      <c r="M31" s="97" t="b">
        <v>0</v>
      </c>
      <c r="N31" s="94">
        <v>50</v>
      </c>
      <c r="O31" s="94">
        <v>1</v>
      </c>
      <c r="P31" s="99">
        <f>IFERROR(_xll.qlRateHelperEarliestDate(J31,Trigger),"--")</f>
        <v>42304</v>
      </c>
      <c r="Q31" s="99">
        <f>IFERROR(_xll.qlRateHelperPillarDate(J31,Trigger),"--")</f>
        <v>45957</v>
      </c>
      <c r="S31" s="4" t="str">
        <f t="shared" si="0"/>
        <v>BasSw</v>
      </c>
      <c r="T31" s="4" t="str">
        <v>obj_004cf</v>
      </c>
      <c r="U31" s="4" t="str">
        <f>IFERROR(_xll.qlRateHelperQuoteName(T31,Trigger),"")</f>
        <v>GBP6SONIA3L15Y_LCHQuote</v>
      </c>
      <c r="V31" s="70">
        <f>IFERROR(_xll.qlRateHelperRate(T31,Trigger),"")</f>
        <v>1.7228250000000101E-2</v>
      </c>
      <c r="W31" s="104" t="str">
        <f>IF(ISERROR(_xll.qlSwapRateHelperSpread($T31)),IF(ISERROR(_xll.qlFuturesRateHelperConvexityAdjustment($T31)),"",_xll.qlFuturesRateHelperConvexityAdjustment($T31)),_xll.qlSwapRateHelperSpread($T31))</f>
        <v/>
      </c>
      <c r="X31" s="5">
        <f>IFERROR(_xll.qlRateHelperEarliestDate(T31,Trigger),"")</f>
        <v>42304</v>
      </c>
      <c r="Y31" s="5">
        <f>IFERROR(_xll.qlRateHelperPillarDate(T31,Trigger),"")</f>
        <v>47784</v>
      </c>
      <c r="Z31" s="70">
        <v>1.7567107096781907E-2</v>
      </c>
      <c r="AA31" s="77">
        <v>0.76820399266476935</v>
      </c>
      <c r="AB31" s="169">
        <v>47784</v>
      </c>
      <c r="AC31" s="170">
        <v>1.7567107096774299E-2</v>
      </c>
      <c r="AD31" s="172">
        <f t="shared" si="2"/>
        <v>7.6084971656342759E-15</v>
      </c>
      <c r="AE31" s="174">
        <v>0.768203992665208</v>
      </c>
      <c r="AF31" s="173">
        <f t="shared" si="3"/>
        <v>-4.3864911702939935E-13</v>
      </c>
      <c r="AG31" s="170"/>
    </row>
    <row r="32" spans="1:33" ht="11.25" customHeight="1" x14ac:dyDescent="0.2">
      <c r="A32" s="59" t="s">
        <v>69</v>
      </c>
      <c r="B32" s="60" t="s">
        <v>58</v>
      </c>
      <c r="C32" s="61">
        <v>0</v>
      </c>
      <c r="D32" s="62" t="str">
        <f t="shared" si="7"/>
        <v>Sonia</v>
      </c>
      <c r="E32" s="63" t="str">
        <f t="shared" si="6"/>
        <v>GBP9YOIS_LCHQuote</v>
      </c>
      <c r="F32" s="123"/>
      <c r="G32" s="64" t="str">
        <f>_xll.qlOISRateHelper(,C32,B32,E32,$D32,,Permanent,Trigger,ObjectOverwrite)</f>
        <v>obj_0050e#0005</v>
      </c>
      <c r="I32" s="10" t="str">
        <f t="shared" si="4"/>
        <v>OIS</v>
      </c>
      <c r="J32" s="94" t="str">
        <f t="shared" si="5"/>
        <v>obj_004c1#0005</v>
      </c>
      <c r="K32" s="146" t="str">
        <f>IFERROR(_xll.qlRateHelperQuoteName(J32,Trigger),"--")</f>
        <v>GBP11YOIS_LCHQuote</v>
      </c>
      <c r="L32" s="98" t="str">
        <f>IFERROR(_xll.qlRateHelperQuoteValue($J32,Trigger),"--")</f>
        <v>--</v>
      </c>
      <c r="M32" s="97" t="b">
        <v>0</v>
      </c>
      <c r="N32" s="94">
        <v>50</v>
      </c>
      <c r="O32" s="94">
        <v>1</v>
      </c>
      <c r="P32" s="99">
        <f>IFERROR(_xll.qlRateHelperEarliestDate(J32,Trigger),"--")</f>
        <v>42304</v>
      </c>
      <c r="Q32" s="99">
        <f>IFERROR(_xll.qlRateHelperPillarDate(J32,Trigger),"--")</f>
        <v>46322</v>
      </c>
      <c r="S32" s="4" t="str">
        <f t="shared" si="0"/>
        <v>BasSw</v>
      </c>
      <c r="T32" s="4" t="str">
        <v>obj_004f2</v>
      </c>
      <c r="U32" s="4" t="str">
        <f>IFERROR(_xll.qlRateHelperQuoteName(T32,Trigger),"")</f>
        <v>GBP6SONIA3L20Y_LCHQuote</v>
      </c>
      <c r="V32" s="70">
        <f>IFERROR(_xll.qlRateHelperRate(T32,Trigger),"")</f>
        <v>1.8290000000000001E-2</v>
      </c>
      <c r="W32" s="104" t="str">
        <f>IF(ISERROR(_xll.qlSwapRateHelperSpread($T32)),IF(ISERROR(_xll.qlFuturesRateHelperConvexityAdjustment($T32)),"",_xll.qlFuturesRateHelperConvexityAdjustment($T32)),_xll.qlSwapRateHelperSpread($T32))</f>
        <v/>
      </c>
      <c r="X32" s="5">
        <f>IFERROR(_xll.qlRateHelperEarliestDate(T32,Trigger),"")</f>
        <v>42304</v>
      </c>
      <c r="Y32" s="5">
        <f>IFERROR(_xll.qlRateHelperPillarDate(T32,Trigger),"")</f>
        <v>49611</v>
      </c>
      <c r="Z32" s="70">
        <v>1.8708373755547222E-2</v>
      </c>
      <c r="AA32" s="77">
        <v>0.6877609822646702</v>
      </c>
      <c r="AB32" s="169">
        <v>49611</v>
      </c>
      <c r="AC32" s="170">
        <v>1.8708373755546698E-2</v>
      </c>
      <c r="AD32" s="172">
        <f t="shared" si="2"/>
        <v>5.2388648974499574E-16</v>
      </c>
      <c r="AE32" s="174">
        <v>0.68776098226520699</v>
      </c>
      <c r="AF32" s="173">
        <f t="shared" si="3"/>
        <v>-5.3679283240626319E-13</v>
      </c>
      <c r="AG32" s="170"/>
    </row>
    <row r="33" spans="1:33" ht="11.25" customHeight="1" x14ac:dyDescent="0.2">
      <c r="A33" s="59" t="s">
        <v>69</v>
      </c>
      <c r="B33" s="60" t="s">
        <v>59</v>
      </c>
      <c r="C33" s="61">
        <v>0</v>
      </c>
      <c r="D33" s="62" t="str">
        <f t="shared" si="7"/>
        <v>Sonia</v>
      </c>
      <c r="E33" s="63" t="str">
        <f t="shared" si="6"/>
        <v>GBP10YOIS_LCHQuote</v>
      </c>
      <c r="F33" s="123"/>
      <c r="G33" s="64" t="str">
        <f>_xll.qlOISRateHelper(,C33,B33,E33,$D33,,Permanent,Trigger,ObjectOverwrite)</f>
        <v>obj_004ca#0005</v>
      </c>
      <c r="I33" s="10" t="str">
        <f t="shared" si="4"/>
        <v>OIS</v>
      </c>
      <c r="J33" s="94" t="str">
        <f t="shared" si="5"/>
        <v>obj_004c3#0005</v>
      </c>
      <c r="K33" s="146" t="str">
        <f>IFERROR(_xll.qlRateHelperQuoteName(J33,Trigger),"--")</f>
        <v>GBP12YOIS_LCHQuote</v>
      </c>
      <c r="L33" s="98" t="str">
        <f>IFERROR(_xll.qlRateHelperQuoteValue($J33,Trigger),"--")</f>
        <v>--</v>
      </c>
      <c r="M33" s="97" t="b">
        <v>0</v>
      </c>
      <c r="N33" s="94">
        <v>50</v>
      </c>
      <c r="O33" s="94">
        <v>1</v>
      </c>
      <c r="P33" s="99">
        <f>IFERROR(_xll.qlRateHelperEarliestDate(J33,Trigger),"--")</f>
        <v>42304</v>
      </c>
      <c r="Q33" s="99">
        <f>IFERROR(_xll.qlRateHelperPillarDate(J33,Trigger),"--")</f>
        <v>46687</v>
      </c>
      <c r="S33" s="4" t="str">
        <f t="shared" si="0"/>
        <v>BasSw</v>
      </c>
      <c r="T33" s="4" t="str">
        <v>obj_00499</v>
      </c>
      <c r="U33" s="4" t="str">
        <f>IFERROR(_xll.qlRateHelperQuoteName(T33,Trigger),"")</f>
        <v>GBP6SONIA3L25Y_LCHQuote</v>
      </c>
      <c r="V33" s="70">
        <f>IFERROR(_xll.qlRateHelperRate(T33,Trigger),"")</f>
        <v>1.8588500000000001E-2</v>
      </c>
      <c r="W33" s="104" t="str">
        <f>IF(ISERROR(_xll.qlSwapRateHelperSpread($T33)),IF(ISERROR(_xll.qlFuturesRateHelperConvexityAdjustment($T33)),"",_xll.qlFuturesRateHelperConvexityAdjustment($T33)),_xll.qlSwapRateHelperSpread($T33))</f>
        <v/>
      </c>
      <c r="X33" s="5">
        <f>IFERROR(_xll.qlRateHelperEarliestDate(T33,Trigger),"")</f>
        <v>42304</v>
      </c>
      <c r="Y33" s="5">
        <f>IFERROR(_xll.qlRateHelperPillarDate(T33,Trigger),"")</f>
        <v>51438</v>
      </c>
      <c r="Z33" s="70">
        <v>1.8977997592531225E-2</v>
      </c>
      <c r="AA33" s="77">
        <v>0.62211727826864682</v>
      </c>
      <c r="AB33" s="169">
        <v>51438</v>
      </c>
      <c r="AC33" s="170">
        <v>1.8977997592530601E-2</v>
      </c>
      <c r="AD33" s="172">
        <f t="shared" si="2"/>
        <v>6.2450045135165055E-16</v>
      </c>
      <c r="AE33" s="174">
        <v>0.62211727826783103</v>
      </c>
      <c r="AF33" s="173">
        <f t="shared" si="3"/>
        <v>8.1579187849456503E-13</v>
      </c>
      <c r="AG33" s="170"/>
    </row>
    <row r="34" spans="1:33" ht="11.25" customHeight="1" x14ac:dyDescent="0.2">
      <c r="A34" s="59" t="s">
        <v>69</v>
      </c>
      <c r="B34" s="60" t="s">
        <v>97</v>
      </c>
      <c r="C34" s="61">
        <v>0</v>
      </c>
      <c r="D34" s="62" t="str">
        <f t="shared" si="7"/>
        <v>Sonia</v>
      </c>
      <c r="E34" s="63" t="str">
        <f t="shared" si="6"/>
        <v>GBP11YOIS_LCHQuote</v>
      </c>
      <c r="F34" s="123"/>
      <c r="G34" s="64" t="str">
        <f>_xll.qlOISRateHelper(,C34,B34,E34,$D34,,Permanent,Trigger,ObjectOverwrite)</f>
        <v>obj_004c1#0005</v>
      </c>
      <c r="I34" s="10" t="str">
        <f t="shared" si="4"/>
        <v>OIS</v>
      </c>
      <c r="J34" s="94" t="str">
        <f t="shared" si="5"/>
        <v>obj_004b0#0005</v>
      </c>
      <c r="K34" s="146" t="str">
        <f>IFERROR(_xll.qlRateHelperQuoteName(J34,Trigger),"--")</f>
        <v>GBP15YOIS_LCHQuote</v>
      </c>
      <c r="L34" s="98" t="str">
        <f>IFERROR(_xll.qlRateHelperQuoteValue($J34,Trigger),"--")</f>
        <v>--</v>
      </c>
      <c r="M34" s="97" t="b">
        <v>0</v>
      </c>
      <c r="N34" s="94">
        <v>50</v>
      </c>
      <c r="O34" s="94">
        <v>1</v>
      </c>
      <c r="P34" s="99">
        <f>IFERROR(_xll.qlRateHelperEarliestDate(J34,Trigger),"--")</f>
        <v>42304</v>
      </c>
      <c r="Q34" s="99">
        <f>IFERROR(_xll.qlRateHelperPillarDate(J34,Trigger),"--")</f>
        <v>47784</v>
      </c>
      <c r="S34" s="4" t="str">
        <f t="shared" si="0"/>
        <v>BasSw</v>
      </c>
      <c r="T34" s="4" t="str">
        <v>obj_004ac</v>
      </c>
      <c r="U34" s="4" t="str">
        <f>IFERROR(_xll.qlRateHelperQuoteName(T34,Trigger),"")</f>
        <v>GBP6SONIA3L30Y_LCHQuote</v>
      </c>
      <c r="V34" s="70">
        <f>IFERROR(_xll.qlRateHelperRate(T34,Trigger),"")</f>
        <v>1.8676000000000002E-2</v>
      </c>
      <c r="W34" s="104" t="str">
        <f>IF(ISERROR(_xll.qlSwapRateHelperSpread($T34)),IF(ISERROR(_xll.qlFuturesRateHelperConvexityAdjustment($T34)),"",_xll.qlFuturesRateHelperConvexityAdjustment($T34)),_xll.qlSwapRateHelperSpread($T34))</f>
        <v/>
      </c>
      <c r="X34" s="5">
        <f>IFERROR(_xll.qlRateHelperEarliestDate(T34,Trigger),"")</f>
        <v>42304</v>
      </c>
      <c r="Y34" s="5">
        <f>IFERROR(_xll.qlRateHelperPillarDate(T34,Trigger),"")</f>
        <v>53262</v>
      </c>
      <c r="Z34" s="70">
        <v>1.901289272682654E-2</v>
      </c>
      <c r="AA34" s="77">
        <v>0.56526683569827874</v>
      </c>
      <c r="AB34" s="169">
        <v>53262</v>
      </c>
      <c r="AC34" s="170">
        <v>1.90128927268222E-2</v>
      </c>
      <c r="AD34" s="172">
        <f t="shared" si="2"/>
        <v>4.3402781368939714E-15</v>
      </c>
      <c r="AE34" s="174">
        <v>0.56526683569865099</v>
      </c>
      <c r="AF34" s="173">
        <f t="shared" si="3"/>
        <v>-3.7225778015681499E-13</v>
      </c>
      <c r="AG34" s="170"/>
    </row>
    <row r="35" spans="1:33" ht="11.25" customHeight="1" x14ac:dyDescent="0.2">
      <c r="A35" s="59" t="s">
        <v>69</v>
      </c>
      <c r="B35" s="60" t="s">
        <v>60</v>
      </c>
      <c r="C35" s="61">
        <v>0</v>
      </c>
      <c r="D35" s="62" t="str">
        <f t="shared" si="7"/>
        <v>Sonia</v>
      </c>
      <c r="E35" s="63" t="str">
        <f t="shared" si="6"/>
        <v>GBP12YOIS_LCHQuote</v>
      </c>
      <c r="F35" s="123"/>
      <c r="G35" s="64" t="str">
        <f>_xll.qlOISRateHelper(,C35,B35,E35,$D35,,Permanent,Trigger,ObjectOverwrite)</f>
        <v>obj_004c3#0005</v>
      </c>
      <c r="I35" s="10" t="str">
        <f t="shared" si="4"/>
        <v>OIS</v>
      </c>
      <c r="J35" s="94" t="str">
        <f t="shared" si="5"/>
        <v>obj_004d1#0005</v>
      </c>
      <c r="K35" s="146" t="str">
        <f>IFERROR(_xll.qlRateHelperQuoteName(J35,Trigger),"--")</f>
        <v>GBP20YOIS_LCHQuote</v>
      </c>
      <c r="L35" s="98" t="str">
        <f>IFERROR(_xll.qlRateHelperQuoteValue($J35,Trigger),"--")</f>
        <v>--</v>
      </c>
      <c r="M35" s="97" t="b">
        <v>0</v>
      </c>
      <c r="N35" s="94">
        <v>50</v>
      </c>
      <c r="O35" s="94">
        <v>1</v>
      </c>
      <c r="P35" s="99">
        <f>IFERROR(_xll.qlRateHelperEarliestDate(J35,Trigger),"--")</f>
        <v>42304</v>
      </c>
      <c r="Q35" s="99">
        <f>IFERROR(_xll.qlRateHelperPillarDate(J35,Trigger),"--")</f>
        <v>49611</v>
      </c>
      <c r="S35" s="4" t="str">
        <f t="shared" si="0"/>
        <v>BasSw</v>
      </c>
      <c r="T35" s="4" t="str">
        <v>obj_004fb</v>
      </c>
      <c r="U35" s="4" t="str">
        <f>IFERROR(_xll.qlRateHelperQuoteName(T35,Trigger),"")</f>
        <v>GBP6SONIA3L40Y_LCHQuote</v>
      </c>
      <c r="V35" s="70">
        <f>IFERROR(_xll.qlRateHelperRate(T35,Trigger),"")</f>
        <v>1.8323999999999899E-2</v>
      </c>
      <c r="W35" s="104" t="str">
        <f>IF(ISERROR(_xll.qlSwapRateHelperSpread($T35)),IF(ISERROR(_xll.qlFuturesRateHelperConvexityAdjustment($T35)),"",_xll.qlFuturesRateHelperConvexityAdjustment($T35)),_xll.qlSwapRateHelperSpread($T35))</f>
        <v/>
      </c>
      <c r="X35" s="5">
        <f>IFERROR(_xll.qlRateHelperEarliestDate(T35,Trigger),"")</f>
        <v>42304</v>
      </c>
      <c r="Y35" s="5">
        <f>IFERROR(_xll.qlRateHelperPillarDate(T35,Trigger),"")</f>
        <v>56914</v>
      </c>
      <c r="Z35" s="70">
        <v>1.8423690784900245E-2</v>
      </c>
      <c r="AA35" s="77">
        <v>0.47856864592879461</v>
      </c>
      <c r="AB35" s="169">
        <v>56914</v>
      </c>
      <c r="AC35" s="170">
        <v>1.8423690784900498E-2</v>
      </c>
      <c r="AD35" s="172">
        <f t="shared" si="2"/>
        <v>-2.5326962749261384E-16</v>
      </c>
      <c r="AE35" s="174">
        <v>0.47856864592904602</v>
      </c>
      <c r="AF35" s="173">
        <f t="shared" si="3"/>
        <v>-2.514100039263667E-13</v>
      </c>
      <c r="AG35" s="170"/>
    </row>
    <row r="36" spans="1:33" ht="11.25" customHeight="1" x14ac:dyDescent="0.2">
      <c r="A36" s="59" t="s">
        <v>69</v>
      </c>
      <c r="B36" s="60" t="s">
        <v>61</v>
      </c>
      <c r="C36" s="61">
        <v>0</v>
      </c>
      <c r="D36" s="62" t="str">
        <f t="shared" si="7"/>
        <v>Sonia</v>
      </c>
      <c r="E36" s="63" t="str">
        <f t="shared" si="6"/>
        <v>GBP15YOIS_LCHQuote</v>
      </c>
      <c r="F36" s="123"/>
      <c r="G36" s="64" t="str">
        <f>_xll.qlOISRateHelper(,C36,B36,E36,$D36,,Permanent,Trigger,ObjectOverwrite)</f>
        <v>obj_004b0#0005</v>
      </c>
      <c r="I36" s="10" t="str">
        <f t="shared" si="4"/>
        <v>OIS</v>
      </c>
      <c r="J36" s="94" t="str">
        <f t="shared" si="5"/>
        <v>obj_004f4#0005</v>
      </c>
      <c r="K36" s="146" t="str">
        <f>IFERROR(_xll.qlRateHelperQuoteName(J36,Trigger),"--")</f>
        <v>GBP25YOIS_LCHQuote</v>
      </c>
      <c r="L36" s="98" t="str">
        <f>IFERROR(_xll.qlRateHelperQuoteValue($J36,Trigger),"--")</f>
        <v>--</v>
      </c>
      <c r="M36" s="97" t="b">
        <v>0</v>
      </c>
      <c r="N36" s="94">
        <v>50</v>
      </c>
      <c r="O36" s="94">
        <v>1</v>
      </c>
      <c r="P36" s="99">
        <f>IFERROR(_xll.qlRateHelperEarliestDate(J36,Trigger),"--")</f>
        <v>42304</v>
      </c>
      <c r="Q36" s="99">
        <f>IFERROR(_xll.qlRateHelperPillarDate(J36,Trigger),"--")</f>
        <v>51438</v>
      </c>
      <c r="S36" s="4" t="str">
        <f t="shared" si="0"/>
        <v>BasSw</v>
      </c>
      <c r="T36" s="4" t="str">
        <v>obj_004dc</v>
      </c>
      <c r="U36" s="4" t="str">
        <f>IFERROR(_xll.qlRateHelperQuoteName(T36,Trigger),"")</f>
        <v>GBP6SONIA3L50Y_LCHQuote</v>
      </c>
      <c r="V36" s="70">
        <f>IFERROR(_xll.qlRateHelperRate(T36,Trigger),"")</f>
        <v>1.8133500000000101E-2</v>
      </c>
      <c r="W36" s="104" t="str">
        <f>IF(ISERROR(_xll.qlSwapRateHelperSpread($T36)),IF(ISERROR(_xll.qlFuturesRateHelperConvexityAdjustment($T36)),"",_xll.qlFuturesRateHelperConvexityAdjustment($T36)),_xll.qlSwapRateHelperSpread($T36))</f>
        <v/>
      </c>
      <c r="X36" s="5">
        <f>IFERROR(_xll.qlRateHelperEarliestDate(T36,Trigger),"")</f>
        <v>42304</v>
      </c>
      <c r="Y36" s="5">
        <f>IFERROR(_xll.qlRateHelperPillarDate(T36,Trigger),"")</f>
        <v>60567</v>
      </c>
      <c r="Z36" s="70">
        <v>1.8102262295625594E-2</v>
      </c>
      <c r="AA36" s="77">
        <v>0.40427370153506875</v>
      </c>
      <c r="AB36" s="169">
        <v>60567</v>
      </c>
      <c r="AC36" s="170">
        <v>1.8102262295625501E-2</v>
      </c>
      <c r="AD36" s="172">
        <f t="shared" si="2"/>
        <v>9.3675067702747583E-17</v>
      </c>
      <c r="AE36" s="174">
        <v>0.40427370153477199</v>
      </c>
      <c r="AF36" s="173">
        <f t="shared" si="3"/>
        <v>2.9676261448230434E-13</v>
      </c>
      <c r="AG36" s="170"/>
    </row>
    <row r="37" spans="1:33" ht="11.25" customHeight="1" x14ac:dyDescent="0.2">
      <c r="A37" s="59" t="s">
        <v>69</v>
      </c>
      <c r="B37" s="60" t="s">
        <v>62</v>
      </c>
      <c r="C37" s="61">
        <v>0</v>
      </c>
      <c r="D37" s="62" t="str">
        <f t="shared" si="7"/>
        <v>Sonia</v>
      </c>
      <c r="E37" s="63" t="str">
        <f t="shared" si="6"/>
        <v>GBP20YOIS_LCHQuote</v>
      </c>
      <c r="F37" s="123"/>
      <c r="G37" s="64" t="str">
        <f>_xll.qlOISRateHelper(,C37,B37,E37,$D37,,Permanent,Trigger,ObjectOverwrite)</f>
        <v>obj_004d1#0005</v>
      </c>
      <c r="I37" s="10" t="str">
        <f t="shared" si="4"/>
        <v>OIS</v>
      </c>
      <c r="J37" s="94" t="str">
        <f t="shared" si="5"/>
        <v>obj_004ae#0005</v>
      </c>
      <c r="K37" s="146" t="str">
        <f>IFERROR(_xll.qlRateHelperQuoteName(J37,Trigger),"--")</f>
        <v>GBP30YOIS_LCHQuote</v>
      </c>
      <c r="L37" s="98" t="str">
        <f>IFERROR(_xll.qlRateHelperQuoteValue($J37,Trigger),"--")</f>
        <v>--</v>
      </c>
      <c r="M37" s="97" t="b">
        <v>0</v>
      </c>
      <c r="N37" s="94">
        <v>50</v>
      </c>
      <c r="O37" s="94">
        <v>1</v>
      </c>
      <c r="P37" s="99">
        <f>IFERROR(_xll.qlRateHelperEarliestDate(J37,Trigger),"--")</f>
        <v>42304</v>
      </c>
      <c r="Q37" s="99">
        <f>IFERROR(_xll.qlRateHelperPillarDate(J37,Trigger),"--")</f>
        <v>53262</v>
      </c>
      <c r="S37" s="4" t="str">
        <f t="shared" si="0"/>
        <v>BasSw</v>
      </c>
      <c r="T37" s="4" t="str">
        <v>obj_00518</v>
      </c>
      <c r="U37" s="4" t="str">
        <f>IFERROR(_xll.qlRateHelperQuoteName(T37,Trigger),"")</f>
        <v>GBP6SONIA3L60Y_LCHQuote</v>
      </c>
      <c r="V37" s="70">
        <f>IFERROR(_xll.qlRateHelperRate(T37,Trigger),"")</f>
        <v>1.8230500000000101E-2</v>
      </c>
      <c r="W37" s="104" t="str">
        <f>IF(ISERROR(_xll.qlSwapRateHelperSpread($T37)),IF(ISERROR(_xll.qlFuturesRateHelperConvexityAdjustment($T37)),"",_xll.qlFuturesRateHelperConvexityAdjustment($T37)),_xll.qlSwapRateHelperSpread($T37))</f>
        <v/>
      </c>
      <c r="X37" s="5">
        <f>IFERROR(_xll.qlRateHelperEarliestDate(T37,Trigger),"")</f>
        <v>42304</v>
      </c>
      <c r="Y37" s="5">
        <f>IFERROR(_xll.qlRateHelperPillarDate(T37,Trigger),"")</f>
        <v>64220</v>
      </c>
      <c r="Z37" s="70">
        <v>1.8254159207480376E-2</v>
      </c>
      <c r="AA37" s="77">
        <v>0.33415872730887936</v>
      </c>
      <c r="AB37" s="169">
        <v>64220</v>
      </c>
      <c r="AC37" s="170">
        <v>1.8254159207417402E-2</v>
      </c>
      <c r="AD37" s="172">
        <f t="shared" si="2"/>
        <v>6.2973931624910051E-14</v>
      </c>
      <c r="AE37" s="174">
        <v>0.33415872730803398</v>
      </c>
      <c r="AF37" s="173">
        <f t="shared" si="3"/>
        <v>8.4537932210082545E-13</v>
      </c>
      <c r="AG37" s="170"/>
    </row>
    <row r="38" spans="1:33" ht="11.25" customHeight="1" x14ac:dyDescent="0.2">
      <c r="A38" s="59" t="s">
        <v>69</v>
      </c>
      <c r="B38" s="60" t="s">
        <v>63</v>
      </c>
      <c r="C38" s="61">
        <v>0</v>
      </c>
      <c r="D38" s="62" t="str">
        <f t="shared" si="7"/>
        <v>Sonia</v>
      </c>
      <c r="E38" s="63" t="str">
        <f t="shared" si="6"/>
        <v>GBP25YOIS_LCHQuote</v>
      </c>
      <c r="F38" s="123"/>
      <c r="G38" s="64" t="str">
        <f>_xll.qlOISRateHelper(,C38,B38,E38,$D38,,Permanent,Trigger,ObjectOverwrite)</f>
        <v>obj_004f4#0005</v>
      </c>
      <c r="I38" s="10" t="str">
        <f t="shared" si="4"/>
        <v>OIS</v>
      </c>
      <c r="J38" s="94" t="str">
        <f t="shared" si="5"/>
        <v>obj_0049e#0005</v>
      </c>
      <c r="K38" s="146" t="str">
        <f>IFERROR(_xll.qlRateHelperQuoteName(J38,Trigger),"--")</f>
        <v>GBP40YOIS_LCHQuote</v>
      </c>
      <c r="L38" s="98" t="str">
        <f>IFERROR(_xll.qlRateHelperQuoteValue($J38,Trigger),"--")</f>
        <v>--</v>
      </c>
      <c r="M38" s="97" t="b">
        <v>0</v>
      </c>
      <c r="N38" s="94">
        <v>50</v>
      </c>
      <c r="O38" s="94">
        <v>1</v>
      </c>
      <c r="P38" s="99">
        <f>IFERROR(_xll.qlRateHelperEarliestDate(J38,Trigger),"--")</f>
        <v>42304</v>
      </c>
      <c r="Q38" s="99">
        <f>IFERROR(_xll.qlRateHelperPillarDate(J38,Trigger),"--")</f>
        <v>56914</v>
      </c>
      <c r="S38" s="4" t="str">
        <f t="shared" si="0"/>
        <v/>
      </c>
      <c r="T38" s="4" t="e">
        <v>#N/A</v>
      </c>
      <c r="U38" s="4" t="str">
        <f>IFERROR(_xll.qlRateHelperQuoteName(T38,Trigger),"")</f>
        <v/>
      </c>
      <c r="V38" s="70" t="str">
        <f>IFERROR(_xll.qlRateHelperRate(T38,Trigger),"")</f>
        <v/>
      </c>
      <c r="W38" s="104" t="str">
        <f>IF(ISERROR(_xll.qlSwapRateHelperSpread($T38)),IF(ISERROR(_xll.qlFuturesRateHelperConvexityAdjustment($T38)),"",_xll.qlFuturesRateHelperConvexityAdjustment($T38)),_xll.qlSwapRateHelperSpread($T38))</f>
        <v/>
      </c>
      <c r="X38" s="5" t="str">
        <f>IFERROR(_xll.qlRateHelperEarliestDate(T38,Trigger),"")</f>
        <v/>
      </c>
      <c r="Y38" s="5" t="str">
        <f>IFERROR(_xll.qlRateHelperPillarDate(T38,Trigger),"")</f>
        <v/>
      </c>
      <c r="Z38" s="70" t="e">
        <v>#N/A</v>
      </c>
      <c r="AA38" s="77" t="e">
        <v>#N/A</v>
      </c>
      <c r="AB38" s="169" t="e">
        <v>#N/A</v>
      </c>
      <c r="AC38" s="170" t="e">
        <v>#N/A</v>
      </c>
      <c r="AD38" s="172" t="e">
        <f t="shared" si="2"/>
        <v>#N/A</v>
      </c>
      <c r="AE38" s="174" t="e">
        <v>#N/A</v>
      </c>
      <c r="AF38" s="173" t="e">
        <f t="shared" si="3"/>
        <v>#N/A</v>
      </c>
      <c r="AG38" s="170"/>
    </row>
    <row r="39" spans="1:33" ht="11.25" customHeight="1" x14ac:dyDescent="0.2">
      <c r="A39" s="59" t="s">
        <v>69</v>
      </c>
      <c r="B39" s="60" t="s">
        <v>65</v>
      </c>
      <c r="C39" s="61">
        <v>0</v>
      </c>
      <c r="D39" s="62" t="str">
        <f t="shared" si="7"/>
        <v>Sonia</v>
      </c>
      <c r="E39" s="63" t="str">
        <f t="shared" si="6"/>
        <v>GBP30YOIS_LCHQuote</v>
      </c>
      <c r="F39" s="123"/>
      <c r="G39" s="64" t="str">
        <f>_xll.qlOISRateHelper(,C39,B39,E39,$D39,,Permanent,Trigger,ObjectOverwrite)</f>
        <v>obj_004ae#0005</v>
      </c>
      <c r="I39" s="10" t="str">
        <f t="shared" si="4"/>
        <v>OIS</v>
      </c>
      <c r="J39" s="94" t="str">
        <f t="shared" si="5"/>
        <v>obj_004c2#0005</v>
      </c>
      <c r="K39" s="146" t="str">
        <f>IFERROR(_xll.qlRateHelperQuoteName(J39,Trigger),"--")</f>
        <v>GBP50YOIS_LCHQuote</v>
      </c>
      <c r="L39" s="98" t="str">
        <f>IFERROR(_xll.qlRateHelperQuoteValue($J39,Trigger),"--")</f>
        <v>--</v>
      </c>
      <c r="M39" s="97" t="b">
        <v>0</v>
      </c>
      <c r="N39" s="94">
        <v>50</v>
      </c>
      <c r="O39" s="94">
        <v>1</v>
      </c>
      <c r="P39" s="99">
        <f>IFERROR(_xll.qlRateHelperEarliestDate(J39,Trigger),"--")</f>
        <v>42304</v>
      </c>
      <c r="Q39" s="99">
        <f>IFERROR(_xll.qlRateHelperPillarDate(J39,Trigger),"--")</f>
        <v>60567</v>
      </c>
      <c r="S39" s="4" t="str">
        <f t="shared" si="0"/>
        <v/>
      </c>
      <c r="T39" s="4" t="e">
        <v>#N/A</v>
      </c>
      <c r="U39" s="4" t="str">
        <f>IFERROR(_xll.qlRateHelperQuoteName(T39,Trigger),"")</f>
        <v/>
      </c>
      <c r="V39" s="70" t="str">
        <f>IFERROR(_xll.qlRateHelperRate(T39,Trigger),"")</f>
        <v/>
      </c>
      <c r="W39" s="104" t="str">
        <f>IF(ISERROR(_xll.qlSwapRateHelperSpread($T39)),IF(ISERROR(_xll.qlFuturesRateHelperConvexityAdjustment($T39)),"",_xll.qlFuturesRateHelperConvexityAdjustment($T39)),_xll.qlSwapRateHelperSpread($T39))</f>
        <v/>
      </c>
      <c r="X39" s="5" t="str">
        <f>IFERROR(_xll.qlRateHelperEarliestDate(T39,Trigger),"")</f>
        <v/>
      </c>
      <c r="Y39" s="5" t="str">
        <f>IFERROR(_xll.qlRateHelperPillarDate(T39,Trigger),"")</f>
        <v/>
      </c>
      <c r="Z39" s="70" t="e">
        <v>#N/A</v>
      </c>
      <c r="AA39" s="77" t="e">
        <v>#N/A</v>
      </c>
      <c r="AB39" s="169" t="e">
        <v>#N/A</v>
      </c>
      <c r="AC39" s="170" t="e">
        <v>#N/A</v>
      </c>
      <c r="AD39" s="172" t="e">
        <f t="shared" si="2"/>
        <v>#N/A</v>
      </c>
      <c r="AE39" s="174" t="e">
        <v>#N/A</v>
      </c>
      <c r="AF39" s="173" t="e">
        <f t="shared" si="3"/>
        <v>#N/A</v>
      </c>
      <c r="AG39" s="170"/>
    </row>
    <row r="40" spans="1:33" ht="11.25" customHeight="1" x14ac:dyDescent="0.2">
      <c r="A40" s="59" t="s">
        <v>69</v>
      </c>
      <c r="B40" s="60" t="s">
        <v>67</v>
      </c>
      <c r="C40" s="61">
        <v>0</v>
      </c>
      <c r="D40" s="62" t="str">
        <f t="shared" si="7"/>
        <v>Sonia</v>
      </c>
      <c r="E40" s="63" t="str">
        <f t="shared" si="6"/>
        <v>GBP40YOIS_LCHQuote</v>
      </c>
      <c r="F40" s="123"/>
      <c r="G40" s="64" t="str">
        <f>_xll.qlOISRateHelper(,C40,B40,E40,$D40,,Permanent,Trigger,ObjectOverwrite)</f>
        <v>obj_0049e#0005</v>
      </c>
      <c r="I40" s="11" t="str">
        <f t="shared" si="4"/>
        <v>OIS</v>
      </c>
      <c r="J40" s="95" t="str">
        <f t="shared" si="5"/>
        <v>obj_004b8#0005</v>
      </c>
      <c r="K40" s="147" t="str">
        <f>IFERROR(_xll.qlRateHelperQuoteName(J40,Trigger),"--")</f>
        <v>GBP60YOIS_LCHQuote</v>
      </c>
      <c r="L40" s="101" t="str">
        <f>IFERROR(_xll.qlRateHelperQuoteValue($J40,Trigger),"--")</f>
        <v>--</v>
      </c>
      <c r="M40" s="100" t="b">
        <v>0</v>
      </c>
      <c r="N40" s="95">
        <v>50</v>
      </c>
      <c r="O40" s="95">
        <v>1</v>
      </c>
      <c r="P40" s="102">
        <f>IFERROR(_xll.qlRateHelperEarliestDate(J40,Trigger),"--")</f>
        <v>42304</v>
      </c>
      <c r="Q40" s="102">
        <f>IFERROR(_xll.qlRateHelperPillarDate(J40,Trigger),"--")</f>
        <v>64220</v>
      </c>
      <c r="S40" s="4" t="str">
        <f t="shared" si="0"/>
        <v/>
      </c>
      <c r="T40" s="4" t="e">
        <v>#N/A</v>
      </c>
      <c r="U40" s="4" t="str">
        <f>IFERROR(_xll.qlRateHelperQuoteName(T40,Trigger),"")</f>
        <v/>
      </c>
      <c r="V40" s="70" t="str">
        <f>IFERROR(_xll.qlRateHelperRate(T40,Trigger),"")</f>
        <v/>
      </c>
      <c r="W40" s="104" t="str">
        <f>IF(ISERROR(_xll.qlSwapRateHelperSpread($T40)),IF(ISERROR(_xll.qlFuturesRateHelperConvexityAdjustment($T40)),"",_xll.qlFuturesRateHelperConvexityAdjustment($T40)),_xll.qlSwapRateHelperSpread($T40))</f>
        <v/>
      </c>
      <c r="X40" s="5" t="str">
        <f>IFERROR(_xll.qlRateHelperEarliestDate(T40,Trigger),"")</f>
        <v/>
      </c>
      <c r="Y40" s="5" t="str">
        <f>IFERROR(_xll.qlRateHelperPillarDate(T40,Trigger),"")</f>
        <v/>
      </c>
      <c r="Z40" s="70" t="e">
        <v>#N/A</v>
      </c>
      <c r="AA40" s="77" t="e">
        <v>#N/A</v>
      </c>
      <c r="AB40" s="169" t="e">
        <v>#N/A</v>
      </c>
      <c r="AC40" s="170" t="e">
        <v>#N/A</v>
      </c>
      <c r="AD40" s="172" t="e">
        <f t="shared" si="2"/>
        <v>#N/A</v>
      </c>
      <c r="AE40" s="174" t="e">
        <v>#N/A</v>
      </c>
      <c r="AF40" s="173" t="e">
        <f t="shared" si="3"/>
        <v>#N/A</v>
      </c>
      <c r="AG40" s="170"/>
    </row>
    <row r="41" spans="1:33" ht="11.25" customHeight="1" x14ac:dyDescent="0.2">
      <c r="A41" s="59" t="s">
        <v>69</v>
      </c>
      <c r="B41" s="60" t="s">
        <v>68</v>
      </c>
      <c r="C41" s="61">
        <v>0</v>
      </c>
      <c r="D41" s="62" t="str">
        <f t="shared" si="7"/>
        <v>Sonia</v>
      </c>
      <c r="E41" s="63" t="str">
        <f t="shared" si="6"/>
        <v>GBP50YOIS_LCHQuote</v>
      </c>
      <c r="F41" s="123"/>
      <c r="G41" s="64" t="str">
        <f>_xll.qlOISRateHelper(,C41,B41,E41,$D41,,Permanent,Trigger,ObjectOverwrite)</f>
        <v>obj_004c2#0005</v>
      </c>
      <c r="I41" s="10" t="str">
        <f>A45</f>
        <v>BasSw</v>
      </c>
      <c r="J41" s="94" t="str">
        <f>IF(ISBLANK(G45),"--",G45)</f>
        <v>obj_004ad#0005</v>
      </c>
      <c r="K41" s="146" t="str">
        <f>IFERROR(_xll.qlRateHelperQuoteName(J41,Trigger),"--")</f>
        <v>GBP6SONIA3L1Y_LCHQuote</v>
      </c>
      <c r="L41" s="98" t="str">
        <f>IFERROR(_xll.qlRateHelperQuoteValue($J41,Trigger),"--")</f>
        <v>--</v>
      </c>
      <c r="M41" s="97" t="b">
        <v>0</v>
      </c>
      <c r="N41" s="94">
        <v>50</v>
      </c>
      <c r="O41" s="94">
        <v>1</v>
      </c>
      <c r="P41" s="99">
        <f>IFERROR(_xll.qlRateHelperEarliestDate(J41,Trigger),"--")</f>
        <v>42304</v>
      </c>
      <c r="Q41" s="99">
        <f>IFERROR(_xll.qlRateHelperPillarDate(J41,Trigger),"--")</f>
        <v>42670</v>
      </c>
      <c r="S41" s="4" t="str">
        <f t="shared" si="0"/>
        <v/>
      </c>
      <c r="T41" s="4" t="e">
        <v>#N/A</v>
      </c>
      <c r="U41" s="4" t="str">
        <f>IFERROR(_xll.qlRateHelperQuoteName(T41,Trigger),"")</f>
        <v/>
      </c>
      <c r="V41" s="70" t="str">
        <f>IFERROR(_xll.qlRateHelperRate(T41,Trigger),"")</f>
        <v/>
      </c>
      <c r="W41" s="104" t="str">
        <f>IF(ISERROR(_xll.qlSwapRateHelperSpread($T41)),IF(ISERROR(_xll.qlFuturesRateHelperConvexityAdjustment($T41)),"",_xll.qlFuturesRateHelperConvexityAdjustment($T41)),_xll.qlSwapRateHelperSpread($T41))</f>
        <v/>
      </c>
      <c r="X41" s="5" t="str">
        <f>IFERROR(_xll.qlRateHelperEarliestDate(T41,Trigger),"")</f>
        <v/>
      </c>
      <c r="Y41" s="5" t="str">
        <f>IFERROR(_xll.qlRateHelperPillarDate(T41,Trigger),"")</f>
        <v/>
      </c>
      <c r="Z41" s="70" t="e">
        <v>#N/A</v>
      </c>
      <c r="AA41" s="77" t="e">
        <v>#N/A</v>
      </c>
      <c r="AB41" s="169" t="e">
        <v>#N/A</v>
      </c>
      <c r="AC41" s="170" t="e">
        <v>#N/A</v>
      </c>
      <c r="AD41" s="172" t="e">
        <f t="shared" si="2"/>
        <v>#N/A</v>
      </c>
      <c r="AE41" s="174" t="e">
        <v>#N/A</v>
      </c>
      <c r="AF41" s="173" t="e">
        <f t="shared" si="3"/>
        <v>#N/A</v>
      </c>
      <c r="AG41" s="170"/>
    </row>
    <row r="42" spans="1:33" ht="11.25" customHeight="1" x14ac:dyDescent="0.2">
      <c r="A42" s="1" t="s">
        <v>69</v>
      </c>
      <c r="B42" s="8" t="s">
        <v>111</v>
      </c>
      <c r="C42" s="7">
        <v>0</v>
      </c>
      <c r="D42" s="9" t="str">
        <f t="shared" si="7"/>
        <v>Sonia</v>
      </c>
      <c r="E42" s="2" t="str">
        <f t="shared" si="6"/>
        <v>GBP60YOIS_LCHQuote</v>
      </c>
      <c r="F42" s="124"/>
      <c r="G42" s="3" t="str">
        <f>_xll.qlOISRateHelper(,C42,B42,E42,$D42,,Permanent,Trigger,ObjectOverwrite)</f>
        <v>obj_004b8#0005</v>
      </c>
      <c r="I42" s="10" t="str">
        <f t="shared" ref="I42:I77" si="8">A46</f>
        <v>BasSw</v>
      </c>
      <c r="J42" s="94" t="str">
        <f t="shared" ref="J42:J77" si="9">IF(ISBLANK(G46),"--",G46)</f>
        <v>obj_0051e#0005</v>
      </c>
      <c r="K42" s="146" t="str">
        <f>IFERROR(_xll.qlRateHelperQuoteName(J42,Trigger),"--")</f>
        <v>GBP6SONIA3L15M_LCHQuote</v>
      </c>
      <c r="L42" s="98" t="str">
        <f>IFERROR(_xll.qlRateHelperQuoteValue($J42,Trigger),"--")</f>
        <v>--</v>
      </c>
      <c r="M42" s="97" t="b">
        <v>0</v>
      </c>
      <c r="N42" s="94">
        <v>50</v>
      </c>
      <c r="O42" s="94">
        <v>1</v>
      </c>
      <c r="P42" s="99">
        <f>IFERROR(_xll.qlRateHelperEarliestDate(J42,Trigger),"--")</f>
        <v>42304</v>
      </c>
      <c r="Q42" s="99">
        <f>IFERROR(_xll.qlRateHelperPillarDate(J42,Trigger),"--")</f>
        <v>42762</v>
      </c>
      <c r="S42" s="4" t="str">
        <f t="shared" si="0"/>
        <v/>
      </c>
      <c r="T42" s="4" t="e">
        <v>#N/A</v>
      </c>
      <c r="U42" s="4" t="str">
        <f>IFERROR(_xll.qlRateHelperQuoteName(T42,Trigger),"")</f>
        <v/>
      </c>
      <c r="V42" s="70" t="str">
        <f>IFERROR(_xll.qlRateHelperRate(T42,Trigger),"")</f>
        <v/>
      </c>
      <c r="W42" s="104" t="str">
        <f>IF(ISERROR(_xll.qlSwapRateHelperSpread($T42)),IF(ISERROR(_xll.qlFuturesRateHelperConvexityAdjustment($T42)),"",_xll.qlFuturesRateHelperConvexityAdjustment($T42)),_xll.qlSwapRateHelperSpread($T42))</f>
        <v/>
      </c>
      <c r="X42" s="5" t="str">
        <f>IFERROR(_xll.qlRateHelperEarliestDate(T42,Trigger),"")</f>
        <v/>
      </c>
      <c r="Y42" s="5" t="str">
        <f>IFERROR(_xll.qlRateHelperPillarDate(T42,Trigger),"")</f>
        <v/>
      </c>
      <c r="Z42" s="70" t="e">
        <v>#N/A</v>
      </c>
      <c r="AA42" s="77" t="e">
        <v>#N/A</v>
      </c>
      <c r="AB42" s="169" t="e">
        <v>#N/A</v>
      </c>
      <c r="AC42" s="170" t="e">
        <v>#N/A</v>
      </c>
      <c r="AD42" s="172" t="e">
        <f t="shared" si="2"/>
        <v>#N/A</v>
      </c>
      <c r="AE42" s="174" t="e">
        <v>#N/A</v>
      </c>
      <c r="AF42" s="173" t="e">
        <f t="shared" si="3"/>
        <v>#N/A</v>
      </c>
      <c r="AG42" s="170"/>
    </row>
    <row r="43" spans="1:33" ht="11.25" customHeight="1" x14ac:dyDescent="0.2">
      <c r="G43" s="46" t="s">
        <v>162</v>
      </c>
      <c r="I43" s="10" t="str">
        <f t="shared" si="8"/>
        <v>BasSw</v>
      </c>
      <c r="J43" s="94" t="str">
        <f t="shared" si="9"/>
        <v>obj_004d7#0005</v>
      </c>
      <c r="K43" s="146" t="str">
        <f>IFERROR(_xll.qlRateHelperQuoteName(J43,Trigger),"--")</f>
        <v>GBP6SONIA3L18M_LCHQuote</v>
      </c>
      <c r="L43" s="98" t="str">
        <f>IFERROR(_xll.qlRateHelperQuoteValue($J43,Trigger),"--")</f>
        <v>--</v>
      </c>
      <c r="M43" s="97" t="b">
        <v>0</v>
      </c>
      <c r="N43" s="94">
        <v>50</v>
      </c>
      <c r="O43" s="94">
        <v>1</v>
      </c>
      <c r="P43" s="99">
        <f>IFERROR(_xll.qlRateHelperEarliestDate(J43,Trigger),"--")</f>
        <v>42304</v>
      </c>
      <c r="Q43" s="99">
        <f>IFERROR(_xll.qlRateHelperPillarDate(J43,Trigger),"--")</f>
        <v>42852</v>
      </c>
      <c r="S43" s="4" t="str">
        <f t="shared" si="0"/>
        <v/>
      </c>
      <c r="T43" s="4" t="e">
        <v>#N/A</v>
      </c>
      <c r="U43" s="4" t="str">
        <f>IFERROR(_xll.qlRateHelperQuoteName(T43,Trigger),"")</f>
        <v/>
      </c>
      <c r="V43" s="70" t="str">
        <f>IFERROR(_xll.qlRateHelperRate(T43,Trigger),"")</f>
        <v/>
      </c>
      <c r="W43" s="104" t="str">
        <f>IF(ISERROR(_xll.qlSwapRateHelperSpread($T43)),IF(ISERROR(_xll.qlFuturesRateHelperConvexityAdjustment($T43)),"",_xll.qlFuturesRateHelperConvexityAdjustment($T43)),_xll.qlSwapRateHelperSpread($T43))</f>
        <v/>
      </c>
      <c r="X43" s="5" t="str">
        <f>IFERROR(_xll.qlRateHelperEarliestDate(T43,Trigger),"")</f>
        <v/>
      </c>
      <c r="Y43" s="5" t="str">
        <f>IFERROR(_xll.qlRateHelperPillarDate(T43,Trigger),"")</f>
        <v/>
      </c>
      <c r="Z43" s="70" t="e">
        <v>#N/A</v>
      </c>
      <c r="AA43" s="77" t="e">
        <v>#N/A</v>
      </c>
      <c r="AB43" s="169" t="e">
        <v>#N/A</v>
      </c>
      <c r="AC43" s="170" t="e">
        <v>#N/A</v>
      </c>
      <c r="AD43" s="172" t="e">
        <f t="shared" si="2"/>
        <v>#N/A</v>
      </c>
      <c r="AE43" s="174" t="e">
        <v>#N/A</v>
      </c>
      <c r="AF43" s="173" t="e">
        <f t="shared" si="3"/>
        <v>#N/A</v>
      </c>
      <c r="AG43" s="170"/>
    </row>
    <row r="44" spans="1:33" ht="12.75" customHeight="1" x14ac:dyDescent="0.2">
      <c r="A44" s="65" t="s">
        <v>9</v>
      </c>
      <c r="B44" s="65" t="s">
        <v>28</v>
      </c>
      <c r="C44" s="65" t="s">
        <v>77</v>
      </c>
      <c r="D44" s="65" t="s">
        <v>4</v>
      </c>
      <c r="E44" s="65" t="s">
        <v>1</v>
      </c>
      <c r="F44" s="65" t="s">
        <v>133</v>
      </c>
      <c r="G44" s="65" t="s">
        <v>24</v>
      </c>
      <c r="I44" s="10" t="str">
        <f t="shared" si="8"/>
        <v>BasSw</v>
      </c>
      <c r="J44" s="94" t="str">
        <f t="shared" si="9"/>
        <v>obj_004c0#0005</v>
      </c>
      <c r="K44" s="146" t="str">
        <f>IFERROR(_xll.qlRateHelperQuoteName(J44,Trigger),"--")</f>
        <v>GBP6SONIA3L21M_LCHQuote</v>
      </c>
      <c r="L44" s="98" t="str">
        <f>IFERROR(_xll.qlRateHelperQuoteValue($J44,Trigger),"--")</f>
        <v>--</v>
      </c>
      <c r="M44" s="97" t="b">
        <v>0</v>
      </c>
      <c r="N44" s="94">
        <v>50</v>
      </c>
      <c r="O44" s="94">
        <v>1</v>
      </c>
      <c r="P44" s="99">
        <f>IFERROR(_xll.qlRateHelperEarliestDate(J44,Trigger),"--")</f>
        <v>42304</v>
      </c>
      <c r="Q44" s="99">
        <f>IFERROR(_xll.qlRateHelperPillarDate(J44,Trigger),"--")</f>
        <v>42943</v>
      </c>
      <c r="S44" s="4" t="str">
        <f t="shared" si="0"/>
        <v/>
      </c>
      <c r="T44" s="4" t="e">
        <v>#N/A</v>
      </c>
      <c r="U44" s="4" t="str">
        <f>IFERROR(_xll.qlRateHelperQuoteName(T44,Trigger),"")</f>
        <v/>
      </c>
      <c r="V44" s="70" t="str">
        <f>IFERROR(_xll.qlRateHelperRate(T44,Trigger),"")</f>
        <v/>
      </c>
      <c r="W44" s="104" t="str">
        <f>IF(ISERROR(_xll.qlSwapRateHelperSpread($T44)),IF(ISERROR(_xll.qlFuturesRateHelperConvexityAdjustment($T44)),"",_xll.qlFuturesRateHelperConvexityAdjustment($T44)),_xll.qlSwapRateHelperSpread($T44))</f>
        <v/>
      </c>
      <c r="X44" s="5" t="str">
        <f>IFERROR(_xll.qlRateHelperEarliestDate(T44,Trigger),"")</f>
        <v/>
      </c>
      <c r="Y44" s="5" t="str">
        <f>IFERROR(_xll.qlRateHelperPillarDate(T44,Trigger),"")</f>
        <v/>
      </c>
      <c r="Z44" s="70" t="e">
        <v>#N/A</v>
      </c>
      <c r="AA44" s="77" t="e">
        <v>#N/A</v>
      </c>
      <c r="AB44" s="169" t="e">
        <v>#N/A</v>
      </c>
      <c r="AC44" s="170" t="e">
        <v>#N/A</v>
      </c>
      <c r="AD44" s="172" t="e">
        <f t="shared" si="2"/>
        <v>#N/A</v>
      </c>
      <c r="AE44" s="174" t="e">
        <v>#N/A</v>
      </c>
      <c r="AF44" s="173" t="e">
        <f t="shared" si="3"/>
        <v>#N/A</v>
      </c>
      <c r="AG44" s="170"/>
    </row>
    <row r="45" spans="1:33" ht="11.25" customHeight="1" x14ac:dyDescent="0.2">
      <c r="A45" s="53" t="s">
        <v>117</v>
      </c>
      <c r="B45" s="54" t="s">
        <v>27</v>
      </c>
      <c r="C45" s="55">
        <v>0</v>
      </c>
      <c r="D45" s="56" t="str">
        <f t="shared" ref="D45:D65" si="10">$D$1</f>
        <v>Sonia</v>
      </c>
      <c r="E45" s="57" t="str">
        <f t="shared" ref="E45:E81" si="11">IF(LCHQuoteOverwrite,Currency&amp;"6SONIA3L"&amp;B45&amp;LCHQuoteSuffix,Currency&amp;"6SONIA3L"&amp;B45&amp;QuoteSuffix)</f>
        <v>GBP6SONIA3L1Y_LCHQuote</v>
      </c>
      <c r="F45" s="175">
        <v>0</v>
      </c>
      <c r="G45" s="58" t="str">
        <f>_xll.qlOISRateHelper2(,$C45,$B45,$E45,$D45,,"Semiannual",Permanent,Trigger,ObjectOverwrite)</f>
        <v>obj_004ad#0005</v>
      </c>
      <c r="I45" s="10" t="str">
        <f t="shared" si="8"/>
        <v>BasSw</v>
      </c>
      <c r="J45" s="94" t="str">
        <f t="shared" si="9"/>
        <v>obj_004e2#0005</v>
      </c>
      <c r="K45" s="146" t="str">
        <f>IFERROR(_xll.qlRateHelperQuoteName(J45,Trigger),"--")</f>
        <v>GBP6SONIA3L2Y_LCHQuote</v>
      </c>
      <c r="L45" s="98" t="str">
        <f>IFERROR(_xll.qlRateHelperQuoteValue($J45,Trigger),"--")</f>
        <v>--</v>
      </c>
      <c r="M45" s="97" t="b">
        <v>0</v>
      </c>
      <c r="N45" s="94">
        <v>50</v>
      </c>
      <c r="O45" s="94">
        <v>1</v>
      </c>
      <c r="P45" s="99">
        <f>IFERROR(_xll.qlRateHelperEarliestDate(J45,Trigger),"--")</f>
        <v>42304</v>
      </c>
      <c r="Q45" s="99">
        <f>IFERROR(_xll.qlRateHelperPillarDate(J45,Trigger),"--")</f>
        <v>43035</v>
      </c>
      <c r="S45" s="4" t="str">
        <f t="shared" ref="S45:S77" si="12">IFERROR(INDEX($I$3:$I$77,MATCH(U45,$K$3:$K$77,0),1),"")</f>
        <v/>
      </c>
      <c r="T45" s="4" t="e">
        <v>#N/A</v>
      </c>
      <c r="U45" s="4" t="str">
        <f>IFERROR(_xll.qlRateHelperQuoteName(T45,Trigger),"")</f>
        <v/>
      </c>
      <c r="V45" s="70" t="str">
        <f>IFERROR(_xll.qlRateHelperRate(T45,Trigger),"")</f>
        <v/>
      </c>
      <c r="W45" s="104" t="str">
        <f>IF(ISERROR(_xll.qlSwapRateHelperSpread($T45)),IF(ISERROR(_xll.qlFuturesRateHelperConvexityAdjustment($T45)),"",_xll.qlFuturesRateHelperConvexityAdjustment($T45)),_xll.qlSwapRateHelperSpread($T45))</f>
        <v/>
      </c>
      <c r="X45" s="5" t="str">
        <f>IFERROR(_xll.qlRateHelperEarliestDate(T45,Trigger),"")</f>
        <v/>
      </c>
      <c r="Y45" s="5" t="str">
        <f>IFERROR(_xll.qlRateHelperPillarDate(T45,Trigger),"")</f>
        <v/>
      </c>
      <c r="Z45" s="70" t="e">
        <v>#N/A</v>
      </c>
      <c r="AA45" s="77" t="e">
        <v>#N/A</v>
      </c>
      <c r="AB45" s="169" t="e">
        <v>#N/A</v>
      </c>
      <c r="AC45" s="170" t="e">
        <v>#N/A</v>
      </c>
      <c r="AD45" s="172" t="e">
        <f t="shared" si="2"/>
        <v>#N/A</v>
      </c>
      <c r="AE45" s="174" t="e">
        <v>#N/A</v>
      </c>
      <c r="AF45" s="173" t="e">
        <f t="shared" si="3"/>
        <v>#N/A</v>
      </c>
      <c r="AG45" s="170"/>
    </row>
    <row r="46" spans="1:33" ht="11.25" customHeight="1" x14ac:dyDescent="0.2">
      <c r="A46" s="59" t="s">
        <v>117</v>
      </c>
      <c r="B46" s="60" t="s">
        <v>48</v>
      </c>
      <c r="C46" s="61">
        <v>0</v>
      </c>
      <c r="D46" s="62" t="str">
        <f t="shared" si="10"/>
        <v>Sonia</v>
      </c>
      <c r="E46" s="63" t="str">
        <f t="shared" si="11"/>
        <v>GBP6SONIA3L15M_LCHQuote</v>
      </c>
      <c r="F46" s="176">
        <v>0</v>
      </c>
      <c r="G46" s="64" t="str">
        <f>_xll.qlOISRateHelper2(,$C46,$B46,$E46,$D46,,"Semiannual",Permanent,Trigger,ObjectOverwrite)</f>
        <v>obj_0051e#0005</v>
      </c>
      <c r="I46" s="10" t="str">
        <f t="shared" si="8"/>
        <v>BasSw</v>
      </c>
      <c r="J46" s="94" t="str">
        <f t="shared" si="9"/>
        <v>obj_004d6#0005</v>
      </c>
      <c r="K46" s="146" t="str">
        <f>IFERROR(_xll.qlRateHelperQuoteName(J46,Trigger),"--")</f>
        <v>GBP6SONIA3L3Y_LCHQuote</v>
      </c>
      <c r="L46" s="98">
        <f>IFERROR(_xll.qlRateHelperQuoteValue($J46,Trigger),"--")</f>
        <v>7.7307499999999998E-3</v>
      </c>
      <c r="M46" s="97" t="b">
        <v>1</v>
      </c>
      <c r="N46" s="94">
        <v>50</v>
      </c>
      <c r="O46" s="94">
        <v>1</v>
      </c>
      <c r="P46" s="99">
        <f>IFERROR(_xll.qlRateHelperEarliestDate(J46,Trigger),"--")</f>
        <v>42304</v>
      </c>
      <c r="Q46" s="99">
        <f>IFERROR(_xll.qlRateHelperPillarDate(J46,Trigger),"--")</f>
        <v>43402</v>
      </c>
      <c r="S46" s="4" t="str">
        <f t="shared" si="12"/>
        <v/>
      </c>
      <c r="T46" s="4" t="e">
        <v>#N/A</v>
      </c>
      <c r="U46" s="4" t="str">
        <f>IFERROR(_xll.qlRateHelperQuoteName(T46,Trigger),"")</f>
        <v/>
      </c>
      <c r="V46" s="70" t="str">
        <f>IFERROR(_xll.qlRateHelperRate(T46,Trigger),"")</f>
        <v/>
      </c>
      <c r="W46" s="104" t="str">
        <f>IF(ISERROR(_xll.qlSwapRateHelperSpread($T46)),IF(ISERROR(_xll.qlFuturesRateHelperConvexityAdjustment($T46)),"",_xll.qlFuturesRateHelperConvexityAdjustment($T46)),_xll.qlSwapRateHelperSpread($T46))</f>
        <v/>
      </c>
      <c r="X46" s="5" t="str">
        <f>IFERROR(_xll.qlRateHelperEarliestDate(T46,Trigger),"")</f>
        <v/>
      </c>
      <c r="Y46" s="5" t="str">
        <f>IFERROR(_xll.qlRateHelperPillarDate(T46,Trigger),"")</f>
        <v/>
      </c>
      <c r="Z46" s="70" t="e">
        <v>#N/A</v>
      </c>
      <c r="AA46" s="77" t="e">
        <v>#N/A</v>
      </c>
      <c r="AB46" s="169" t="e">
        <v>#N/A</v>
      </c>
      <c r="AC46" s="170" t="e">
        <v>#N/A</v>
      </c>
      <c r="AD46" s="172" t="e">
        <f t="shared" si="2"/>
        <v>#N/A</v>
      </c>
      <c r="AE46" s="174" t="e">
        <v>#N/A</v>
      </c>
      <c r="AF46" s="173" t="e">
        <f t="shared" si="3"/>
        <v>#N/A</v>
      </c>
      <c r="AG46" s="170"/>
    </row>
    <row r="47" spans="1:33" ht="11.25" customHeight="1" x14ac:dyDescent="0.2">
      <c r="A47" s="59" t="s">
        <v>117</v>
      </c>
      <c r="B47" s="60" t="s">
        <v>49</v>
      </c>
      <c r="C47" s="61">
        <v>0</v>
      </c>
      <c r="D47" s="62" t="str">
        <f t="shared" si="10"/>
        <v>Sonia</v>
      </c>
      <c r="E47" s="63" t="str">
        <f t="shared" si="11"/>
        <v>GBP6SONIA3L18M_LCHQuote</v>
      </c>
      <c r="F47" s="176">
        <v>0</v>
      </c>
      <c r="G47" s="64" t="str">
        <f>_xll.qlOISRateHelper2(,$C47,$B47,$E47,$D47,,"Semiannual",Permanent,Trigger,ObjectOverwrite)</f>
        <v>obj_004d7#0005</v>
      </c>
      <c r="I47" s="10" t="str">
        <f t="shared" si="8"/>
        <v>BasSw</v>
      </c>
      <c r="J47" s="94" t="str">
        <f t="shared" si="9"/>
        <v>obj_004c8#0005</v>
      </c>
      <c r="K47" s="146" t="str">
        <f>IFERROR(_xll.qlRateHelperQuoteName(J47,Trigger),"--")</f>
        <v>GBP6SONIA3L4Y_LCHQuote</v>
      </c>
      <c r="L47" s="98">
        <f>IFERROR(_xll.qlRateHelperQuoteValue($J47,Trigger),"--")</f>
        <v>9.1140000000000995E-3</v>
      </c>
      <c r="M47" s="97" t="b">
        <v>1</v>
      </c>
      <c r="N47" s="94">
        <v>50</v>
      </c>
      <c r="O47" s="94">
        <v>1</v>
      </c>
      <c r="P47" s="99">
        <f>IFERROR(_xll.qlRateHelperEarliestDate(J47,Trigger),"--")</f>
        <v>42304</v>
      </c>
      <c r="Q47" s="99">
        <f>IFERROR(_xll.qlRateHelperPillarDate(J47,Trigger),"--")</f>
        <v>43766</v>
      </c>
      <c r="S47" s="4" t="str">
        <f t="shared" si="12"/>
        <v/>
      </c>
      <c r="T47" s="4" t="e">
        <v>#N/A</v>
      </c>
      <c r="U47" s="4" t="str">
        <f>IFERROR(_xll.qlRateHelperQuoteName(T47,Trigger),"")</f>
        <v/>
      </c>
      <c r="V47" s="70" t="str">
        <f>IFERROR(_xll.qlRateHelperRate(T47,Trigger),"")</f>
        <v/>
      </c>
      <c r="W47" s="104" t="str">
        <f>IF(ISERROR(_xll.qlSwapRateHelperSpread($T47)),IF(ISERROR(_xll.qlFuturesRateHelperConvexityAdjustment($T47)),"",_xll.qlFuturesRateHelperConvexityAdjustment($T47)),_xll.qlSwapRateHelperSpread($T47))</f>
        <v/>
      </c>
      <c r="X47" s="5" t="str">
        <f>IFERROR(_xll.qlRateHelperEarliestDate(T47,Trigger),"")</f>
        <v/>
      </c>
      <c r="Y47" s="5" t="str">
        <f>IFERROR(_xll.qlRateHelperPillarDate(T47,Trigger),"")</f>
        <v/>
      </c>
      <c r="Z47" s="70" t="e">
        <v>#N/A</v>
      </c>
      <c r="AA47" s="77" t="e">
        <v>#N/A</v>
      </c>
      <c r="AB47" s="169" t="e">
        <v>#N/A</v>
      </c>
      <c r="AC47" s="170" t="e">
        <v>#N/A</v>
      </c>
      <c r="AD47" s="172" t="e">
        <f t="shared" si="2"/>
        <v>#N/A</v>
      </c>
      <c r="AE47" s="174" t="e">
        <v>#N/A</v>
      </c>
      <c r="AF47" s="173" t="e">
        <f t="shared" si="3"/>
        <v>#N/A</v>
      </c>
      <c r="AG47" s="170"/>
    </row>
    <row r="48" spans="1:33" ht="11.25" customHeight="1" x14ac:dyDescent="0.2">
      <c r="A48" s="59" t="s">
        <v>117</v>
      </c>
      <c r="B48" s="60" t="s">
        <v>50</v>
      </c>
      <c r="C48" s="61">
        <v>0</v>
      </c>
      <c r="D48" s="62" t="str">
        <f t="shared" si="10"/>
        <v>Sonia</v>
      </c>
      <c r="E48" s="63" t="str">
        <f t="shared" si="11"/>
        <v>GBP6SONIA3L21M_LCHQuote</v>
      </c>
      <c r="F48" s="176">
        <v>0</v>
      </c>
      <c r="G48" s="64" t="str">
        <f>_xll.qlOISRateHelper2(,$C48,$B48,$E48,$D48,,"Semiannual",Permanent,Trigger,ObjectOverwrite)</f>
        <v>obj_004c0#0005</v>
      </c>
      <c r="I48" s="10" t="str">
        <f t="shared" si="8"/>
        <v>BasSw</v>
      </c>
      <c r="J48" s="94" t="str">
        <f t="shared" si="9"/>
        <v>obj_004e9#0005</v>
      </c>
      <c r="K48" s="146" t="str">
        <f>IFERROR(_xll.qlRateHelperQuoteName(J48,Trigger),"--")</f>
        <v>GBP6SONIA3L5Y_LCHQuote</v>
      </c>
      <c r="L48" s="98">
        <f>IFERROR(_xll.qlRateHelperQuoteValue($J48,Trigger),"--")</f>
        <v>1.041425E-2</v>
      </c>
      <c r="M48" s="97" t="b">
        <v>1</v>
      </c>
      <c r="N48" s="94">
        <v>50</v>
      </c>
      <c r="O48" s="94">
        <v>1</v>
      </c>
      <c r="P48" s="99">
        <f>IFERROR(_xll.qlRateHelperEarliestDate(J48,Trigger),"--")</f>
        <v>42304</v>
      </c>
      <c r="Q48" s="99">
        <f>IFERROR(_xll.qlRateHelperPillarDate(J48,Trigger),"--")</f>
        <v>44131</v>
      </c>
      <c r="S48" s="4" t="str">
        <f t="shared" si="12"/>
        <v/>
      </c>
      <c r="T48" s="4" t="e">
        <v>#N/A</v>
      </c>
      <c r="U48" s="4" t="str">
        <f>IFERROR(_xll.qlRateHelperQuoteName(T48,Trigger),"")</f>
        <v/>
      </c>
      <c r="V48" s="70" t="str">
        <f>IFERROR(_xll.qlRateHelperRate(T48,Trigger),"")</f>
        <v/>
      </c>
      <c r="W48" s="104" t="str">
        <f>IF(ISERROR(_xll.qlSwapRateHelperSpread($T48)),IF(ISERROR(_xll.qlFuturesRateHelperConvexityAdjustment($T48)),"",_xll.qlFuturesRateHelperConvexityAdjustment($T48)),_xll.qlSwapRateHelperSpread($T48))</f>
        <v/>
      </c>
      <c r="X48" s="5" t="str">
        <f>IFERROR(_xll.qlRateHelperEarliestDate(T48,Trigger),"")</f>
        <v/>
      </c>
      <c r="Y48" s="5" t="str">
        <f>IFERROR(_xll.qlRateHelperPillarDate(T48,Trigger),"")</f>
        <v/>
      </c>
      <c r="Z48" s="70" t="e">
        <v>#N/A</v>
      </c>
      <c r="AA48" s="77" t="e">
        <v>#N/A</v>
      </c>
      <c r="AB48" s="169" t="e">
        <v>#N/A</v>
      </c>
      <c r="AC48" s="170" t="e">
        <v>#N/A</v>
      </c>
      <c r="AD48" s="172" t="e">
        <f t="shared" si="2"/>
        <v>#N/A</v>
      </c>
      <c r="AE48" s="174" t="e">
        <v>#N/A</v>
      </c>
      <c r="AF48" s="173" t="e">
        <f t="shared" si="3"/>
        <v>#N/A</v>
      </c>
      <c r="AG48" s="170"/>
    </row>
    <row r="49" spans="1:33" ht="11.25" customHeight="1" x14ac:dyDescent="0.2">
      <c r="A49" s="59" t="s">
        <v>117</v>
      </c>
      <c r="B49" s="60" t="s">
        <v>51</v>
      </c>
      <c r="C49" s="61">
        <v>0</v>
      </c>
      <c r="D49" s="62" t="str">
        <f t="shared" si="10"/>
        <v>Sonia</v>
      </c>
      <c r="E49" s="63" t="str">
        <f t="shared" si="11"/>
        <v>GBP6SONIA3L2Y_LCHQuote</v>
      </c>
      <c r="F49" s="176">
        <v>0</v>
      </c>
      <c r="G49" s="64" t="str">
        <f>_xll.qlOISRateHelper2(,$C49,$B49,$E49,$D49,,"Semiannual",Permanent,Trigger,ObjectOverwrite)</f>
        <v>obj_004e2#0005</v>
      </c>
      <c r="I49" s="10" t="str">
        <f t="shared" si="8"/>
        <v>BasSw</v>
      </c>
      <c r="J49" s="94" t="str">
        <f t="shared" si="9"/>
        <v>obj_00498#0005</v>
      </c>
      <c r="K49" s="146" t="str">
        <f>IFERROR(_xll.qlRateHelperQuoteName(J49,Trigger),"--")</f>
        <v>GBP6SONIA3L6Y_LCHQuote</v>
      </c>
      <c r="L49" s="98">
        <f>IFERROR(_xll.qlRateHelperQuoteValue($J49,Trigger),"--")</f>
        <v>1.1572000000000001E-2</v>
      </c>
      <c r="M49" s="97" t="b">
        <v>1</v>
      </c>
      <c r="N49" s="94">
        <v>50</v>
      </c>
      <c r="O49" s="94">
        <v>1</v>
      </c>
      <c r="P49" s="99">
        <f>IFERROR(_xll.qlRateHelperEarliestDate(J49,Trigger),"--")</f>
        <v>42304</v>
      </c>
      <c r="Q49" s="99">
        <f>IFERROR(_xll.qlRateHelperPillarDate(J49,Trigger),"--")</f>
        <v>44496</v>
      </c>
      <c r="S49" s="4" t="str">
        <f t="shared" si="12"/>
        <v/>
      </c>
      <c r="T49" s="4" t="e">
        <v>#N/A</v>
      </c>
      <c r="U49" s="4" t="str">
        <f>IFERROR(_xll.qlRateHelperQuoteName(T49,Trigger),"")</f>
        <v/>
      </c>
      <c r="V49" s="70" t="str">
        <f>IFERROR(_xll.qlRateHelperRate(T49,Trigger),"")</f>
        <v/>
      </c>
      <c r="W49" s="104" t="str">
        <f>IF(ISERROR(_xll.qlSwapRateHelperSpread($T49)),IF(ISERROR(_xll.qlFuturesRateHelperConvexityAdjustment($T49)),"",_xll.qlFuturesRateHelperConvexityAdjustment($T49)),_xll.qlSwapRateHelperSpread($T49))</f>
        <v/>
      </c>
      <c r="X49" s="5" t="str">
        <f>IFERROR(_xll.qlRateHelperEarliestDate(T49,Trigger),"")</f>
        <v/>
      </c>
      <c r="Y49" s="5" t="str">
        <f>IFERROR(_xll.qlRateHelperPillarDate(T49,Trigger),"")</f>
        <v/>
      </c>
      <c r="Z49" s="70" t="e">
        <v>#N/A</v>
      </c>
      <c r="AA49" s="77" t="e">
        <v>#N/A</v>
      </c>
      <c r="AB49" s="169" t="e">
        <v>#N/A</v>
      </c>
      <c r="AC49" s="170" t="e">
        <v>#N/A</v>
      </c>
      <c r="AD49" s="172" t="e">
        <f t="shared" si="2"/>
        <v>#N/A</v>
      </c>
      <c r="AE49" s="174" t="e">
        <v>#N/A</v>
      </c>
      <c r="AF49" s="173" t="e">
        <f t="shared" si="3"/>
        <v>#N/A</v>
      </c>
      <c r="AG49" s="170"/>
    </row>
    <row r="50" spans="1:33" ht="11.25" customHeight="1" x14ac:dyDescent="0.2">
      <c r="A50" s="59" t="s">
        <v>117</v>
      </c>
      <c r="B50" s="60" t="s">
        <v>52</v>
      </c>
      <c r="C50" s="61">
        <v>0</v>
      </c>
      <c r="D50" s="62" t="str">
        <f t="shared" si="10"/>
        <v>Sonia</v>
      </c>
      <c r="E50" s="63" t="str">
        <f t="shared" si="11"/>
        <v>GBP6SONIA3L3Y_LCHQuote</v>
      </c>
      <c r="F50" s="176">
        <v>0</v>
      </c>
      <c r="G50" s="64" t="str">
        <f>_xll.qlOISRateHelper2(,$C50,$B50,$E50,$D50,,"Semiannual",Permanent,Trigger,ObjectOverwrite)</f>
        <v>obj_004d6#0005</v>
      </c>
      <c r="I50" s="10" t="str">
        <f t="shared" si="8"/>
        <v>BasSw</v>
      </c>
      <c r="J50" s="94" t="str">
        <f t="shared" si="9"/>
        <v>obj_0049a#0005</v>
      </c>
      <c r="K50" s="146" t="str">
        <f>IFERROR(_xll.qlRateHelperQuoteName(J50,Trigger),"--")</f>
        <v>GBP6SONIA3L7Y_LCHQuote</v>
      </c>
      <c r="L50" s="98">
        <f>IFERROR(_xll.qlRateHelperQuoteValue($J50,Trigger),"--")</f>
        <v>1.2550250000000001E-2</v>
      </c>
      <c r="M50" s="97" t="b">
        <v>1</v>
      </c>
      <c r="N50" s="94">
        <v>50</v>
      </c>
      <c r="O50" s="94">
        <v>1</v>
      </c>
      <c r="P50" s="99">
        <f>IFERROR(_xll.qlRateHelperEarliestDate(J50,Trigger),"--")</f>
        <v>42304</v>
      </c>
      <c r="Q50" s="99">
        <f>IFERROR(_xll.qlRateHelperPillarDate(J50,Trigger),"--")</f>
        <v>44861</v>
      </c>
      <c r="S50" s="4" t="str">
        <f t="shared" si="12"/>
        <v/>
      </c>
      <c r="T50" s="4" t="e">
        <v>#N/A</v>
      </c>
      <c r="U50" s="4" t="str">
        <f>IFERROR(_xll.qlRateHelperQuoteName(T50,Trigger),"")</f>
        <v/>
      </c>
      <c r="V50" s="70" t="str">
        <f>IFERROR(_xll.qlRateHelperRate(T50,Trigger),"")</f>
        <v/>
      </c>
      <c r="W50" s="104" t="str">
        <f>IF(ISERROR(_xll.qlSwapRateHelperSpread($T50)),IF(ISERROR(_xll.qlFuturesRateHelperConvexityAdjustment($T50)),"",_xll.qlFuturesRateHelperConvexityAdjustment($T50)),_xll.qlSwapRateHelperSpread($T50))</f>
        <v/>
      </c>
      <c r="X50" s="5" t="str">
        <f>IFERROR(_xll.qlRateHelperEarliestDate(T50,Trigger),"")</f>
        <v/>
      </c>
      <c r="Y50" s="5" t="str">
        <f>IFERROR(_xll.qlRateHelperPillarDate(T50,Trigger),"")</f>
        <v/>
      </c>
      <c r="Z50" s="70" t="e">
        <v>#N/A</v>
      </c>
      <c r="AA50" s="77" t="e">
        <v>#N/A</v>
      </c>
      <c r="AB50" s="169" t="e">
        <v>#N/A</v>
      </c>
      <c r="AC50" s="170" t="e">
        <v>#N/A</v>
      </c>
      <c r="AD50" s="172" t="e">
        <f t="shared" si="2"/>
        <v>#N/A</v>
      </c>
      <c r="AE50" s="174" t="e">
        <v>#N/A</v>
      </c>
      <c r="AF50" s="173" t="e">
        <f t="shared" si="3"/>
        <v>#N/A</v>
      </c>
      <c r="AG50" s="170"/>
    </row>
    <row r="51" spans="1:33" ht="11.25" customHeight="1" x14ac:dyDescent="0.2">
      <c r="A51" s="59" t="s">
        <v>117</v>
      </c>
      <c r="B51" s="60" t="s">
        <v>53</v>
      </c>
      <c r="C51" s="61">
        <v>0</v>
      </c>
      <c r="D51" s="62" t="str">
        <f t="shared" si="10"/>
        <v>Sonia</v>
      </c>
      <c r="E51" s="63" t="str">
        <f t="shared" si="11"/>
        <v>GBP6SONIA3L4Y_LCHQuote</v>
      </c>
      <c r="F51" s="176">
        <v>0</v>
      </c>
      <c r="G51" s="64" t="str">
        <f>_xll.qlOISRateHelper2(,$C51,$B51,$E51,$D51,,"Semiannual",Permanent,Trigger,ObjectOverwrite)</f>
        <v>obj_004c8#0005</v>
      </c>
      <c r="I51" s="10" t="str">
        <f t="shared" si="8"/>
        <v>BasSw</v>
      </c>
      <c r="J51" s="94" t="str">
        <f t="shared" si="9"/>
        <v>obj_004bf#0005</v>
      </c>
      <c r="K51" s="146" t="str">
        <f>IFERROR(_xll.qlRateHelperQuoteName(J51,Trigger),"--")</f>
        <v>GBP6SONIA3L8Y_LCHQuote</v>
      </c>
      <c r="L51" s="98">
        <f>IFERROR(_xll.qlRateHelperQuoteValue($J51,Trigger),"--")</f>
        <v>1.3366499999999899E-2</v>
      </c>
      <c r="M51" s="97" t="b">
        <v>1</v>
      </c>
      <c r="N51" s="94">
        <v>50</v>
      </c>
      <c r="O51" s="94">
        <v>1</v>
      </c>
      <c r="P51" s="99">
        <f>IFERROR(_xll.qlRateHelperEarliestDate(J51,Trigger),"--")</f>
        <v>42304</v>
      </c>
      <c r="Q51" s="99">
        <f>IFERROR(_xll.qlRateHelperPillarDate(J51,Trigger),"--")</f>
        <v>45226</v>
      </c>
      <c r="S51" s="4" t="str">
        <f t="shared" si="12"/>
        <v/>
      </c>
      <c r="T51" s="4" t="e">
        <v>#N/A</v>
      </c>
      <c r="U51" s="4" t="str">
        <f>IFERROR(_xll.qlRateHelperQuoteName(T51,Trigger),"")</f>
        <v/>
      </c>
      <c r="V51" s="70" t="str">
        <f>IFERROR(_xll.qlRateHelperRate(T51,Trigger),"")</f>
        <v/>
      </c>
      <c r="W51" s="104" t="str">
        <f>IF(ISERROR(_xll.qlSwapRateHelperSpread($T51)),IF(ISERROR(_xll.qlFuturesRateHelperConvexityAdjustment($T51)),"",_xll.qlFuturesRateHelperConvexityAdjustment($T51)),_xll.qlSwapRateHelperSpread($T51))</f>
        <v/>
      </c>
      <c r="X51" s="5" t="str">
        <f>IFERROR(_xll.qlRateHelperEarliestDate(T51,Trigger),"")</f>
        <v/>
      </c>
      <c r="Y51" s="5" t="str">
        <f>IFERROR(_xll.qlRateHelperPillarDate(T51,Trigger),"")</f>
        <v/>
      </c>
      <c r="Z51" s="70" t="e">
        <v>#N/A</v>
      </c>
      <c r="AA51" s="77" t="e">
        <v>#N/A</v>
      </c>
      <c r="AB51" s="169" t="e">
        <v>#N/A</v>
      </c>
      <c r="AC51" s="170" t="e">
        <v>#N/A</v>
      </c>
      <c r="AD51" s="172" t="e">
        <f t="shared" si="2"/>
        <v>#N/A</v>
      </c>
      <c r="AE51" s="174" t="e">
        <v>#N/A</v>
      </c>
      <c r="AF51" s="173" t="e">
        <f t="shared" si="3"/>
        <v>#N/A</v>
      </c>
      <c r="AG51" s="170"/>
    </row>
    <row r="52" spans="1:33" ht="11.25" customHeight="1" x14ac:dyDescent="0.2">
      <c r="A52" s="59" t="s">
        <v>117</v>
      </c>
      <c r="B52" s="60" t="s">
        <v>54</v>
      </c>
      <c r="C52" s="61">
        <v>0</v>
      </c>
      <c r="D52" s="62" t="str">
        <f t="shared" si="10"/>
        <v>Sonia</v>
      </c>
      <c r="E52" s="63" t="str">
        <f t="shared" si="11"/>
        <v>GBP6SONIA3L5Y_LCHQuote</v>
      </c>
      <c r="F52" s="176">
        <v>0</v>
      </c>
      <c r="G52" s="64" t="str">
        <f>_xll.qlOISRateHelper2(,$C52,$B52,$E52,$D52,,"Semiannual",Permanent,Trigger,ObjectOverwrite)</f>
        <v>obj_004e9#0005</v>
      </c>
      <c r="I52" s="10" t="str">
        <f t="shared" si="8"/>
        <v>BasSw</v>
      </c>
      <c r="J52" s="94" t="str">
        <f t="shared" si="9"/>
        <v>obj_004b7#0005</v>
      </c>
      <c r="K52" s="146" t="str">
        <f>IFERROR(_xll.qlRateHelperQuoteName(J52,Trigger),"--")</f>
        <v>GBP6SONIA3L9Y_LCHQuote</v>
      </c>
      <c r="L52" s="98">
        <f>IFERROR(_xll.qlRateHelperQuoteValue($J52,Trigger),"--")</f>
        <v>1.4111000000000099E-2</v>
      </c>
      <c r="M52" s="97" t="b">
        <v>1</v>
      </c>
      <c r="N52" s="94">
        <v>50</v>
      </c>
      <c r="O52" s="94">
        <v>1</v>
      </c>
      <c r="P52" s="99">
        <f>IFERROR(_xll.qlRateHelperEarliestDate(J52,Trigger),"--")</f>
        <v>42304</v>
      </c>
      <c r="Q52" s="99">
        <f>IFERROR(_xll.qlRateHelperPillarDate(J52,Trigger),"--")</f>
        <v>45593</v>
      </c>
      <c r="S52" s="4" t="str">
        <f t="shared" si="12"/>
        <v/>
      </c>
      <c r="T52" s="4" t="e">
        <v>#N/A</v>
      </c>
      <c r="U52" s="4" t="str">
        <f>IFERROR(_xll.qlRateHelperQuoteName(T52,Trigger),"")</f>
        <v/>
      </c>
      <c r="V52" s="70" t="str">
        <f>IFERROR(_xll.qlRateHelperRate(T52,Trigger),"")</f>
        <v/>
      </c>
      <c r="W52" s="104" t="str">
        <f>IF(ISERROR(_xll.qlSwapRateHelperSpread($T52)),IF(ISERROR(_xll.qlFuturesRateHelperConvexityAdjustment($T52)),"",_xll.qlFuturesRateHelperConvexityAdjustment($T52)),_xll.qlSwapRateHelperSpread($T52))</f>
        <v/>
      </c>
      <c r="X52" s="5" t="str">
        <f>IFERROR(_xll.qlRateHelperEarliestDate(T52,Trigger),"")</f>
        <v/>
      </c>
      <c r="Y52" s="5" t="str">
        <f>IFERROR(_xll.qlRateHelperPillarDate(T52,Trigger),"")</f>
        <v/>
      </c>
      <c r="Z52" s="70" t="e">
        <v>#N/A</v>
      </c>
      <c r="AA52" s="77" t="e">
        <v>#N/A</v>
      </c>
      <c r="AB52" s="169" t="e">
        <v>#N/A</v>
      </c>
      <c r="AC52" s="170" t="e">
        <v>#N/A</v>
      </c>
      <c r="AD52" s="172" t="e">
        <f t="shared" si="2"/>
        <v>#N/A</v>
      </c>
      <c r="AE52" s="174" t="e">
        <v>#N/A</v>
      </c>
      <c r="AF52" s="173" t="e">
        <f t="shared" si="3"/>
        <v>#N/A</v>
      </c>
      <c r="AG52" s="170"/>
    </row>
    <row r="53" spans="1:33" ht="11.25" customHeight="1" x14ac:dyDescent="0.2">
      <c r="A53" s="59" t="s">
        <v>117</v>
      </c>
      <c r="B53" s="60" t="s">
        <v>55</v>
      </c>
      <c r="C53" s="61">
        <v>0</v>
      </c>
      <c r="D53" s="62" t="str">
        <f t="shared" si="10"/>
        <v>Sonia</v>
      </c>
      <c r="E53" s="63" t="str">
        <f t="shared" si="11"/>
        <v>GBP6SONIA3L6Y_LCHQuote</v>
      </c>
      <c r="F53" s="176">
        <v>0</v>
      </c>
      <c r="G53" s="64" t="str">
        <f>_xll.qlOISRateHelper2(,$C53,$B53,$E53,$D53,,"Semiannual",Permanent,Trigger,ObjectOverwrite)</f>
        <v>obj_00498#0005</v>
      </c>
      <c r="I53" s="10" t="str">
        <f t="shared" si="8"/>
        <v>BasSw</v>
      </c>
      <c r="J53" s="94" t="str">
        <f t="shared" si="9"/>
        <v>obj_00497#0005</v>
      </c>
      <c r="K53" s="146" t="str">
        <f>IFERROR(_xll.qlRateHelperQuoteName(J53,Trigger),"--")</f>
        <v>GBP6SONIA3L10Y_LCHQuote</v>
      </c>
      <c r="L53" s="98">
        <f>IFERROR(_xll.qlRateHelperQuoteValue($J53,Trigger),"--")</f>
        <v>1.47614999999999E-2</v>
      </c>
      <c r="M53" s="97" t="b">
        <v>1</v>
      </c>
      <c r="N53" s="94">
        <v>50</v>
      </c>
      <c r="O53" s="94">
        <v>1</v>
      </c>
      <c r="P53" s="99">
        <f>IFERROR(_xll.qlRateHelperEarliestDate(J53,Trigger),"--")</f>
        <v>42304</v>
      </c>
      <c r="Q53" s="99">
        <f>IFERROR(_xll.qlRateHelperPillarDate(J53,Trigger),"--")</f>
        <v>45957</v>
      </c>
      <c r="S53" s="4" t="str">
        <f t="shared" si="12"/>
        <v/>
      </c>
      <c r="T53" s="4" t="e">
        <v>#N/A</v>
      </c>
      <c r="U53" s="4" t="str">
        <f>IFERROR(_xll.qlRateHelperQuoteName(T53,Trigger),"")</f>
        <v/>
      </c>
      <c r="V53" s="70" t="str">
        <f>IFERROR(_xll.qlRateHelperRate(T53,Trigger),"")</f>
        <v/>
      </c>
      <c r="W53" s="104" t="str">
        <f>IF(ISERROR(_xll.qlSwapRateHelperSpread($T53)),IF(ISERROR(_xll.qlFuturesRateHelperConvexityAdjustment($T53)),"",_xll.qlFuturesRateHelperConvexityAdjustment($T53)),_xll.qlSwapRateHelperSpread($T53))</f>
        <v/>
      </c>
      <c r="X53" s="5" t="str">
        <f>IFERROR(_xll.qlRateHelperEarliestDate(T53,Trigger),"")</f>
        <v/>
      </c>
      <c r="Y53" s="5" t="str">
        <f>IFERROR(_xll.qlRateHelperPillarDate(T53,Trigger),"")</f>
        <v/>
      </c>
      <c r="Z53" s="70" t="e">
        <v>#N/A</v>
      </c>
      <c r="AA53" s="77" t="e">
        <v>#N/A</v>
      </c>
      <c r="AB53" s="169" t="e">
        <v>#N/A</v>
      </c>
      <c r="AC53" s="170" t="e">
        <v>#N/A</v>
      </c>
      <c r="AD53" s="172" t="e">
        <f t="shared" si="2"/>
        <v>#N/A</v>
      </c>
      <c r="AE53" s="174" t="e">
        <v>#N/A</v>
      </c>
      <c r="AF53" s="173" t="e">
        <f t="shared" si="3"/>
        <v>#N/A</v>
      </c>
      <c r="AG53" s="170"/>
    </row>
    <row r="54" spans="1:33" ht="11.25" customHeight="1" x14ac:dyDescent="0.2">
      <c r="A54" s="59" t="s">
        <v>117</v>
      </c>
      <c r="B54" s="60" t="s">
        <v>56</v>
      </c>
      <c r="C54" s="61">
        <v>0</v>
      </c>
      <c r="D54" s="62" t="str">
        <f t="shared" si="10"/>
        <v>Sonia</v>
      </c>
      <c r="E54" s="63" t="str">
        <f t="shared" si="11"/>
        <v>GBP6SONIA3L7Y_LCHQuote</v>
      </c>
      <c r="F54" s="176">
        <v>0</v>
      </c>
      <c r="G54" s="64" t="str">
        <f>_xll.qlOISRateHelper2(,$C54,$B54,$E54,$D54,,"Semiannual",Permanent,Trigger,ObjectOverwrite)</f>
        <v>obj_0049a#0005</v>
      </c>
      <c r="I54" s="10" t="str">
        <f t="shared" si="8"/>
        <v>BasSw</v>
      </c>
      <c r="J54" s="94" t="str">
        <f t="shared" si="9"/>
        <v>obj_0049b#0005</v>
      </c>
      <c r="K54" s="146" t="str">
        <f>IFERROR(_xll.qlRateHelperQuoteName(J54,Trigger),"--")</f>
        <v>GBP6SONIA3L11Y_LCHQuote</v>
      </c>
      <c r="L54" s="98" t="str">
        <f>IFERROR(_xll.qlRateHelperQuoteValue($J54,Trigger),"--")</f>
        <v>--</v>
      </c>
      <c r="M54" s="97" t="b">
        <v>0</v>
      </c>
      <c r="N54" s="94">
        <v>50</v>
      </c>
      <c r="O54" s="94">
        <v>1</v>
      </c>
      <c r="P54" s="99">
        <f>IFERROR(_xll.qlRateHelperEarliestDate(J54,Trigger),"--")</f>
        <v>42304</v>
      </c>
      <c r="Q54" s="99">
        <f>IFERROR(_xll.qlRateHelperPillarDate(J54,Trigger),"--")</f>
        <v>46322</v>
      </c>
      <c r="S54" s="4" t="str">
        <f t="shared" si="12"/>
        <v/>
      </c>
      <c r="T54" s="4" t="e">
        <v>#N/A</v>
      </c>
      <c r="U54" s="4" t="str">
        <f>IFERROR(_xll.qlRateHelperQuoteName(T54,Trigger),"")</f>
        <v/>
      </c>
      <c r="V54" s="70" t="str">
        <f>IFERROR(_xll.qlRateHelperRate(T54,Trigger),"")</f>
        <v/>
      </c>
      <c r="W54" s="104" t="str">
        <f>IF(ISERROR(_xll.qlSwapRateHelperSpread($T54)),IF(ISERROR(_xll.qlFuturesRateHelperConvexityAdjustment($T54)),"",_xll.qlFuturesRateHelperConvexityAdjustment($T54)),_xll.qlSwapRateHelperSpread($T54))</f>
        <v/>
      </c>
      <c r="X54" s="5" t="str">
        <f>IFERROR(_xll.qlRateHelperEarliestDate(T54,Trigger),"")</f>
        <v/>
      </c>
      <c r="Y54" s="5" t="str">
        <f>IFERROR(_xll.qlRateHelperPillarDate(T54,Trigger),"")</f>
        <v/>
      </c>
      <c r="Z54" s="70" t="e">
        <v>#N/A</v>
      </c>
      <c r="AA54" s="77" t="e">
        <v>#N/A</v>
      </c>
      <c r="AB54" s="169" t="e">
        <v>#N/A</v>
      </c>
      <c r="AC54" s="170" t="e">
        <v>#N/A</v>
      </c>
      <c r="AD54" s="172" t="e">
        <f t="shared" si="2"/>
        <v>#N/A</v>
      </c>
      <c r="AE54" s="174" t="e">
        <v>#N/A</v>
      </c>
      <c r="AF54" s="173" t="e">
        <f t="shared" si="3"/>
        <v>#N/A</v>
      </c>
      <c r="AG54" s="170"/>
    </row>
    <row r="55" spans="1:33" ht="11.25" customHeight="1" x14ac:dyDescent="0.2">
      <c r="A55" s="59" t="s">
        <v>117</v>
      </c>
      <c r="B55" s="60" t="s">
        <v>57</v>
      </c>
      <c r="C55" s="61">
        <v>0</v>
      </c>
      <c r="D55" s="62" t="str">
        <f t="shared" si="10"/>
        <v>Sonia</v>
      </c>
      <c r="E55" s="63" t="str">
        <f t="shared" si="11"/>
        <v>GBP6SONIA3L8Y_LCHQuote</v>
      </c>
      <c r="F55" s="176">
        <v>0</v>
      </c>
      <c r="G55" s="64" t="str">
        <f>_xll.qlOISRateHelper2(,$C55,$B55,$E55,$D55,,"Semiannual",Permanent,Trigger,ObjectOverwrite)</f>
        <v>obj_004bf#0005</v>
      </c>
      <c r="I55" s="10" t="str">
        <f t="shared" si="8"/>
        <v>BasSw</v>
      </c>
      <c r="J55" s="94" t="str">
        <f t="shared" si="9"/>
        <v>obj_00508#0005</v>
      </c>
      <c r="K55" s="146" t="str">
        <f>IFERROR(_xll.qlRateHelperQuoteName(J55,Trigger),"--")</f>
        <v>GBP6SONIA3L12Y_LCHQuote</v>
      </c>
      <c r="L55" s="98">
        <f>IFERROR(_xll.qlRateHelperQuoteValue($J55,Trigger),"--")</f>
        <v>1.5946499999999999E-2</v>
      </c>
      <c r="M55" s="97" t="b">
        <v>1</v>
      </c>
      <c r="N55" s="94">
        <v>50</v>
      </c>
      <c r="O55" s="94">
        <v>1</v>
      </c>
      <c r="P55" s="99">
        <f>IFERROR(_xll.qlRateHelperEarliestDate(J55,Trigger),"--")</f>
        <v>42304</v>
      </c>
      <c r="Q55" s="99">
        <f>IFERROR(_xll.qlRateHelperPillarDate(J55,Trigger),"--")</f>
        <v>46687</v>
      </c>
      <c r="S55" s="4" t="str">
        <f t="shared" si="12"/>
        <v/>
      </c>
      <c r="T55" s="4" t="e">
        <v>#N/A</v>
      </c>
      <c r="U55" s="4" t="str">
        <f>IFERROR(_xll.qlRateHelperQuoteName(T55,Trigger),"")</f>
        <v/>
      </c>
      <c r="V55" s="70" t="str">
        <f>IFERROR(_xll.qlRateHelperRate(T55,Trigger),"")</f>
        <v/>
      </c>
      <c r="W55" s="104" t="str">
        <f>IF(ISERROR(_xll.qlSwapRateHelperSpread($T55)),IF(ISERROR(_xll.qlFuturesRateHelperConvexityAdjustment($T55)),"",_xll.qlFuturesRateHelperConvexityAdjustment($T55)),_xll.qlSwapRateHelperSpread($T55))</f>
        <v/>
      </c>
      <c r="X55" s="5" t="str">
        <f>IFERROR(_xll.qlRateHelperEarliestDate(T55,Trigger),"")</f>
        <v/>
      </c>
      <c r="Y55" s="5" t="str">
        <f>IFERROR(_xll.qlRateHelperPillarDate(T55,Trigger),"")</f>
        <v/>
      </c>
      <c r="Z55" s="70" t="e">
        <v>#N/A</v>
      </c>
      <c r="AA55" s="77" t="e">
        <v>#N/A</v>
      </c>
      <c r="AB55" s="169" t="e">
        <v>#N/A</v>
      </c>
      <c r="AC55" s="170" t="e">
        <v>#N/A</v>
      </c>
      <c r="AD55" s="172" t="e">
        <f t="shared" si="2"/>
        <v>#N/A</v>
      </c>
      <c r="AE55" s="174" t="e">
        <v>#N/A</v>
      </c>
      <c r="AF55" s="173" t="e">
        <f t="shared" si="3"/>
        <v>#N/A</v>
      </c>
      <c r="AG55" s="170"/>
    </row>
    <row r="56" spans="1:33" ht="11.25" customHeight="1" x14ac:dyDescent="0.2">
      <c r="A56" s="59" t="s">
        <v>117</v>
      </c>
      <c r="B56" s="60" t="s">
        <v>58</v>
      </c>
      <c r="C56" s="61">
        <v>0</v>
      </c>
      <c r="D56" s="62" t="str">
        <f t="shared" si="10"/>
        <v>Sonia</v>
      </c>
      <c r="E56" s="63" t="str">
        <f t="shared" si="11"/>
        <v>GBP6SONIA3L9Y_LCHQuote</v>
      </c>
      <c r="F56" s="176">
        <v>0</v>
      </c>
      <c r="G56" s="64" t="str">
        <f>_xll.qlOISRateHelper2(,$C56,$B56,$E56,$D56,,"Semiannual",Permanent,Trigger,ObjectOverwrite)</f>
        <v>obj_004b7#0005</v>
      </c>
      <c r="I56" s="10" t="str">
        <f t="shared" si="8"/>
        <v>BasSw</v>
      </c>
      <c r="J56" s="94" t="str">
        <f t="shared" si="9"/>
        <v>obj_004c9#0005</v>
      </c>
      <c r="K56" s="146" t="str">
        <f>IFERROR(_xll.qlRateHelperQuoteName(J56,Trigger),"--")</f>
        <v>GBP6SONIA3L13Y_LCHQuote</v>
      </c>
      <c r="L56" s="98" t="str">
        <f>IFERROR(_xll.qlRateHelperQuoteValue($J56,Trigger),"--")</f>
        <v>--</v>
      </c>
      <c r="M56" s="97" t="b">
        <v>0</v>
      </c>
      <c r="N56" s="94">
        <v>50</v>
      </c>
      <c r="O56" s="94">
        <v>1</v>
      </c>
      <c r="P56" s="99">
        <f>IFERROR(_xll.qlRateHelperEarliestDate(J56,Trigger),"--")</f>
        <v>42304</v>
      </c>
      <c r="Q56" s="99">
        <f>IFERROR(_xll.qlRateHelperPillarDate(J56,Trigger),"--")</f>
        <v>47053</v>
      </c>
      <c r="S56" s="4" t="str">
        <f t="shared" si="12"/>
        <v/>
      </c>
      <c r="T56" s="4" t="e">
        <v>#N/A</v>
      </c>
      <c r="U56" s="4" t="str">
        <f>IFERROR(_xll.qlRateHelperQuoteName(T56,Trigger),"")</f>
        <v/>
      </c>
      <c r="V56" s="70" t="str">
        <f>IFERROR(_xll.qlRateHelperRate(T56,Trigger),"")</f>
        <v/>
      </c>
      <c r="W56" s="104" t="str">
        <f>IF(ISERROR(_xll.qlSwapRateHelperSpread($T56)),IF(ISERROR(_xll.qlFuturesRateHelperConvexityAdjustment($T56)),"",_xll.qlFuturesRateHelperConvexityAdjustment($T56)),_xll.qlSwapRateHelperSpread($T56))</f>
        <v/>
      </c>
      <c r="X56" s="5" t="str">
        <f>IFERROR(_xll.qlRateHelperEarliestDate(T56,Trigger),"")</f>
        <v/>
      </c>
      <c r="Y56" s="5" t="str">
        <f>IFERROR(_xll.qlRateHelperPillarDate(T56,Trigger),"")</f>
        <v/>
      </c>
      <c r="Z56" s="70" t="e">
        <v>#N/A</v>
      </c>
      <c r="AA56" s="77" t="e">
        <v>#N/A</v>
      </c>
      <c r="AB56" s="169" t="e">
        <v>#N/A</v>
      </c>
      <c r="AC56" s="170" t="e">
        <v>#N/A</v>
      </c>
      <c r="AD56" s="172" t="e">
        <f t="shared" si="2"/>
        <v>#N/A</v>
      </c>
      <c r="AE56" s="174" t="e">
        <v>#N/A</v>
      </c>
      <c r="AF56" s="173" t="e">
        <f t="shared" si="3"/>
        <v>#N/A</v>
      </c>
      <c r="AG56" s="170"/>
    </row>
    <row r="57" spans="1:33" ht="11.25" customHeight="1" x14ac:dyDescent="0.2">
      <c r="A57" s="59" t="s">
        <v>117</v>
      </c>
      <c r="B57" s="60" t="s">
        <v>59</v>
      </c>
      <c r="C57" s="61">
        <v>0</v>
      </c>
      <c r="D57" s="62" t="str">
        <f t="shared" si="10"/>
        <v>Sonia</v>
      </c>
      <c r="E57" s="63" t="str">
        <f t="shared" si="11"/>
        <v>GBP6SONIA3L10Y_LCHQuote</v>
      </c>
      <c r="F57" s="176">
        <v>0</v>
      </c>
      <c r="G57" s="64" t="str">
        <f>_xll.qlOISRateHelper2(,$C57,$B57,$E57,$D57,,"Semiannual",Permanent,Trigger,ObjectOverwrite)</f>
        <v>obj_00497#0005</v>
      </c>
      <c r="I57" s="10" t="str">
        <f t="shared" si="8"/>
        <v>BasSw</v>
      </c>
      <c r="J57" s="94" t="str">
        <f t="shared" si="9"/>
        <v>obj_004ea#0005</v>
      </c>
      <c r="K57" s="146" t="str">
        <f>IFERROR(_xll.qlRateHelperQuoteName(J57,Trigger),"--")</f>
        <v>GBP6SONIA3L14Y_LCHQuote</v>
      </c>
      <c r="L57" s="98" t="str">
        <f>IFERROR(_xll.qlRateHelperQuoteValue($J57,Trigger),"--")</f>
        <v>--</v>
      </c>
      <c r="M57" s="97" t="b">
        <v>0</v>
      </c>
      <c r="N57" s="94">
        <v>50</v>
      </c>
      <c r="O57" s="94">
        <v>1</v>
      </c>
      <c r="P57" s="99">
        <f>IFERROR(_xll.qlRateHelperEarliestDate(J57,Trigger),"--")</f>
        <v>42304</v>
      </c>
      <c r="Q57" s="99">
        <f>IFERROR(_xll.qlRateHelperPillarDate(J57,Trigger),"--")</f>
        <v>47420</v>
      </c>
      <c r="S57" s="4" t="str">
        <f t="shared" si="12"/>
        <v/>
      </c>
      <c r="T57" s="4" t="e">
        <v>#N/A</v>
      </c>
      <c r="U57" s="4" t="str">
        <f>IFERROR(_xll.qlRateHelperQuoteName(T57,Trigger),"")</f>
        <v/>
      </c>
      <c r="V57" s="70" t="str">
        <f>IFERROR(_xll.qlRateHelperRate(T57,Trigger),"")</f>
        <v/>
      </c>
      <c r="W57" s="104" t="str">
        <f>IF(ISERROR(_xll.qlSwapRateHelperSpread($T57)),IF(ISERROR(_xll.qlFuturesRateHelperConvexityAdjustment($T57)),"",_xll.qlFuturesRateHelperConvexityAdjustment($T57)),_xll.qlSwapRateHelperSpread($T57))</f>
        <v/>
      </c>
      <c r="X57" s="5" t="str">
        <f>IFERROR(_xll.qlRateHelperEarliestDate(T57,Trigger),"")</f>
        <v/>
      </c>
      <c r="Y57" s="5" t="str">
        <f>IFERROR(_xll.qlRateHelperPillarDate(T57,Trigger),"")</f>
        <v/>
      </c>
      <c r="Z57" s="70" t="e">
        <v>#N/A</v>
      </c>
      <c r="AA57" s="77" t="e">
        <v>#N/A</v>
      </c>
      <c r="AB57" s="169" t="e">
        <v>#N/A</v>
      </c>
      <c r="AC57" s="170" t="e">
        <v>#N/A</v>
      </c>
      <c r="AD57" s="172" t="e">
        <f t="shared" si="2"/>
        <v>#N/A</v>
      </c>
      <c r="AE57" s="174" t="e">
        <v>#N/A</v>
      </c>
      <c r="AF57" s="173" t="e">
        <f t="shared" si="3"/>
        <v>#N/A</v>
      </c>
      <c r="AG57" s="170"/>
    </row>
    <row r="58" spans="1:33" ht="11.25" customHeight="1" x14ac:dyDescent="0.2">
      <c r="A58" s="59" t="s">
        <v>117</v>
      </c>
      <c r="B58" s="60" t="s">
        <v>97</v>
      </c>
      <c r="C58" s="61">
        <v>0</v>
      </c>
      <c r="D58" s="62" t="str">
        <f t="shared" si="10"/>
        <v>Sonia</v>
      </c>
      <c r="E58" s="63" t="str">
        <f t="shared" si="11"/>
        <v>GBP6SONIA3L11Y_LCHQuote</v>
      </c>
      <c r="F58" s="176">
        <v>0</v>
      </c>
      <c r="G58" s="64" t="str">
        <f>_xll.qlOISRateHelper2(,$C58,$B58,$E58,$D58,,"Semiannual",Permanent,Trigger,ObjectOverwrite)</f>
        <v>obj_0049b#0005</v>
      </c>
      <c r="I58" s="10" t="str">
        <f t="shared" si="8"/>
        <v>BasSw</v>
      </c>
      <c r="J58" s="94" t="str">
        <f t="shared" si="9"/>
        <v>obj_004cf#0005</v>
      </c>
      <c r="K58" s="146" t="str">
        <f>IFERROR(_xll.qlRateHelperQuoteName(J58,Trigger),"--")</f>
        <v>GBP6SONIA3L15Y_LCHQuote</v>
      </c>
      <c r="L58" s="98">
        <f>IFERROR(_xll.qlRateHelperQuoteValue($J58,Trigger),"--")</f>
        <v>1.7228250000000101E-2</v>
      </c>
      <c r="M58" s="97" t="b">
        <v>1</v>
      </c>
      <c r="N58" s="94">
        <v>50</v>
      </c>
      <c r="O58" s="94">
        <v>1</v>
      </c>
      <c r="P58" s="99">
        <f>IFERROR(_xll.qlRateHelperEarliestDate(J58,Trigger),"--")</f>
        <v>42304</v>
      </c>
      <c r="Q58" s="99">
        <f>IFERROR(_xll.qlRateHelperPillarDate(J58,Trigger),"--")</f>
        <v>47784</v>
      </c>
      <c r="S58" s="4" t="str">
        <f t="shared" si="12"/>
        <v/>
      </c>
      <c r="T58" s="4" t="e">
        <v>#N/A</v>
      </c>
      <c r="U58" s="4" t="str">
        <f>IFERROR(_xll.qlRateHelperQuoteName(T58,Trigger),"")</f>
        <v/>
      </c>
      <c r="V58" s="70" t="str">
        <f>IFERROR(_xll.qlRateHelperRate(T58,Trigger),"")</f>
        <v/>
      </c>
      <c r="W58" s="104" t="str">
        <f>IF(ISERROR(_xll.qlSwapRateHelperSpread($T58)),IF(ISERROR(_xll.qlFuturesRateHelperConvexityAdjustment($T58)),"",_xll.qlFuturesRateHelperConvexityAdjustment($T58)),_xll.qlSwapRateHelperSpread($T58))</f>
        <v/>
      </c>
      <c r="X58" s="5" t="str">
        <f>IFERROR(_xll.qlRateHelperEarliestDate(T58,Trigger),"")</f>
        <v/>
      </c>
      <c r="Y58" s="5" t="str">
        <f>IFERROR(_xll.qlRateHelperPillarDate(T58,Trigger),"")</f>
        <v/>
      </c>
      <c r="Z58" s="70" t="e">
        <v>#N/A</v>
      </c>
      <c r="AA58" s="77" t="e">
        <v>#N/A</v>
      </c>
      <c r="AB58" s="169" t="e">
        <v>#N/A</v>
      </c>
      <c r="AC58" s="170" t="e">
        <v>#N/A</v>
      </c>
      <c r="AD58" s="172" t="e">
        <f t="shared" si="2"/>
        <v>#N/A</v>
      </c>
      <c r="AE58" s="174" t="e">
        <v>#N/A</v>
      </c>
      <c r="AF58" s="173" t="e">
        <f t="shared" si="3"/>
        <v>#N/A</v>
      </c>
      <c r="AG58" s="170"/>
    </row>
    <row r="59" spans="1:33" ht="11.25" customHeight="1" x14ac:dyDescent="0.2">
      <c r="A59" s="59" t="s">
        <v>117</v>
      </c>
      <c r="B59" s="60" t="s">
        <v>60</v>
      </c>
      <c r="C59" s="61">
        <v>0</v>
      </c>
      <c r="D59" s="62" t="str">
        <f t="shared" si="10"/>
        <v>Sonia</v>
      </c>
      <c r="E59" s="63" t="str">
        <f t="shared" si="11"/>
        <v>GBP6SONIA3L12Y_LCHQuote</v>
      </c>
      <c r="F59" s="176">
        <v>0</v>
      </c>
      <c r="G59" s="64" t="str">
        <f>_xll.qlOISRateHelper2(,$C59,$B59,$E59,$D59,,"Semiannual",Permanent,Trigger,ObjectOverwrite)</f>
        <v>obj_00508#0005</v>
      </c>
      <c r="I59" s="10" t="str">
        <f t="shared" si="8"/>
        <v>BasSw</v>
      </c>
      <c r="J59" s="94" t="str">
        <f t="shared" si="9"/>
        <v>obj_004d0#0005</v>
      </c>
      <c r="K59" s="146" t="str">
        <f>IFERROR(_xll.qlRateHelperQuoteName(J59,Trigger),"--")</f>
        <v>GBP6SONIA3L16Y_LCHQuote</v>
      </c>
      <c r="L59" s="98" t="str">
        <f>IFERROR(_xll.qlRateHelperQuoteValue($J59,Trigger),"--")</f>
        <v>--</v>
      </c>
      <c r="M59" s="97" t="b">
        <v>0</v>
      </c>
      <c r="N59" s="94">
        <v>50</v>
      </c>
      <c r="O59" s="94">
        <v>1</v>
      </c>
      <c r="P59" s="99">
        <f>IFERROR(_xll.qlRateHelperEarliestDate(J59,Trigger),"--")</f>
        <v>42304</v>
      </c>
      <c r="Q59" s="99">
        <f>IFERROR(_xll.qlRateHelperPillarDate(J59,Trigger),"--")</f>
        <v>48148</v>
      </c>
      <c r="S59" s="4" t="str">
        <f t="shared" si="12"/>
        <v/>
      </c>
      <c r="T59" s="4" t="e">
        <v>#N/A</v>
      </c>
      <c r="U59" s="4" t="str">
        <f>IFERROR(_xll.qlRateHelperQuoteName(T59,Trigger),"")</f>
        <v/>
      </c>
      <c r="V59" s="70" t="str">
        <f>IFERROR(_xll.qlRateHelperRate(T59,Trigger),"")</f>
        <v/>
      </c>
      <c r="W59" s="104" t="str">
        <f>IF(ISERROR(_xll.qlSwapRateHelperSpread($T59)),IF(ISERROR(_xll.qlFuturesRateHelperConvexityAdjustment($T59)),"",_xll.qlFuturesRateHelperConvexityAdjustment($T59)),_xll.qlSwapRateHelperSpread($T59))</f>
        <v/>
      </c>
      <c r="X59" s="5" t="str">
        <f>IFERROR(_xll.qlRateHelperEarliestDate(T59,Trigger),"")</f>
        <v/>
      </c>
      <c r="Y59" s="5" t="str">
        <f>IFERROR(_xll.qlRateHelperPillarDate(T59,Trigger),"")</f>
        <v/>
      </c>
      <c r="Z59" s="70" t="e">
        <v>#N/A</v>
      </c>
      <c r="AA59" s="77" t="e">
        <v>#N/A</v>
      </c>
      <c r="AB59" s="169" t="e">
        <v>#N/A</v>
      </c>
      <c r="AC59" s="170" t="e">
        <v>#N/A</v>
      </c>
      <c r="AD59" s="172" t="e">
        <f t="shared" si="2"/>
        <v>#N/A</v>
      </c>
      <c r="AE59" s="174" t="e">
        <v>#N/A</v>
      </c>
      <c r="AF59" s="173" t="e">
        <f t="shared" si="3"/>
        <v>#N/A</v>
      </c>
      <c r="AG59" s="170"/>
    </row>
    <row r="60" spans="1:33" ht="11.25" customHeight="1" x14ac:dyDescent="0.2">
      <c r="A60" s="59" t="s">
        <v>117</v>
      </c>
      <c r="B60" s="60" t="s">
        <v>98</v>
      </c>
      <c r="C60" s="61">
        <v>0</v>
      </c>
      <c r="D60" s="62" t="str">
        <f t="shared" si="10"/>
        <v>Sonia</v>
      </c>
      <c r="E60" s="63" t="str">
        <f t="shared" si="11"/>
        <v>GBP6SONIA3L13Y_LCHQuote</v>
      </c>
      <c r="F60" s="176">
        <v>0</v>
      </c>
      <c r="G60" s="64" t="str">
        <f>_xll.qlOISRateHelper2(,$C60,$B60,$E60,$D60,,"Semiannual",Permanent,Trigger,ObjectOverwrite)</f>
        <v>obj_004c9#0005</v>
      </c>
      <c r="I60" s="10" t="str">
        <f t="shared" si="8"/>
        <v>BasSw</v>
      </c>
      <c r="J60" s="94" t="str">
        <f t="shared" si="9"/>
        <v>obj_004ab#0005</v>
      </c>
      <c r="K60" s="146" t="str">
        <f>IFERROR(_xll.qlRateHelperQuoteName(J60,Trigger),"--")</f>
        <v>GBP6SONIA3L17Y_LCHQuote</v>
      </c>
      <c r="L60" s="98" t="str">
        <f>IFERROR(_xll.qlRateHelperQuoteValue($J60,Trigger),"--")</f>
        <v>--</v>
      </c>
      <c r="M60" s="97" t="b">
        <v>0</v>
      </c>
      <c r="N60" s="94">
        <v>50</v>
      </c>
      <c r="O60" s="94">
        <v>1</v>
      </c>
      <c r="P60" s="99">
        <f>IFERROR(_xll.qlRateHelperEarliestDate(J60,Trigger),"--")</f>
        <v>42304</v>
      </c>
      <c r="Q60" s="99">
        <f>IFERROR(_xll.qlRateHelperPillarDate(J60,Trigger),"--")</f>
        <v>48514</v>
      </c>
      <c r="S60" s="4" t="str">
        <f t="shared" si="12"/>
        <v/>
      </c>
      <c r="T60" s="4" t="e">
        <v>#N/A</v>
      </c>
      <c r="U60" s="4" t="str">
        <f>IFERROR(_xll.qlRateHelperQuoteName(T60,Trigger),"")</f>
        <v/>
      </c>
      <c r="V60" s="70" t="str">
        <f>IFERROR(_xll.qlRateHelperRate(T60,Trigger),"")</f>
        <v/>
      </c>
      <c r="W60" s="104" t="str">
        <f>IF(ISERROR(_xll.qlSwapRateHelperSpread($T60)),IF(ISERROR(_xll.qlFuturesRateHelperConvexityAdjustment($T60)),"",_xll.qlFuturesRateHelperConvexityAdjustment($T60)),_xll.qlSwapRateHelperSpread($T60))</f>
        <v/>
      </c>
      <c r="X60" s="5" t="str">
        <f>IFERROR(_xll.qlRateHelperEarliestDate(T60,Trigger),"")</f>
        <v/>
      </c>
      <c r="Y60" s="5" t="str">
        <f>IFERROR(_xll.qlRateHelperPillarDate(T60,Trigger),"")</f>
        <v/>
      </c>
      <c r="Z60" s="70" t="e">
        <v>#N/A</v>
      </c>
      <c r="AA60" s="77" t="e">
        <v>#N/A</v>
      </c>
      <c r="AB60" s="169" t="e">
        <v>#N/A</v>
      </c>
      <c r="AC60" s="170" t="e">
        <v>#N/A</v>
      </c>
      <c r="AD60" s="172" t="e">
        <f t="shared" si="2"/>
        <v>#N/A</v>
      </c>
      <c r="AE60" s="174" t="e">
        <v>#N/A</v>
      </c>
      <c r="AF60" s="173" t="e">
        <f t="shared" si="3"/>
        <v>#N/A</v>
      </c>
      <c r="AG60" s="170"/>
    </row>
    <row r="61" spans="1:33" ht="11.25" customHeight="1" x14ac:dyDescent="0.2">
      <c r="A61" s="59" t="s">
        <v>117</v>
      </c>
      <c r="B61" s="60" t="s">
        <v>99</v>
      </c>
      <c r="C61" s="61">
        <v>0</v>
      </c>
      <c r="D61" s="62" t="str">
        <f t="shared" si="10"/>
        <v>Sonia</v>
      </c>
      <c r="E61" s="63" t="str">
        <f t="shared" si="11"/>
        <v>GBP6SONIA3L14Y_LCHQuote</v>
      </c>
      <c r="F61" s="176">
        <v>0</v>
      </c>
      <c r="G61" s="64" t="str">
        <f>_xll.qlOISRateHelper2(,$C61,$B61,$E61,$D61,,"Semiannual",Permanent,Trigger,ObjectOverwrite)</f>
        <v>obj_004ea#0005</v>
      </c>
      <c r="I61" s="10" t="str">
        <f t="shared" si="8"/>
        <v>BasSw</v>
      </c>
      <c r="J61" s="94" t="str">
        <f t="shared" si="9"/>
        <v>obj_00525#0005</v>
      </c>
      <c r="K61" s="146" t="str">
        <f>IFERROR(_xll.qlRateHelperQuoteName(J61,Trigger),"--")</f>
        <v>GBP6SONIA3L18Y_LCHQuote</v>
      </c>
      <c r="L61" s="98" t="str">
        <f>IFERROR(_xll.qlRateHelperQuoteValue($J61,Trigger),"--")</f>
        <v>--</v>
      </c>
      <c r="M61" s="97" t="b">
        <v>0</v>
      </c>
      <c r="N61" s="94">
        <v>50</v>
      </c>
      <c r="O61" s="94">
        <v>1</v>
      </c>
      <c r="P61" s="99">
        <f>IFERROR(_xll.qlRateHelperEarliestDate(J61,Trigger),"--")</f>
        <v>42304</v>
      </c>
      <c r="Q61" s="99">
        <f>IFERROR(_xll.qlRateHelperPillarDate(J61,Trigger),"--")</f>
        <v>48879</v>
      </c>
      <c r="S61" s="4" t="str">
        <f t="shared" si="12"/>
        <v/>
      </c>
      <c r="T61" s="4" t="e">
        <v>#N/A</v>
      </c>
      <c r="U61" s="4" t="str">
        <f>IFERROR(_xll.qlRateHelperQuoteName(T61,Trigger),"")</f>
        <v/>
      </c>
      <c r="V61" s="70" t="str">
        <f>IFERROR(_xll.qlRateHelperRate(T61,Trigger),"")</f>
        <v/>
      </c>
      <c r="W61" s="104" t="str">
        <f>IF(ISERROR(_xll.qlSwapRateHelperSpread($T61)),IF(ISERROR(_xll.qlFuturesRateHelperConvexityAdjustment($T61)),"",_xll.qlFuturesRateHelperConvexityAdjustment($T61)),_xll.qlSwapRateHelperSpread($T61))</f>
        <v/>
      </c>
      <c r="X61" s="5" t="str">
        <f>IFERROR(_xll.qlRateHelperEarliestDate(T61,Trigger),"")</f>
        <v/>
      </c>
      <c r="Y61" s="5" t="str">
        <f>IFERROR(_xll.qlRateHelperPillarDate(T61,Trigger),"")</f>
        <v/>
      </c>
      <c r="Z61" s="70" t="e">
        <v>#N/A</v>
      </c>
      <c r="AA61" s="77" t="e">
        <v>#N/A</v>
      </c>
      <c r="AB61" s="169" t="e">
        <v>#N/A</v>
      </c>
      <c r="AC61" s="170" t="e">
        <v>#N/A</v>
      </c>
      <c r="AD61" s="172" t="e">
        <f t="shared" si="2"/>
        <v>#N/A</v>
      </c>
      <c r="AE61" s="174" t="e">
        <v>#N/A</v>
      </c>
      <c r="AF61" s="173" t="e">
        <f t="shared" si="3"/>
        <v>#N/A</v>
      </c>
      <c r="AG61" s="170"/>
    </row>
    <row r="62" spans="1:33" ht="11.25" customHeight="1" x14ac:dyDescent="0.2">
      <c r="A62" s="59" t="s">
        <v>117</v>
      </c>
      <c r="B62" s="60" t="s">
        <v>61</v>
      </c>
      <c r="C62" s="61">
        <v>0</v>
      </c>
      <c r="D62" s="62" t="str">
        <f t="shared" si="10"/>
        <v>Sonia</v>
      </c>
      <c r="E62" s="63" t="str">
        <f t="shared" si="11"/>
        <v>GBP6SONIA3L15Y_LCHQuote</v>
      </c>
      <c r="F62" s="176">
        <v>0</v>
      </c>
      <c r="G62" s="64" t="str">
        <f>_xll.qlOISRateHelper2(,$C62,$B62,$E62,$D62,,"Semiannual",Permanent,Trigger,ObjectOverwrite)</f>
        <v>obj_004cf#0005</v>
      </c>
      <c r="I62" s="10" t="str">
        <f t="shared" si="8"/>
        <v>BasSw</v>
      </c>
      <c r="J62" s="94" t="str">
        <f t="shared" si="9"/>
        <v>obj_00501#0005</v>
      </c>
      <c r="K62" s="146" t="str">
        <f>IFERROR(_xll.qlRateHelperQuoteName(J62,Trigger),"--")</f>
        <v>GBP6SONIA3L19Y_LCHQuote</v>
      </c>
      <c r="L62" s="98" t="str">
        <f>IFERROR(_xll.qlRateHelperQuoteValue($J62,Trigger),"--")</f>
        <v>--</v>
      </c>
      <c r="M62" s="97" t="b">
        <v>0</v>
      </c>
      <c r="N62" s="94">
        <v>50</v>
      </c>
      <c r="O62" s="94">
        <v>1</v>
      </c>
      <c r="P62" s="99">
        <f>IFERROR(_xll.qlRateHelperEarliestDate(J62,Trigger),"--")</f>
        <v>42304</v>
      </c>
      <c r="Q62" s="99">
        <f>IFERROR(_xll.qlRateHelperPillarDate(J62,Trigger),"--")</f>
        <v>49244</v>
      </c>
      <c r="S62" s="4" t="str">
        <f t="shared" si="12"/>
        <v/>
      </c>
      <c r="T62" s="4" t="e">
        <v>#N/A</v>
      </c>
      <c r="U62" s="4" t="str">
        <f>IFERROR(_xll.qlRateHelperQuoteName(T62,Trigger),"")</f>
        <v/>
      </c>
      <c r="V62" s="70" t="str">
        <f>IFERROR(_xll.qlRateHelperRate(T62,Trigger),"")</f>
        <v/>
      </c>
      <c r="W62" s="104" t="str">
        <f>IF(ISERROR(_xll.qlSwapRateHelperSpread($T62)),IF(ISERROR(_xll.qlFuturesRateHelperConvexityAdjustment($T62)),"",_xll.qlFuturesRateHelperConvexityAdjustment($T62)),_xll.qlSwapRateHelperSpread($T62))</f>
        <v/>
      </c>
      <c r="X62" s="5" t="str">
        <f>IFERROR(_xll.qlRateHelperEarliestDate(T62,Trigger),"")</f>
        <v/>
      </c>
      <c r="Y62" s="5" t="str">
        <f>IFERROR(_xll.qlRateHelperPillarDate(T62,Trigger),"")</f>
        <v/>
      </c>
      <c r="Z62" s="70" t="e">
        <v>#N/A</v>
      </c>
      <c r="AA62" s="77" t="e">
        <v>#N/A</v>
      </c>
      <c r="AB62" s="169" t="e">
        <v>#N/A</v>
      </c>
      <c r="AC62" s="170" t="e">
        <v>#N/A</v>
      </c>
      <c r="AD62" s="172" t="e">
        <f t="shared" si="2"/>
        <v>#N/A</v>
      </c>
      <c r="AE62" s="174" t="e">
        <v>#N/A</v>
      </c>
      <c r="AF62" s="173" t="e">
        <f t="shared" si="3"/>
        <v>#N/A</v>
      </c>
      <c r="AG62" s="170"/>
    </row>
    <row r="63" spans="1:33" ht="11.25" customHeight="1" x14ac:dyDescent="0.2">
      <c r="A63" s="59" t="s">
        <v>117</v>
      </c>
      <c r="B63" s="60" t="s">
        <v>100</v>
      </c>
      <c r="C63" s="61">
        <v>0</v>
      </c>
      <c r="D63" s="62" t="str">
        <f t="shared" si="10"/>
        <v>Sonia</v>
      </c>
      <c r="E63" s="63" t="str">
        <f t="shared" si="11"/>
        <v>GBP6SONIA3L16Y_LCHQuote</v>
      </c>
      <c r="F63" s="176">
        <v>0</v>
      </c>
      <c r="G63" s="64" t="str">
        <f>_xll.qlOISRateHelper2(,$C63,$B63,$E63,$D63,,"Semiannual",Permanent,Trigger,ObjectOverwrite)</f>
        <v>obj_004d0#0005</v>
      </c>
      <c r="I63" s="10" t="str">
        <f t="shared" si="8"/>
        <v>BasSw</v>
      </c>
      <c r="J63" s="94" t="str">
        <f t="shared" si="9"/>
        <v>obj_004f2#0005</v>
      </c>
      <c r="K63" s="146" t="str">
        <f>IFERROR(_xll.qlRateHelperQuoteName(J63,Trigger),"--")</f>
        <v>GBP6SONIA3L20Y_LCHQuote</v>
      </c>
      <c r="L63" s="98">
        <f>IFERROR(_xll.qlRateHelperQuoteValue($J63,Trigger),"--")</f>
        <v>1.8290000000000001E-2</v>
      </c>
      <c r="M63" s="97" t="b">
        <v>1</v>
      </c>
      <c r="N63" s="94">
        <v>50</v>
      </c>
      <c r="O63" s="94">
        <v>1</v>
      </c>
      <c r="P63" s="99">
        <f>IFERROR(_xll.qlRateHelperEarliestDate(J63,Trigger),"--")</f>
        <v>42304</v>
      </c>
      <c r="Q63" s="99">
        <f>IFERROR(_xll.qlRateHelperPillarDate(J63,Trigger),"--")</f>
        <v>49611</v>
      </c>
      <c r="S63" s="4" t="str">
        <f t="shared" si="12"/>
        <v/>
      </c>
      <c r="T63" s="4" t="e">
        <v>#N/A</v>
      </c>
      <c r="U63" s="4" t="str">
        <f>IFERROR(_xll.qlRateHelperQuoteName(T63,Trigger),"")</f>
        <v/>
      </c>
      <c r="V63" s="70" t="str">
        <f>IFERROR(_xll.qlRateHelperRate(T63,Trigger),"")</f>
        <v/>
      </c>
      <c r="W63" s="104" t="str">
        <f>IF(ISERROR(_xll.qlSwapRateHelperSpread($T63)),IF(ISERROR(_xll.qlFuturesRateHelperConvexityAdjustment($T63)),"",_xll.qlFuturesRateHelperConvexityAdjustment($T63)),_xll.qlSwapRateHelperSpread($T63))</f>
        <v/>
      </c>
      <c r="X63" s="5" t="str">
        <f>IFERROR(_xll.qlRateHelperEarliestDate(T63,Trigger),"")</f>
        <v/>
      </c>
      <c r="Y63" s="5" t="str">
        <f>IFERROR(_xll.qlRateHelperPillarDate(T63,Trigger),"")</f>
        <v/>
      </c>
      <c r="Z63" s="70" t="e">
        <v>#N/A</v>
      </c>
      <c r="AA63" s="77" t="e">
        <v>#N/A</v>
      </c>
      <c r="AB63" s="46" t="e">
        <v>#N/A</v>
      </c>
      <c r="AC63" s="46" t="e">
        <v>#N/A</v>
      </c>
      <c r="AD63" s="172" t="e">
        <f>Z63-AC63</f>
        <v>#N/A</v>
      </c>
      <c r="AE63" s="46" t="e">
        <v>#N/A</v>
      </c>
      <c r="AF63" s="173" t="e">
        <f t="shared" si="3"/>
        <v>#N/A</v>
      </c>
    </row>
    <row r="64" spans="1:33" ht="11.25" customHeight="1" x14ac:dyDescent="0.2">
      <c r="A64" s="59" t="s">
        <v>117</v>
      </c>
      <c r="B64" s="60" t="s">
        <v>101</v>
      </c>
      <c r="C64" s="61">
        <v>0</v>
      </c>
      <c r="D64" s="62" t="str">
        <f t="shared" si="10"/>
        <v>Sonia</v>
      </c>
      <c r="E64" s="63" t="str">
        <f t="shared" si="11"/>
        <v>GBP6SONIA3L17Y_LCHQuote</v>
      </c>
      <c r="F64" s="176">
        <v>0</v>
      </c>
      <c r="G64" s="64" t="str">
        <f>_xll.qlOISRateHelper2(,$C64,$B64,$E64,$D64,,"Semiannual",Permanent,Trigger,ObjectOverwrite)</f>
        <v>obj_004ab#0005</v>
      </c>
      <c r="I64" s="10" t="str">
        <f t="shared" si="8"/>
        <v>BasSw</v>
      </c>
      <c r="J64" s="94" t="str">
        <f t="shared" si="9"/>
        <v>obj_004aa#0005</v>
      </c>
      <c r="K64" s="146" t="str">
        <f>IFERROR(_xll.qlRateHelperQuoteName(J64,Trigger),"--")</f>
        <v>GBP6SONIA3L21Y_LCHQuote</v>
      </c>
      <c r="L64" s="98" t="str">
        <f>IFERROR(_xll.qlRateHelperQuoteValue($J64,Trigger),"--")</f>
        <v>--</v>
      </c>
      <c r="M64" s="97" t="b">
        <v>0</v>
      </c>
      <c r="N64" s="94">
        <v>50</v>
      </c>
      <c r="O64" s="94">
        <v>1</v>
      </c>
      <c r="P64" s="99">
        <f>IFERROR(_xll.qlRateHelperEarliestDate(J64,Trigger),"--")</f>
        <v>42304</v>
      </c>
      <c r="Q64" s="99">
        <f>IFERROR(_xll.qlRateHelperPillarDate(J64,Trigger),"--")</f>
        <v>49975</v>
      </c>
      <c r="S64" s="4" t="str">
        <f t="shared" si="12"/>
        <v/>
      </c>
      <c r="T64" s="4" t="e">
        <v>#N/A</v>
      </c>
      <c r="U64" s="4" t="str">
        <f>IFERROR(_xll.qlRateHelperQuoteName(T64,Trigger),"")</f>
        <v/>
      </c>
      <c r="V64" s="70" t="str">
        <f>IFERROR(_xll.qlRateHelperRate(T64,Trigger),"")</f>
        <v/>
      </c>
      <c r="W64" s="104" t="str">
        <f>IF(ISERROR(_xll.qlSwapRateHelperSpread($T64)),IF(ISERROR(_xll.qlFuturesRateHelperConvexityAdjustment($T64)),"",_xll.qlFuturesRateHelperConvexityAdjustment($T64)),_xll.qlSwapRateHelperSpread($T64))</f>
        <v/>
      </c>
      <c r="X64" s="5" t="str">
        <f>IFERROR(_xll.qlRateHelperEarliestDate(T64,Trigger),"")</f>
        <v/>
      </c>
      <c r="Y64" s="5" t="str">
        <f>IFERROR(_xll.qlRateHelperPillarDate(T64,Trigger),"")</f>
        <v/>
      </c>
      <c r="Z64" s="70" t="e">
        <v>#N/A</v>
      </c>
      <c r="AA64" s="77" t="e">
        <v>#N/A</v>
      </c>
      <c r="AB64" s="46" t="e">
        <v>#N/A</v>
      </c>
      <c r="AC64" s="46" t="e">
        <v>#N/A</v>
      </c>
      <c r="AD64" s="172" t="e">
        <f t="shared" si="2"/>
        <v>#N/A</v>
      </c>
      <c r="AE64" s="46" t="e">
        <v>#N/A</v>
      </c>
      <c r="AF64" s="173" t="e">
        <f t="shared" si="3"/>
        <v>#N/A</v>
      </c>
    </row>
    <row r="65" spans="1:32" ht="11.25" customHeight="1" x14ac:dyDescent="0.2">
      <c r="A65" s="59" t="s">
        <v>117</v>
      </c>
      <c r="B65" s="60" t="s">
        <v>102</v>
      </c>
      <c r="C65" s="61">
        <v>0</v>
      </c>
      <c r="D65" s="62" t="str">
        <f t="shared" si="10"/>
        <v>Sonia</v>
      </c>
      <c r="E65" s="63" t="str">
        <f t="shared" si="11"/>
        <v>GBP6SONIA3L18Y_LCHQuote</v>
      </c>
      <c r="F65" s="176">
        <v>0</v>
      </c>
      <c r="G65" s="64" t="str">
        <f>_xll.qlOISRateHelper2(,$C65,$B65,$E65,$D65,,"Semiannual",Permanent,Trigger,ObjectOverwrite)</f>
        <v>obj_00525#0005</v>
      </c>
      <c r="I65" s="10" t="str">
        <f t="shared" si="8"/>
        <v>BasSw</v>
      </c>
      <c r="J65" s="94" t="str">
        <f t="shared" si="9"/>
        <v>obj_0050d#0005</v>
      </c>
      <c r="K65" s="146" t="str">
        <f>IFERROR(_xll.qlRateHelperQuoteName(J65,Trigger),"--")</f>
        <v>GBP6SONIA3L22Y_LCHQuote</v>
      </c>
      <c r="L65" s="98" t="str">
        <f>IFERROR(_xll.qlRateHelperQuoteValue($J65,Trigger),"--")</f>
        <v>--</v>
      </c>
      <c r="M65" s="97" t="b">
        <v>0</v>
      </c>
      <c r="N65" s="94">
        <v>50</v>
      </c>
      <c r="O65" s="94">
        <v>1</v>
      </c>
      <c r="P65" s="99">
        <f>IFERROR(_xll.qlRateHelperEarliestDate(J65,Trigger),"--")</f>
        <v>42304</v>
      </c>
      <c r="Q65" s="99">
        <f>IFERROR(_xll.qlRateHelperPillarDate(J65,Trigger),"--")</f>
        <v>50340</v>
      </c>
      <c r="S65" s="4" t="str">
        <f t="shared" si="12"/>
        <v/>
      </c>
      <c r="T65" s="4" t="e">
        <v>#N/A</v>
      </c>
      <c r="U65" s="4" t="str">
        <f>IFERROR(_xll.qlRateHelperQuoteName(T65,Trigger),"")</f>
        <v/>
      </c>
      <c r="V65" s="70" t="str">
        <f>IFERROR(_xll.qlRateHelperRate(T65,Trigger),"")</f>
        <v/>
      </c>
      <c r="W65" s="104" t="str">
        <f>IF(ISERROR(_xll.qlSwapRateHelperSpread($T65)),IF(ISERROR(_xll.qlFuturesRateHelperConvexityAdjustment($T65)),"",_xll.qlFuturesRateHelperConvexityAdjustment($T65)),_xll.qlSwapRateHelperSpread($T65))</f>
        <v/>
      </c>
      <c r="X65" s="5" t="str">
        <f>IFERROR(_xll.qlRateHelperEarliestDate(T65,Trigger),"")</f>
        <v/>
      </c>
      <c r="Y65" s="5" t="str">
        <f>IFERROR(_xll.qlRateHelperPillarDate(T65,Trigger),"")</f>
        <v/>
      </c>
      <c r="Z65" s="70" t="e">
        <v>#N/A</v>
      </c>
      <c r="AA65" s="77" t="e">
        <v>#N/A</v>
      </c>
      <c r="AB65" s="46" t="e">
        <v>#N/A</v>
      </c>
      <c r="AC65" s="46" t="e">
        <v>#N/A</v>
      </c>
      <c r="AD65" s="172" t="e">
        <f t="shared" si="2"/>
        <v>#N/A</v>
      </c>
      <c r="AE65" s="46" t="e">
        <v>#N/A</v>
      </c>
      <c r="AF65" s="173" t="e">
        <f t="shared" si="3"/>
        <v>#N/A</v>
      </c>
    </row>
    <row r="66" spans="1:32" ht="11.25" customHeight="1" x14ac:dyDescent="0.2">
      <c r="A66" s="59" t="s">
        <v>117</v>
      </c>
      <c r="B66" s="60" t="s">
        <v>103</v>
      </c>
      <c r="C66" s="61">
        <v>0</v>
      </c>
      <c r="D66" s="62" t="str">
        <f t="shared" ref="D66:D81" si="13">$D$1</f>
        <v>Sonia</v>
      </c>
      <c r="E66" s="63" t="str">
        <f t="shared" si="11"/>
        <v>GBP6SONIA3L19Y_LCHQuote</v>
      </c>
      <c r="F66" s="176">
        <v>0</v>
      </c>
      <c r="G66" s="64" t="str">
        <f>_xll.qlOISRateHelper2(,$C66,$B66,$E66,$D66,,"Semiannual",Permanent,Trigger,ObjectOverwrite)</f>
        <v>obj_00501#0005</v>
      </c>
      <c r="I66" s="10" t="str">
        <f t="shared" si="8"/>
        <v>BasSw</v>
      </c>
      <c r="J66" s="94" t="str">
        <f t="shared" si="9"/>
        <v>obj_00526#0005</v>
      </c>
      <c r="K66" s="146" t="str">
        <f>IFERROR(_xll.qlRateHelperQuoteName(J66,Trigger),"--")</f>
        <v>GBP6SONIA3L23Y_LCHQuote</v>
      </c>
      <c r="L66" s="98" t="str">
        <f>IFERROR(_xll.qlRateHelperQuoteValue($J66,Trigger),"--")</f>
        <v>--</v>
      </c>
      <c r="M66" s="97" t="b">
        <v>0</v>
      </c>
      <c r="N66" s="94">
        <v>50</v>
      </c>
      <c r="O66" s="94">
        <v>1</v>
      </c>
      <c r="P66" s="99">
        <f>IFERROR(_xll.qlRateHelperEarliestDate(J66,Trigger),"--")</f>
        <v>42304</v>
      </c>
      <c r="Q66" s="99">
        <f>IFERROR(_xll.qlRateHelperPillarDate(J66,Trigger),"--")</f>
        <v>50705</v>
      </c>
      <c r="S66" s="4" t="str">
        <f t="shared" si="12"/>
        <v/>
      </c>
      <c r="T66" s="4" t="e">
        <v>#N/A</v>
      </c>
      <c r="U66" s="4" t="str">
        <f>IFERROR(_xll.qlRateHelperQuoteName(T66,Trigger),"")</f>
        <v/>
      </c>
      <c r="V66" s="70" t="str">
        <f>IFERROR(_xll.qlRateHelperRate(T66,Trigger),"")</f>
        <v/>
      </c>
      <c r="W66" s="104" t="str">
        <f>IF(ISERROR(_xll.qlSwapRateHelperSpread($T66)),IF(ISERROR(_xll.qlFuturesRateHelperConvexityAdjustment($T66)),"",_xll.qlFuturesRateHelperConvexityAdjustment($T66)),_xll.qlSwapRateHelperSpread($T66))</f>
        <v/>
      </c>
      <c r="X66" s="5" t="str">
        <f>IFERROR(_xll.qlRateHelperEarliestDate(T66,Trigger),"")</f>
        <v/>
      </c>
      <c r="Y66" s="5" t="str">
        <f>IFERROR(_xll.qlRateHelperPillarDate(T66,Trigger),"")</f>
        <v/>
      </c>
      <c r="Z66" s="70" t="e">
        <v>#N/A</v>
      </c>
      <c r="AA66" s="77" t="e">
        <v>#N/A</v>
      </c>
      <c r="AB66" s="46" t="e">
        <v>#N/A</v>
      </c>
      <c r="AC66" s="46" t="e">
        <v>#N/A</v>
      </c>
      <c r="AD66" s="172" t="e">
        <f t="shared" si="2"/>
        <v>#N/A</v>
      </c>
      <c r="AE66" s="46" t="e">
        <v>#N/A</v>
      </c>
      <c r="AF66" s="173" t="e">
        <f t="shared" si="3"/>
        <v>#N/A</v>
      </c>
    </row>
    <row r="67" spans="1:32" ht="11.25" customHeight="1" x14ac:dyDescent="0.2">
      <c r="A67" s="59" t="s">
        <v>117</v>
      </c>
      <c r="B67" s="60" t="s">
        <v>62</v>
      </c>
      <c r="C67" s="61">
        <v>0</v>
      </c>
      <c r="D67" s="62" t="str">
        <f t="shared" si="13"/>
        <v>Sonia</v>
      </c>
      <c r="E67" s="63" t="str">
        <f t="shared" si="11"/>
        <v>GBP6SONIA3L20Y_LCHQuote</v>
      </c>
      <c r="F67" s="176">
        <v>0</v>
      </c>
      <c r="G67" s="64" t="str">
        <f>_xll.qlOISRateHelper2(,$C67,$B67,$E67,$D67,,"Semiannual",Permanent,Trigger,ObjectOverwrite)</f>
        <v>obj_004f2#0005</v>
      </c>
      <c r="I67" s="10" t="str">
        <f t="shared" si="8"/>
        <v>BasSw</v>
      </c>
      <c r="J67" s="94" t="str">
        <f t="shared" si="9"/>
        <v>obj_004b6#0005</v>
      </c>
      <c r="K67" s="146" t="str">
        <f>IFERROR(_xll.qlRateHelperQuoteName(J67,Trigger),"--")</f>
        <v>GBP6SONIA3L24Y_LCHQuote</v>
      </c>
      <c r="L67" s="98" t="str">
        <f>IFERROR(_xll.qlRateHelperQuoteValue($J67,Trigger),"--")</f>
        <v>--</v>
      </c>
      <c r="M67" s="97" t="b">
        <v>0</v>
      </c>
      <c r="N67" s="94">
        <v>50</v>
      </c>
      <c r="O67" s="94">
        <v>1</v>
      </c>
      <c r="P67" s="99">
        <f>IFERROR(_xll.qlRateHelperEarliestDate(J67,Trigger),"--")</f>
        <v>42304</v>
      </c>
      <c r="Q67" s="99">
        <f>IFERROR(_xll.qlRateHelperPillarDate(J67,Trigger),"--")</f>
        <v>51070</v>
      </c>
      <c r="S67" s="4" t="str">
        <f t="shared" si="12"/>
        <v/>
      </c>
      <c r="T67" s="4" t="e">
        <v>#N/A</v>
      </c>
      <c r="U67" s="4" t="str">
        <f>IFERROR(_xll.qlRateHelperQuoteName(T67,Trigger),"")</f>
        <v/>
      </c>
      <c r="V67" s="70" t="str">
        <f>IFERROR(_xll.qlRateHelperRate(T67,Trigger),"")</f>
        <v/>
      </c>
      <c r="W67" s="104" t="str">
        <f>IF(ISERROR(_xll.qlSwapRateHelperSpread($T67)),IF(ISERROR(_xll.qlFuturesRateHelperConvexityAdjustment($T67)),"",_xll.qlFuturesRateHelperConvexityAdjustment($T67)),_xll.qlSwapRateHelperSpread($T67))</f>
        <v/>
      </c>
      <c r="X67" s="5" t="str">
        <f>IFERROR(_xll.qlRateHelperEarliestDate(T67,Trigger),"")</f>
        <v/>
      </c>
      <c r="Y67" s="5" t="str">
        <f>IFERROR(_xll.qlRateHelperPillarDate(T67,Trigger),"")</f>
        <v/>
      </c>
      <c r="Z67" s="70" t="e">
        <v>#N/A</v>
      </c>
      <c r="AA67" s="77" t="e">
        <v>#N/A</v>
      </c>
      <c r="AB67" s="46" t="e">
        <v>#N/A</v>
      </c>
      <c r="AC67" s="46" t="e">
        <v>#N/A</v>
      </c>
      <c r="AD67" s="172" t="e">
        <f t="shared" si="2"/>
        <v>#N/A</v>
      </c>
      <c r="AE67" s="46" t="e">
        <v>#N/A</v>
      </c>
      <c r="AF67" s="173" t="e">
        <f t="shared" si="3"/>
        <v>#N/A</v>
      </c>
    </row>
    <row r="68" spans="1:32" ht="11.25" customHeight="1" x14ac:dyDescent="0.2">
      <c r="A68" s="59" t="s">
        <v>117</v>
      </c>
      <c r="B68" s="60" t="s">
        <v>104</v>
      </c>
      <c r="C68" s="61">
        <v>0</v>
      </c>
      <c r="D68" s="62" t="str">
        <f t="shared" si="13"/>
        <v>Sonia</v>
      </c>
      <c r="E68" s="63" t="str">
        <f t="shared" si="11"/>
        <v>GBP6SONIA3L21Y_LCHQuote</v>
      </c>
      <c r="F68" s="176">
        <v>0</v>
      </c>
      <c r="G68" s="64" t="str">
        <f>_xll.qlOISRateHelper2(,$C68,$B68,$E68,$D68,,"Semiannual",Permanent,Trigger,ObjectOverwrite)</f>
        <v>obj_004aa#0005</v>
      </c>
      <c r="I68" s="10" t="str">
        <f t="shared" si="8"/>
        <v>BasSw</v>
      </c>
      <c r="J68" s="94" t="str">
        <f t="shared" si="9"/>
        <v>obj_00499#0005</v>
      </c>
      <c r="K68" s="146" t="str">
        <f>IFERROR(_xll.qlRateHelperQuoteName(J68,Trigger),"--")</f>
        <v>GBP6SONIA3L25Y_LCHQuote</v>
      </c>
      <c r="L68" s="98">
        <f>IFERROR(_xll.qlRateHelperQuoteValue($J68,Trigger),"--")</f>
        <v>1.8588500000000001E-2</v>
      </c>
      <c r="M68" s="97" t="b">
        <v>1</v>
      </c>
      <c r="N68" s="94">
        <v>50</v>
      </c>
      <c r="O68" s="94">
        <v>1</v>
      </c>
      <c r="P68" s="99">
        <f>IFERROR(_xll.qlRateHelperEarliestDate(J68,Trigger),"--")</f>
        <v>42304</v>
      </c>
      <c r="Q68" s="99">
        <f>IFERROR(_xll.qlRateHelperPillarDate(J68,Trigger),"--")</f>
        <v>51438</v>
      </c>
      <c r="S68" s="4" t="str">
        <f t="shared" si="12"/>
        <v/>
      </c>
      <c r="T68" s="4" t="e">
        <v>#N/A</v>
      </c>
      <c r="U68" s="4" t="str">
        <f>IFERROR(_xll.qlRateHelperQuoteName(T68,Trigger),"")</f>
        <v/>
      </c>
      <c r="V68" s="70" t="str">
        <f>IFERROR(_xll.qlRateHelperRate(T68,Trigger),"")</f>
        <v/>
      </c>
      <c r="W68" s="104" t="str">
        <f>IF(ISERROR(_xll.qlSwapRateHelperSpread($T68)),IF(ISERROR(_xll.qlFuturesRateHelperConvexityAdjustment($T68)),"",_xll.qlFuturesRateHelperConvexityAdjustment($T68)),_xll.qlSwapRateHelperSpread($T68))</f>
        <v/>
      </c>
      <c r="X68" s="5" t="str">
        <f>IFERROR(_xll.qlRateHelperEarliestDate(T68,Trigger),"")</f>
        <v/>
      </c>
      <c r="Y68" s="5" t="str">
        <f>IFERROR(_xll.qlRateHelperPillarDate(T68,Trigger),"")</f>
        <v/>
      </c>
      <c r="Z68" s="70" t="e">
        <v>#N/A</v>
      </c>
      <c r="AA68" s="77" t="e">
        <v>#N/A</v>
      </c>
      <c r="AB68" s="46" t="e">
        <v>#N/A</v>
      </c>
      <c r="AC68" s="46" t="e">
        <v>#N/A</v>
      </c>
      <c r="AD68" s="172" t="e">
        <f t="shared" ref="AD68:AD77" si="14">Z68-AC68</f>
        <v>#N/A</v>
      </c>
      <c r="AE68" s="46" t="e">
        <v>#N/A</v>
      </c>
      <c r="AF68" s="173" t="e">
        <f t="shared" ref="AF68:AF77" si="15">AA68-AE68</f>
        <v>#N/A</v>
      </c>
    </row>
    <row r="69" spans="1:32" ht="11.25" customHeight="1" x14ac:dyDescent="0.2">
      <c r="A69" s="59" t="s">
        <v>117</v>
      </c>
      <c r="B69" s="60" t="s">
        <v>105</v>
      </c>
      <c r="C69" s="61">
        <v>0</v>
      </c>
      <c r="D69" s="62" t="str">
        <f t="shared" si="13"/>
        <v>Sonia</v>
      </c>
      <c r="E69" s="63" t="str">
        <f t="shared" si="11"/>
        <v>GBP6SONIA3L22Y_LCHQuote</v>
      </c>
      <c r="F69" s="176">
        <v>0</v>
      </c>
      <c r="G69" s="64" t="str">
        <f>_xll.qlOISRateHelper2(,$C69,$B69,$E69,$D69,,"Semiannual",Permanent,Trigger,ObjectOverwrite)</f>
        <v>obj_0050d#0005</v>
      </c>
      <c r="I69" s="10" t="str">
        <f t="shared" si="8"/>
        <v>BasSw</v>
      </c>
      <c r="J69" s="94" t="str">
        <f t="shared" si="9"/>
        <v>obj_00507#0005</v>
      </c>
      <c r="K69" s="146" t="str">
        <f>IFERROR(_xll.qlRateHelperQuoteName(J69,Trigger),"--")</f>
        <v>GBP6SONIA3L26Y_LCHQuote</v>
      </c>
      <c r="L69" s="98" t="str">
        <f>IFERROR(_xll.qlRateHelperQuoteValue($J69,Trigger),"--")</f>
        <v>--</v>
      </c>
      <c r="M69" s="97" t="b">
        <v>0</v>
      </c>
      <c r="N69" s="94">
        <v>50</v>
      </c>
      <c r="O69" s="94">
        <v>1</v>
      </c>
      <c r="P69" s="99">
        <f>IFERROR(_xll.qlRateHelperEarliestDate(J69,Trigger),"--")</f>
        <v>42304</v>
      </c>
      <c r="Q69" s="99">
        <f>IFERROR(_xll.qlRateHelperPillarDate(J69,Trigger),"--")</f>
        <v>51802</v>
      </c>
      <c r="S69" s="4" t="str">
        <f t="shared" si="12"/>
        <v/>
      </c>
      <c r="T69" s="4" t="e">
        <v>#N/A</v>
      </c>
      <c r="U69" s="4" t="str">
        <f>IFERROR(_xll.qlRateHelperQuoteName(T69,Trigger),"")</f>
        <v/>
      </c>
      <c r="V69" s="70" t="str">
        <f>IFERROR(_xll.qlRateHelperRate(T69,Trigger),"")</f>
        <v/>
      </c>
      <c r="W69" s="104" t="str">
        <f>IF(ISERROR(_xll.qlSwapRateHelperSpread($T69)),IF(ISERROR(_xll.qlFuturesRateHelperConvexityAdjustment($T69)),"",_xll.qlFuturesRateHelperConvexityAdjustment($T69)),_xll.qlSwapRateHelperSpread($T69))</f>
        <v/>
      </c>
      <c r="X69" s="5" t="str">
        <f>IFERROR(_xll.qlRateHelperEarliestDate(T69,Trigger),"")</f>
        <v/>
      </c>
      <c r="Y69" s="5" t="str">
        <f>IFERROR(_xll.qlRateHelperPillarDate(T69,Trigger),"")</f>
        <v/>
      </c>
      <c r="Z69" s="70" t="e">
        <v>#N/A</v>
      </c>
      <c r="AA69" s="77" t="e">
        <v>#N/A</v>
      </c>
      <c r="AB69" s="46" t="e">
        <v>#N/A</v>
      </c>
      <c r="AC69" s="46" t="e">
        <v>#N/A</v>
      </c>
      <c r="AD69" s="172" t="e">
        <f t="shared" si="14"/>
        <v>#N/A</v>
      </c>
      <c r="AE69" s="46" t="e">
        <v>#N/A</v>
      </c>
      <c r="AF69" s="173" t="e">
        <f t="shared" si="15"/>
        <v>#N/A</v>
      </c>
    </row>
    <row r="70" spans="1:32" ht="11.25" customHeight="1" x14ac:dyDescent="0.2">
      <c r="A70" s="59" t="s">
        <v>117</v>
      </c>
      <c r="B70" s="60" t="s">
        <v>106</v>
      </c>
      <c r="C70" s="61">
        <v>0</v>
      </c>
      <c r="D70" s="62" t="str">
        <f t="shared" si="13"/>
        <v>Sonia</v>
      </c>
      <c r="E70" s="63" t="str">
        <f t="shared" si="11"/>
        <v>GBP6SONIA3L23Y_LCHQuote</v>
      </c>
      <c r="F70" s="176">
        <v>0</v>
      </c>
      <c r="G70" s="64" t="str">
        <f>_xll.qlOISRateHelper2(,$C70,$B70,$E70,$D70,,"Semiannual",Permanent,Trigger,ObjectOverwrite)</f>
        <v>obj_00526#0005</v>
      </c>
      <c r="I70" s="10" t="str">
        <f t="shared" si="8"/>
        <v>BasSw</v>
      </c>
      <c r="J70" s="94" t="str">
        <f t="shared" si="9"/>
        <v>obj_004dd#0005</v>
      </c>
      <c r="K70" s="146" t="str">
        <f>IFERROR(_xll.qlRateHelperQuoteName(J70,Trigger),"--")</f>
        <v>GBP6SONIA3L27Y_LCHQuote</v>
      </c>
      <c r="L70" s="98" t="str">
        <f>IFERROR(_xll.qlRateHelperQuoteValue($J70,Trigger),"--")</f>
        <v>--</v>
      </c>
      <c r="M70" s="97" t="b">
        <v>0</v>
      </c>
      <c r="N70" s="94">
        <v>50</v>
      </c>
      <c r="O70" s="94">
        <v>1</v>
      </c>
      <c r="P70" s="99">
        <f>IFERROR(_xll.qlRateHelperEarliestDate(J70,Trigger),"--")</f>
        <v>42304</v>
      </c>
      <c r="Q70" s="99">
        <f>IFERROR(_xll.qlRateHelperPillarDate(J70,Trigger),"--")</f>
        <v>52166</v>
      </c>
      <c r="S70" s="4" t="str">
        <f t="shared" si="12"/>
        <v/>
      </c>
      <c r="T70" s="4" t="e">
        <v>#N/A</v>
      </c>
      <c r="U70" s="4" t="str">
        <f>IFERROR(_xll.qlRateHelperQuoteName(T70,Trigger),"")</f>
        <v/>
      </c>
      <c r="V70" s="70" t="str">
        <f>IFERROR(_xll.qlRateHelperRate(T70,Trigger),"")</f>
        <v/>
      </c>
      <c r="W70" s="104" t="str">
        <f>IF(ISERROR(_xll.qlSwapRateHelperSpread($T70)),IF(ISERROR(_xll.qlFuturesRateHelperConvexityAdjustment($T70)),"",_xll.qlFuturesRateHelperConvexityAdjustment($T70)),_xll.qlSwapRateHelperSpread($T70))</f>
        <v/>
      </c>
      <c r="X70" s="5" t="str">
        <f>IFERROR(_xll.qlRateHelperEarliestDate(T70,Trigger),"")</f>
        <v/>
      </c>
      <c r="Y70" s="5" t="str">
        <f>IFERROR(_xll.qlRateHelperPillarDate(T70,Trigger),"")</f>
        <v/>
      </c>
      <c r="Z70" s="70" t="e">
        <v>#N/A</v>
      </c>
      <c r="AA70" s="77" t="e">
        <v>#N/A</v>
      </c>
      <c r="AB70" s="46" t="e">
        <v>#N/A</v>
      </c>
      <c r="AC70" s="46" t="e">
        <v>#N/A</v>
      </c>
      <c r="AD70" s="172" t="e">
        <f t="shared" si="14"/>
        <v>#N/A</v>
      </c>
      <c r="AE70" s="46" t="e">
        <v>#N/A</v>
      </c>
      <c r="AF70" s="173" t="e">
        <f t="shared" si="15"/>
        <v>#N/A</v>
      </c>
    </row>
    <row r="71" spans="1:32" ht="11.25" customHeight="1" x14ac:dyDescent="0.2">
      <c r="A71" s="59" t="s">
        <v>117</v>
      </c>
      <c r="B71" s="60" t="s">
        <v>107</v>
      </c>
      <c r="C71" s="61">
        <v>0</v>
      </c>
      <c r="D71" s="62" t="str">
        <f t="shared" si="13"/>
        <v>Sonia</v>
      </c>
      <c r="E71" s="63" t="str">
        <f t="shared" si="11"/>
        <v>GBP6SONIA3L24Y_LCHQuote</v>
      </c>
      <c r="F71" s="176">
        <v>0</v>
      </c>
      <c r="G71" s="64" t="str">
        <f>_xll.qlOISRateHelper2(,$C71,$B71,$E71,$D71,,"Semiannual",Permanent,Trigger,ObjectOverwrite)</f>
        <v>obj_004b6#0005</v>
      </c>
      <c r="I71" s="10" t="str">
        <f t="shared" si="8"/>
        <v>BasSw</v>
      </c>
      <c r="J71" s="94" t="str">
        <f t="shared" si="9"/>
        <v>obj_00502#0005</v>
      </c>
      <c r="K71" s="146" t="str">
        <f>IFERROR(_xll.qlRateHelperQuoteName(J71,Trigger),"--")</f>
        <v>GBP6SONIA3L28Y_LCHQuote</v>
      </c>
      <c r="L71" s="98" t="str">
        <f>IFERROR(_xll.qlRateHelperQuoteValue($J71,Trigger),"--")</f>
        <v>--</v>
      </c>
      <c r="M71" s="97" t="b">
        <v>0</v>
      </c>
      <c r="N71" s="94">
        <v>50</v>
      </c>
      <c r="O71" s="94">
        <v>1</v>
      </c>
      <c r="P71" s="99">
        <f>IFERROR(_xll.qlRateHelperEarliestDate(J71,Trigger),"--")</f>
        <v>42304</v>
      </c>
      <c r="Q71" s="99">
        <f>IFERROR(_xll.qlRateHelperPillarDate(J71,Trigger),"--")</f>
        <v>52531</v>
      </c>
      <c r="S71" s="4" t="str">
        <f t="shared" si="12"/>
        <v/>
      </c>
      <c r="T71" s="4" t="e">
        <v>#N/A</v>
      </c>
      <c r="U71" s="4" t="str">
        <f>IFERROR(_xll.qlRateHelperQuoteName(T71,Trigger),"")</f>
        <v/>
      </c>
      <c r="V71" s="70" t="str">
        <f>IFERROR(_xll.qlRateHelperRate(T71,Trigger),"")</f>
        <v/>
      </c>
      <c r="W71" s="104" t="str">
        <f>IF(ISERROR(_xll.qlSwapRateHelperSpread($T71)),IF(ISERROR(_xll.qlFuturesRateHelperConvexityAdjustment($T71)),"",_xll.qlFuturesRateHelperConvexityAdjustment($T71)),_xll.qlSwapRateHelperSpread($T71))</f>
        <v/>
      </c>
      <c r="X71" s="5" t="str">
        <f>IFERROR(_xll.qlRateHelperEarliestDate(T71,Trigger),"")</f>
        <v/>
      </c>
      <c r="Y71" s="5" t="str">
        <f>IFERROR(_xll.qlRateHelperPillarDate(T71,Trigger),"")</f>
        <v/>
      </c>
      <c r="Z71" s="70" t="e">
        <v>#N/A</v>
      </c>
      <c r="AA71" s="77" t="e">
        <v>#N/A</v>
      </c>
      <c r="AB71" s="46" t="e">
        <v>#N/A</v>
      </c>
      <c r="AC71" s="46" t="e">
        <v>#N/A</v>
      </c>
      <c r="AD71" s="172" t="e">
        <f t="shared" si="14"/>
        <v>#N/A</v>
      </c>
      <c r="AE71" s="46" t="e">
        <v>#N/A</v>
      </c>
      <c r="AF71" s="173" t="e">
        <f t="shared" si="15"/>
        <v>#N/A</v>
      </c>
    </row>
    <row r="72" spans="1:32" ht="11.25" customHeight="1" x14ac:dyDescent="0.2">
      <c r="A72" s="59" t="s">
        <v>117</v>
      </c>
      <c r="B72" s="60" t="s">
        <v>63</v>
      </c>
      <c r="C72" s="61">
        <v>0</v>
      </c>
      <c r="D72" s="62" t="str">
        <f t="shared" si="13"/>
        <v>Sonia</v>
      </c>
      <c r="E72" s="63" t="str">
        <f t="shared" si="11"/>
        <v>GBP6SONIA3L25Y_LCHQuote</v>
      </c>
      <c r="F72" s="176">
        <v>0</v>
      </c>
      <c r="G72" s="64" t="str">
        <f>_xll.qlOISRateHelper2(,$C72,$B72,$E72,$D72,,"Semiannual",Permanent,Trigger,ObjectOverwrite)</f>
        <v>obj_00499#0005</v>
      </c>
      <c r="I72" s="10" t="str">
        <f t="shared" si="8"/>
        <v>BasSw</v>
      </c>
      <c r="J72" s="94" t="str">
        <f t="shared" si="9"/>
        <v>obj_004f3#0005</v>
      </c>
      <c r="K72" s="146" t="str">
        <f>IFERROR(_xll.qlRateHelperQuoteName(J72,Trigger),"--")</f>
        <v>GBP6SONIA3L29Y_LCHQuote</v>
      </c>
      <c r="L72" s="98" t="str">
        <f>IFERROR(_xll.qlRateHelperQuoteValue($J72,Trigger),"--")</f>
        <v>--</v>
      </c>
      <c r="M72" s="97" t="b">
        <v>0</v>
      </c>
      <c r="N72" s="94">
        <v>50</v>
      </c>
      <c r="O72" s="94">
        <v>1</v>
      </c>
      <c r="P72" s="99">
        <f>IFERROR(_xll.qlRateHelperEarliestDate(J72,Trigger),"--")</f>
        <v>42304</v>
      </c>
      <c r="Q72" s="99">
        <f>IFERROR(_xll.qlRateHelperPillarDate(J72,Trigger),"--")</f>
        <v>52897</v>
      </c>
      <c r="S72" s="4" t="str">
        <f t="shared" si="12"/>
        <v/>
      </c>
      <c r="T72" s="4" t="e">
        <v>#N/A</v>
      </c>
      <c r="U72" s="4" t="str">
        <f>IFERROR(_xll.qlRateHelperQuoteName(T72,Trigger),"")</f>
        <v/>
      </c>
      <c r="V72" s="70" t="str">
        <f>IFERROR(_xll.qlRateHelperRate(T72,Trigger),"")</f>
        <v/>
      </c>
      <c r="W72" s="104" t="str">
        <f>IF(ISERROR(_xll.qlSwapRateHelperSpread($T72)),IF(ISERROR(_xll.qlFuturesRateHelperConvexityAdjustment($T72)),"",_xll.qlFuturesRateHelperConvexityAdjustment($T72)),_xll.qlSwapRateHelperSpread($T72))</f>
        <v/>
      </c>
      <c r="X72" s="5" t="str">
        <f>IFERROR(_xll.qlRateHelperEarliestDate(T72,Trigger),"")</f>
        <v/>
      </c>
      <c r="Y72" s="5" t="str">
        <f>IFERROR(_xll.qlRateHelperPillarDate(T72,Trigger),"")</f>
        <v/>
      </c>
      <c r="Z72" s="70" t="e">
        <v>#N/A</v>
      </c>
      <c r="AA72" s="77" t="e">
        <v>#N/A</v>
      </c>
      <c r="AB72" s="46" t="e">
        <v>#N/A</v>
      </c>
      <c r="AC72" s="46" t="e">
        <v>#N/A</v>
      </c>
      <c r="AD72" s="172" t="e">
        <f t="shared" si="14"/>
        <v>#N/A</v>
      </c>
      <c r="AE72" s="46" t="e">
        <v>#N/A</v>
      </c>
      <c r="AF72" s="173" t="e">
        <f t="shared" si="15"/>
        <v>#N/A</v>
      </c>
    </row>
    <row r="73" spans="1:32" ht="11.25" customHeight="1" x14ac:dyDescent="0.2">
      <c r="A73" s="59" t="s">
        <v>117</v>
      </c>
      <c r="B73" s="60" t="s">
        <v>108</v>
      </c>
      <c r="C73" s="61">
        <v>0</v>
      </c>
      <c r="D73" s="62" t="str">
        <f t="shared" si="13"/>
        <v>Sonia</v>
      </c>
      <c r="E73" s="63" t="str">
        <f t="shared" si="11"/>
        <v>GBP6SONIA3L26Y_LCHQuote</v>
      </c>
      <c r="F73" s="176">
        <v>0</v>
      </c>
      <c r="G73" s="64" t="str">
        <f>_xll.qlOISRateHelper2(,$C73,$B73,$E73,$D73,,"Semiannual",Permanent,Trigger,ObjectOverwrite)</f>
        <v>obj_00507#0005</v>
      </c>
      <c r="I73" s="10" t="str">
        <f t="shared" si="8"/>
        <v>BasSw</v>
      </c>
      <c r="J73" s="94" t="str">
        <f t="shared" si="9"/>
        <v>obj_004ac#0005</v>
      </c>
      <c r="K73" s="146" t="str">
        <f>IFERROR(_xll.qlRateHelperQuoteName(J73,Trigger),"--")</f>
        <v>GBP6SONIA3L30Y_LCHQuote</v>
      </c>
      <c r="L73" s="98">
        <f>IFERROR(_xll.qlRateHelperQuoteValue($J73,Trigger),"--")</f>
        <v>1.8676000000000002E-2</v>
      </c>
      <c r="M73" s="97" t="b">
        <v>1</v>
      </c>
      <c r="N73" s="94">
        <v>50</v>
      </c>
      <c r="O73" s="94">
        <v>1</v>
      </c>
      <c r="P73" s="99">
        <f>IFERROR(_xll.qlRateHelperEarliestDate(J73,Trigger),"--")</f>
        <v>42304</v>
      </c>
      <c r="Q73" s="99">
        <f>IFERROR(_xll.qlRateHelperPillarDate(J73,Trigger),"--")</f>
        <v>53262</v>
      </c>
      <c r="S73" s="4" t="str">
        <f t="shared" si="12"/>
        <v/>
      </c>
      <c r="T73" s="4" t="e">
        <v>#N/A</v>
      </c>
      <c r="U73" s="4" t="str">
        <f>IFERROR(_xll.qlRateHelperQuoteName(T73,Trigger),"")</f>
        <v/>
      </c>
      <c r="V73" s="70" t="str">
        <f>IFERROR(_xll.qlRateHelperRate(T73,Trigger),"")</f>
        <v/>
      </c>
      <c r="W73" s="104" t="str">
        <f>IF(ISERROR(_xll.qlSwapRateHelperSpread($T73)),IF(ISERROR(_xll.qlFuturesRateHelperConvexityAdjustment($T73)),"",_xll.qlFuturesRateHelperConvexityAdjustment($T73)),_xll.qlSwapRateHelperSpread($T73))</f>
        <v/>
      </c>
      <c r="X73" s="5" t="str">
        <f>IFERROR(_xll.qlRateHelperEarliestDate(T73,Trigger),"")</f>
        <v/>
      </c>
      <c r="Y73" s="5" t="str">
        <f>IFERROR(_xll.qlRateHelperPillarDate(T73,Trigger),"")</f>
        <v/>
      </c>
      <c r="Z73" s="70" t="e">
        <v>#N/A</v>
      </c>
      <c r="AA73" s="77" t="e">
        <v>#N/A</v>
      </c>
      <c r="AB73" s="46" t="e">
        <v>#N/A</v>
      </c>
      <c r="AC73" s="46" t="e">
        <v>#N/A</v>
      </c>
      <c r="AD73" s="172" t="e">
        <f t="shared" si="14"/>
        <v>#N/A</v>
      </c>
      <c r="AE73" s="46" t="e">
        <v>#N/A</v>
      </c>
      <c r="AF73" s="173" t="e">
        <f t="shared" si="15"/>
        <v>#N/A</v>
      </c>
    </row>
    <row r="74" spans="1:32" ht="11.25" customHeight="1" x14ac:dyDescent="0.2">
      <c r="A74" s="59" t="s">
        <v>117</v>
      </c>
      <c r="B74" s="60" t="s">
        <v>64</v>
      </c>
      <c r="C74" s="61">
        <v>0</v>
      </c>
      <c r="D74" s="62" t="str">
        <f t="shared" si="13"/>
        <v>Sonia</v>
      </c>
      <c r="E74" s="63" t="str">
        <f t="shared" si="11"/>
        <v>GBP6SONIA3L27Y_LCHQuote</v>
      </c>
      <c r="F74" s="176">
        <v>0</v>
      </c>
      <c r="G74" s="64" t="str">
        <f>_xll.qlOISRateHelper2(,$C74,$B74,$E74,$D74,,"Semiannual",Permanent,Trigger,ObjectOverwrite)</f>
        <v>obj_004dd#0005</v>
      </c>
      <c r="I74" s="10" t="str">
        <f t="shared" si="8"/>
        <v>BasSw</v>
      </c>
      <c r="J74" s="94" t="str">
        <f t="shared" si="9"/>
        <v>obj_004fa#0005</v>
      </c>
      <c r="K74" s="146" t="str">
        <f>IFERROR(_xll.qlRateHelperQuoteName(J74,Trigger),"--")</f>
        <v>GBP6SONIA3L35Y_LCHQuote</v>
      </c>
      <c r="L74" s="98" t="str">
        <f>IFERROR(_xll.qlRateHelperQuoteValue($J74,Trigger),"--")</f>
        <v>--</v>
      </c>
      <c r="M74" s="97" t="b">
        <v>0</v>
      </c>
      <c r="N74" s="94">
        <v>50</v>
      </c>
      <c r="O74" s="94">
        <v>1</v>
      </c>
      <c r="P74" s="99">
        <f>IFERROR(_xll.qlRateHelperEarliestDate(J74,Trigger),"--")</f>
        <v>42304</v>
      </c>
      <c r="Q74" s="99">
        <f>IFERROR(_xll.qlRateHelperPillarDate(J74,Trigger),"--")</f>
        <v>55088</v>
      </c>
      <c r="S74" s="4" t="str">
        <f t="shared" si="12"/>
        <v/>
      </c>
      <c r="T74" s="4" t="e">
        <v>#N/A</v>
      </c>
      <c r="U74" s="4" t="str">
        <f>IFERROR(_xll.qlRateHelperQuoteName(T74,Trigger),"")</f>
        <v/>
      </c>
      <c r="V74" s="70" t="str">
        <f>IFERROR(_xll.qlRateHelperRate(T74,Trigger),"")</f>
        <v/>
      </c>
      <c r="W74" s="104" t="str">
        <f>IF(ISERROR(_xll.qlSwapRateHelperSpread($T74)),IF(ISERROR(_xll.qlFuturesRateHelperConvexityAdjustment($T74)),"",_xll.qlFuturesRateHelperConvexityAdjustment($T74)),_xll.qlSwapRateHelperSpread($T74))</f>
        <v/>
      </c>
      <c r="X74" s="5" t="str">
        <f>IFERROR(_xll.qlRateHelperEarliestDate(T74,Trigger),"")</f>
        <v/>
      </c>
      <c r="Y74" s="5" t="str">
        <f>IFERROR(_xll.qlRateHelperPillarDate(T74,Trigger),"")</f>
        <v/>
      </c>
      <c r="Z74" s="70" t="e">
        <v>#N/A</v>
      </c>
      <c r="AA74" s="77" t="e">
        <v>#N/A</v>
      </c>
      <c r="AB74" s="46" t="e">
        <v>#N/A</v>
      </c>
      <c r="AC74" s="46" t="e">
        <v>#N/A</v>
      </c>
      <c r="AD74" s="172" t="e">
        <f t="shared" si="14"/>
        <v>#N/A</v>
      </c>
      <c r="AE74" s="46" t="e">
        <v>#N/A</v>
      </c>
      <c r="AF74" s="173" t="e">
        <f t="shared" si="15"/>
        <v>#N/A</v>
      </c>
    </row>
    <row r="75" spans="1:32" ht="11.25" customHeight="1" x14ac:dyDescent="0.2">
      <c r="A75" s="59" t="s">
        <v>117</v>
      </c>
      <c r="B75" s="60" t="s">
        <v>109</v>
      </c>
      <c r="C75" s="61">
        <v>0</v>
      </c>
      <c r="D75" s="62" t="str">
        <f t="shared" si="13"/>
        <v>Sonia</v>
      </c>
      <c r="E75" s="63" t="str">
        <f t="shared" si="11"/>
        <v>GBP6SONIA3L28Y_LCHQuote</v>
      </c>
      <c r="F75" s="176">
        <v>0</v>
      </c>
      <c r="G75" s="64" t="str">
        <f>_xll.qlOISRateHelper2(,$C75,$B75,$E75,$D75,,"Semiannual",Permanent,Trigger,ObjectOverwrite)</f>
        <v>obj_00502#0005</v>
      </c>
      <c r="I75" s="10" t="str">
        <f t="shared" si="8"/>
        <v>BasSw</v>
      </c>
      <c r="J75" s="94" t="str">
        <f t="shared" si="9"/>
        <v>obj_004fb#0005</v>
      </c>
      <c r="K75" s="146" t="str">
        <f>IFERROR(_xll.qlRateHelperQuoteName(J75,Trigger),"--")</f>
        <v>GBP6SONIA3L40Y_LCHQuote</v>
      </c>
      <c r="L75" s="98">
        <f>IFERROR(_xll.qlRateHelperQuoteValue($J75,Trigger),"--")</f>
        <v>1.8323999999999899E-2</v>
      </c>
      <c r="M75" s="97" t="b">
        <v>1</v>
      </c>
      <c r="N75" s="94">
        <v>50</v>
      </c>
      <c r="O75" s="94">
        <v>1</v>
      </c>
      <c r="P75" s="99">
        <f>IFERROR(_xll.qlRateHelperEarliestDate(J75,Trigger),"--")</f>
        <v>42304</v>
      </c>
      <c r="Q75" s="99">
        <f>IFERROR(_xll.qlRateHelperPillarDate(J75,Trigger),"--")</f>
        <v>56914</v>
      </c>
      <c r="S75" s="4" t="str">
        <f t="shared" si="12"/>
        <v/>
      </c>
      <c r="T75" s="4" t="e">
        <v>#N/A</v>
      </c>
      <c r="U75" s="4" t="str">
        <f>IFERROR(_xll.qlRateHelperQuoteName(T75,Trigger),"")</f>
        <v/>
      </c>
      <c r="V75" s="70" t="str">
        <f>IFERROR(_xll.qlRateHelperRate(T75,Trigger),"")</f>
        <v/>
      </c>
      <c r="W75" s="104" t="str">
        <f>IF(ISERROR(_xll.qlSwapRateHelperSpread($T75)),IF(ISERROR(_xll.qlFuturesRateHelperConvexityAdjustment($T75)),"",_xll.qlFuturesRateHelperConvexityAdjustment($T75)),_xll.qlSwapRateHelperSpread($T75))</f>
        <v/>
      </c>
      <c r="X75" s="5" t="str">
        <f>IFERROR(_xll.qlRateHelperEarliestDate(T75,Trigger),"")</f>
        <v/>
      </c>
      <c r="Y75" s="5" t="str">
        <f>IFERROR(_xll.qlRateHelperPillarDate(T75,Trigger),"")</f>
        <v/>
      </c>
      <c r="Z75" s="70" t="e">
        <v>#N/A</v>
      </c>
      <c r="AA75" s="77" t="e">
        <v>#N/A</v>
      </c>
      <c r="AB75" s="46" t="e">
        <v>#N/A</v>
      </c>
      <c r="AC75" s="46" t="e">
        <v>#N/A</v>
      </c>
      <c r="AD75" s="172" t="e">
        <f t="shared" si="14"/>
        <v>#N/A</v>
      </c>
      <c r="AE75" s="46" t="e">
        <v>#N/A</v>
      </c>
      <c r="AF75" s="173" t="e">
        <f t="shared" si="15"/>
        <v>#N/A</v>
      </c>
    </row>
    <row r="76" spans="1:32" ht="11.25" customHeight="1" x14ac:dyDescent="0.2">
      <c r="A76" s="59" t="s">
        <v>117</v>
      </c>
      <c r="B76" s="60" t="s">
        <v>110</v>
      </c>
      <c r="C76" s="61">
        <v>0</v>
      </c>
      <c r="D76" s="62" t="str">
        <f t="shared" si="13"/>
        <v>Sonia</v>
      </c>
      <c r="E76" s="63" t="str">
        <f t="shared" si="11"/>
        <v>GBP6SONIA3L29Y_LCHQuote</v>
      </c>
      <c r="F76" s="176">
        <v>0</v>
      </c>
      <c r="G76" s="64" t="str">
        <f>_xll.qlOISRateHelper2(,$C76,$B76,$E76,$D76,,"Semiannual",Permanent,Trigger,ObjectOverwrite)</f>
        <v>obj_004f3#0005</v>
      </c>
      <c r="I76" s="10" t="str">
        <f t="shared" si="8"/>
        <v>BasSw</v>
      </c>
      <c r="J76" s="94" t="str">
        <f t="shared" si="9"/>
        <v>obj_004dc#0005</v>
      </c>
      <c r="K76" s="146" t="str">
        <f>IFERROR(_xll.qlRateHelperQuoteName(J76,Trigger),"--")</f>
        <v>GBP6SONIA3L50Y_LCHQuote</v>
      </c>
      <c r="L76" s="98">
        <f>IFERROR(_xll.qlRateHelperQuoteValue($J76,Trigger),"--")</f>
        <v>1.8133500000000101E-2</v>
      </c>
      <c r="M76" s="97" t="b">
        <v>1</v>
      </c>
      <c r="N76" s="94">
        <v>50</v>
      </c>
      <c r="O76" s="94">
        <v>1</v>
      </c>
      <c r="P76" s="99">
        <f>IFERROR(_xll.qlRateHelperEarliestDate(J76,Trigger),"--")</f>
        <v>42304</v>
      </c>
      <c r="Q76" s="99">
        <f>IFERROR(_xll.qlRateHelperPillarDate(J76,Trigger),"--")</f>
        <v>60567</v>
      </c>
      <c r="S76" s="4" t="str">
        <f t="shared" si="12"/>
        <v/>
      </c>
      <c r="T76" s="4" t="e">
        <v>#N/A</v>
      </c>
      <c r="U76" s="4" t="str">
        <f>IFERROR(_xll.qlRateHelperQuoteName(T76,Trigger),"")</f>
        <v/>
      </c>
      <c r="V76" s="70" t="str">
        <f>IFERROR(_xll.qlRateHelperRate(T76,Trigger),"")</f>
        <v/>
      </c>
      <c r="W76" s="104" t="str">
        <f>IF(ISERROR(_xll.qlSwapRateHelperSpread($T76)),IF(ISERROR(_xll.qlFuturesRateHelperConvexityAdjustment($T76)),"",_xll.qlFuturesRateHelperConvexityAdjustment($T76)),_xll.qlSwapRateHelperSpread($T76))</f>
        <v/>
      </c>
      <c r="X76" s="5" t="str">
        <f>IFERROR(_xll.qlRateHelperEarliestDate(T76,Trigger),"")</f>
        <v/>
      </c>
      <c r="Y76" s="5" t="str">
        <f>IFERROR(_xll.qlRateHelperPillarDate(T76,Trigger),"")</f>
        <v/>
      </c>
      <c r="Z76" s="70" t="e">
        <v>#N/A</v>
      </c>
      <c r="AA76" s="77" t="e">
        <v>#N/A</v>
      </c>
      <c r="AB76" s="46" t="e">
        <v>#N/A</v>
      </c>
      <c r="AC76" s="46" t="e">
        <v>#N/A</v>
      </c>
      <c r="AD76" s="172" t="e">
        <f t="shared" si="14"/>
        <v>#N/A</v>
      </c>
      <c r="AE76" s="46" t="e">
        <v>#N/A</v>
      </c>
      <c r="AF76" s="173" t="e">
        <f t="shared" si="15"/>
        <v>#N/A</v>
      </c>
    </row>
    <row r="77" spans="1:32" ht="11.25" customHeight="1" x14ac:dyDescent="0.2">
      <c r="A77" s="59" t="s">
        <v>117</v>
      </c>
      <c r="B77" s="60" t="s">
        <v>65</v>
      </c>
      <c r="C77" s="61">
        <v>0</v>
      </c>
      <c r="D77" s="62" t="str">
        <f t="shared" si="13"/>
        <v>Sonia</v>
      </c>
      <c r="E77" s="63" t="str">
        <f t="shared" si="11"/>
        <v>GBP6SONIA3L30Y_LCHQuote</v>
      </c>
      <c r="F77" s="176">
        <v>0</v>
      </c>
      <c r="G77" s="64" t="str">
        <f>_xll.qlOISRateHelper2(,$C77,$B77,$E77,$D77,,"Semiannual",Permanent,Trigger,ObjectOverwrite)</f>
        <v>obj_004ac#0005</v>
      </c>
      <c r="I77" s="11" t="str">
        <f t="shared" si="8"/>
        <v>BasSw</v>
      </c>
      <c r="J77" s="95" t="str">
        <f t="shared" si="9"/>
        <v>obj_00518#0005</v>
      </c>
      <c r="K77" s="147" t="str">
        <f>IFERROR(_xll.qlRateHelperQuoteName(J77,Trigger),"--")</f>
        <v>GBP6SONIA3L60Y_LCHQuote</v>
      </c>
      <c r="L77" s="101">
        <f>IFERROR(_xll.qlRateHelperQuoteValue($J77,Trigger),"--")</f>
        <v>1.8230500000000101E-2</v>
      </c>
      <c r="M77" s="100" t="b">
        <v>1</v>
      </c>
      <c r="N77" s="95">
        <v>50</v>
      </c>
      <c r="O77" s="95">
        <v>1</v>
      </c>
      <c r="P77" s="102">
        <f>IFERROR(_xll.qlRateHelperEarliestDate(J77,Trigger),"--")</f>
        <v>42304</v>
      </c>
      <c r="Q77" s="102">
        <f>IFERROR(_xll.qlRateHelperPillarDate(J77,Trigger),"--")</f>
        <v>64220</v>
      </c>
      <c r="S77" s="4" t="str">
        <f t="shared" si="12"/>
        <v/>
      </c>
      <c r="T77" s="6" t="e">
        <v>#N/A</v>
      </c>
      <c r="U77" s="6" t="str">
        <f>IFERROR(_xll.qlRateHelperQuoteName(T77,Trigger),"")</f>
        <v/>
      </c>
      <c r="V77" s="79" t="str">
        <f>IFERROR(_xll.qlRateHelperRate(T77,Trigger),"")</f>
        <v/>
      </c>
      <c r="W77" s="105" t="str">
        <f>IF(ISERROR(_xll.qlSwapRateHelperSpread($T77)),IF(ISERROR(_xll.qlFuturesRateHelperConvexityAdjustment($T77)),"",_xll.qlFuturesRateHelperConvexityAdjustment($T77)),_xll.qlSwapRateHelperSpread($T77))</f>
        <v/>
      </c>
      <c r="X77" s="12" t="str">
        <f>IFERROR(_xll.qlRateHelperEarliestDate(T77,Trigger),"")</f>
        <v/>
      </c>
      <c r="Y77" s="12" t="str">
        <f>IFERROR(_xll.qlRateHelperPillarDate(T77,Trigger),"")</f>
        <v/>
      </c>
      <c r="Z77" s="79" t="e">
        <v>#N/A</v>
      </c>
      <c r="AA77" s="78" t="e">
        <v>#N/A</v>
      </c>
      <c r="AB77" s="46" t="e">
        <v>#N/A</v>
      </c>
      <c r="AC77" s="46" t="e">
        <v>#N/A</v>
      </c>
      <c r="AD77" s="172" t="e">
        <f t="shared" si="14"/>
        <v>#N/A</v>
      </c>
      <c r="AE77" s="46" t="e">
        <v>#N/A</v>
      </c>
      <c r="AF77" s="173" t="e">
        <f t="shared" si="15"/>
        <v>#N/A</v>
      </c>
    </row>
    <row r="78" spans="1:32" ht="11.25" customHeight="1" x14ac:dyDescent="0.2">
      <c r="A78" s="59" t="s">
        <v>117</v>
      </c>
      <c r="B78" s="60" t="s">
        <v>66</v>
      </c>
      <c r="C78" s="61">
        <v>0</v>
      </c>
      <c r="D78" s="62" t="str">
        <f t="shared" si="13"/>
        <v>Sonia</v>
      </c>
      <c r="E78" s="63" t="str">
        <f t="shared" si="11"/>
        <v>GBP6SONIA3L35Y_LCHQuote</v>
      </c>
      <c r="F78" s="176">
        <v>0</v>
      </c>
      <c r="G78" s="64" t="str">
        <f>_xll.qlOISRateHelper2(,$C78,$B78,$E78,$D78,,"Semiannual",Permanent,Trigger,ObjectOverwrite)</f>
        <v>obj_004fa#0005</v>
      </c>
    </row>
    <row r="79" spans="1:32" ht="11.25" customHeight="1" x14ac:dyDescent="0.2">
      <c r="A79" s="59" t="s">
        <v>117</v>
      </c>
      <c r="B79" s="60" t="s">
        <v>67</v>
      </c>
      <c r="C79" s="61">
        <v>0</v>
      </c>
      <c r="D79" s="62" t="str">
        <f t="shared" si="13"/>
        <v>Sonia</v>
      </c>
      <c r="E79" s="63" t="str">
        <f t="shared" si="11"/>
        <v>GBP6SONIA3L40Y_LCHQuote</v>
      </c>
      <c r="F79" s="176">
        <v>0</v>
      </c>
      <c r="G79" s="64" t="str">
        <f>_xll.qlOISRateHelper2(,$C79,$B79,$E79,$D79,,"Semiannual",Permanent,Trigger,ObjectOverwrite)</f>
        <v>obj_004fb#0005</v>
      </c>
    </row>
    <row r="80" spans="1:32" ht="11.25" customHeight="1" x14ac:dyDescent="0.2">
      <c r="A80" s="59" t="s">
        <v>117</v>
      </c>
      <c r="B80" s="60" t="s">
        <v>68</v>
      </c>
      <c r="C80" s="61">
        <v>0</v>
      </c>
      <c r="D80" s="62" t="str">
        <f t="shared" si="13"/>
        <v>Sonia</v>
      </c>
      <c r="E80" s="63" t="str">
        <f t="shared" si="11"/>
        <v>GBP6SONIA3L50Y_LCHQuote</v>
      </c>
      <c r="F80" s="176">
        <v>0</v>
      </c>
      <c r="G80" s="64" t="str">
        <f>_xll.qlOISRateHelper2(,$C80,$B80,$E80,$D80,,"Semiannual",Permanent,Trigger,ObjectOverwrite)</f>
        <v>obj_004dc#0005</v>
      </c>
    </row>
    <row r="81" spans="1:7" x14ac:dyDescent="0.2">
      <c r="A81" s="1" t="s">
        <v>117</v>
      </c>
      <c r="B81" s="8" t="s">
        <v>111</v>
      </c>
      <c r="C81" s="7">
        <v>0</v>
      </c>
      <c r="D81" s="9" t="str">
        <f t="shared" si="13"/>
        <v>Sonia</v>
      </c>
      <c r="E81" s="2" t="str">
        <f t="shared" si="11"/>
        <v>GBP6SONIA3L60Y_LCHQuote</v>
      </c>
      <c r="F81" s="177">
        <v>0</v>
      </c>
      <c r="G81" s="3" t="str">
        <f>_xll.qlOISRateHelper2(,$C81,$B81,$E81,$D81,,"Semiannual",Permanent,Trigger,ObjectOverwrite)</f>
        <v>obj_00518#0005</v>
      </c>
    </row>
  </sheetData>
  <mergeCells count="1">
    <mergeCell ref="AH2:AI2"/>
  </mergeCells>
  <dataValidations count="1"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03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11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24.425781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1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4" width="11.85546875" style="46" hidden="1" customWidth="1" outlineLevel="1"/>
    <col min="35" max="35" width="9" style="46" hidden="1" customWidth="1" outlineLevel="1"/>
    <col min="36" max="38" width="12.42578125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3" width="9.140625" style="46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0</v>
      </c>
      <c r="H1" s="50" t="str">
        <f>"_SYNTH"&amp;$G$1</f>
        <v>_SYNTH3M</v>
      </c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GBP3M</v>
      </c>
      <c r="Y1" s="66"/>
      <c r="Z1" s="66"/>
      <c r="AA1" s="66"/>
      <c r="AB1" s="69"/>
      <c r="AC1" s="69"/>
      <c r="AD1" s="66"/>
      <c r="AE1" s="66"/>
      <c r="AF1" s="178" t="s">
        <v>131</v>
      </c>
      <c r="AG1" s="178" t="s">
        <v>139</v>
      </c>
    </row>
    <row r="2" spans="1:41" ht="21.75" customHeight="1" x14ac:dyDescent="0.2">
      <c r="A2" s="65" t="s">
        <v>9</v>
      </c>
      <c r="B2" s="65" t="s">
        <v>28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136</v>
      </c>
      <c r="K2" s="65" t="s">
        <v>137</v>
      </c>
      <c r="M2" s="73" t="s">
        <v>9</v>
      </c>
      <c r="N2" s="73" t="s">
        <v>136</v>
      </c>
      <c r="O2" s="73" t="s">
        <v>137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136</v>
      </c>
      <c r="Z2" s="73" t="s">
        <v>137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71">
        <f t="array" ref="AF2:AF65">_xll.qlPiecewiseYieldCurveData(YieldCurve1_3M,Trigger)</f>
        <v>5.7895736115861829E-3</v>
      </c>
      <c r="AG2" s="76">
        <f t="array" ref="AG2:AG65">_xll.qlPiecewiseYieldCurveData(yieldcurve2_3M,Trigger)</f>
        <v>1</v>
      </c>
      <c r="AJ2" s="46" t="s">
        <v>140</v>
      </c>
      <c r="AL2" s="46" t="s">
        <v>141</v>
      </c>
      <c r="AN2" s="213" t="s">
        <v>84</v>
      </c>
      <c r="AO2" s="214"/>
    </row>
    <row r="3" spans="1:41" ht="11.25" customHeight="1" x14ac:dyDescent="0.2">
      <c r="A3" s="1" t="s">
        <v>26</v>
      </c>
      <c r="B3" s="8" t="s">
        <v>0</v>
      </c>
      <c r="C3" s="124"/>
      <c r="D3" s="124"/>
      <c r="E3" s="124"/>
      <c r="F3" s="124"/>
      <c r="G3" s="7" t="str">
        <f>PROPER(Currency)&amp;FamilyName&amp;B3</f>
        <v>GbpLibor3M</v>
      </c>
      <c r="H3" s="121" t="str">
        <f>IF(LCHQuoteOverwrite,Currency&amp;Tenor&amp;"D"&amp;LCHQuoteSuffix,Currency&amp;Tenor&amp;"D"&amp;QuoteSuffix)</f>
        <v>GBP3MD_LCHQuote</v>
      </c>
      <c r="I3" s="124"/>
      <c r="J3" s="3" t="str">
        <f>_xll.qlDepositRateHelper(,H3,G3,Permanent,Trigger,ObjectOverwrite)</f>
        <v>obj_0067c#0005</v>
      </c>
      <c r="K3" s="3" t="str">
        <f>J3</f>
        <v>obj_0067c#0005</v>
      </c>
      <c r="L3" s="49"/>
      <c r="M3" s="11" t="str">
        <f>A3</f>
        <v>Dp</v>
      </c>
      <c r="N3" s="95" t="str">
        <f>IF(ISBLANK(J3),"--",J3)</f>
        <v>obj_0067c#0005</v>
      </c>
      <c r="O3" s="95" t="str">
        <f>IF(ISBLANK(K3),"--",K3)</f>
        <v>obj_0067c#0005</v>
      </c>
      <c r="P3" s="147" t="str">
        <f>IFERROR(_xll.qlRateHelperQuoteName(N3,Trigger),"--")</f>
        <v>GBP3MD_LCHQuote</v>
      </c>
      <c r="Q3" s="101">
        <f>IFERROR(_xll.qlRateHelperQuoteValue($N3,Trigger),"--")</f>
        <v>5.7938E-3</v>
      </c>
      <c r="R3" s="100" t="b">
        <v>1</v>
      </c>
      <c r="S3" s="95"/>
      <c r="T3" s="95">
        <v>1</v>
      </c>
      <c r="U3" s="102">
        <f>IFERROR(_xll.qlRateHelperEarliestDate(N3,Trigger),"--")</f>
        <v>42304</v>
      </c>
      <c r="V3" s="102">
        <f>IFERROR(_xll.qlRateHelperPillarDate(N3,Trigger),"--")</f>
        <v>42396</v>
      </c>
      <c r="X3" s="4" t="str">
        <f t="shared" ref="X3:X34" si="0">IFERROR(INDEX($M$3:$M$65,MATCH(AA3,$P$3:$P$65,0),1),"")</f>
        <v>Dp</v>
      </c>
      <c r="Y3" s="4" t="str">
        <f t="array" ref="Y3:Y65">_xll.qlRateHelperSelection(_xll.ohFilter(RateHelpers1,IncludeFlag),_xll.ohFilter(Priority,IncludeFlag),$AO$3,$AO$4,$AO$5,$AO$6,_xll.ohFilter(MinDistance,IncludeFlag),Trigger)</f>
        <v>obj_0067c</v>
      </c>
      <c r="Z3" s="4" t="str">
        <f t="array" ref="Z3:Z65">_xll.qlRateHelperSelection(_xll.ohFilter(RateHelpers2,IncludeFlag),_xll.ohFilter(Priority,IncludeFlag),$AO$3,$AO$4,$AO$5,$AO$6,_xll.ohFilter(MinDistance,IncludeFlag),Trigger)</f>
        <v>obj_0067c</v>
      </c>
      <c r="AA3" s="4" t="str">
        <f>IFERROR(_xll.qlRateHelperQuoteName(Y3,Trigger),"")</f>
        <v>GBP3MD_LCHQuote</v>
      </c>
      <c r="AB3" s="70">
        <f>IFERROR(_xll.qlRateHelperRate(Y3,Trigger),"")</f>
        <v>5.7938E-3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42304</v>
      </c>
      <c r="AE3" s="5">
        <f>IFERROR(_xll.qlRateHelperPillarDate(Y3,Trigger),"")</f>
        <v>42396</v>
      </c>
      <c r="AF3" s="70">
        <v>5.7895736115861829E-3</v>
      </c>
      <c r="AG3" s="77">
        <v>0.99854177445860992</v>
      </c>
      <c r="AH3" s="169">
        <f t="array" ref="AH3:AH103">_xll.ohFilter([1]REP00100!$C$2:$C$2000,([1]REP00100!$A$2:$A$2000="GBP_LIBOR_3M_EOD"))</f>
        <v>42396</v>
      </c>
      <c r="AI3" s="170">
        <f t="array" ref="AI3:AI103">_xll.ohFilter([1]REP00100!$E$2:$E$2000,([1]REP00100!$A$2:$A$2000="GBP_LIBOR_3M_EOD"))</f>
        <v>5.7895736115866304E-3</v>
      </c>
      <c r="AJ3" s="172">
        <f t="shared" ref="AJ3:AJ66" si="1">AF3-AI3</f>
        <v>-4.4755865680201623E-16</v>
      </c>
      <c r="AK3" s="80">
        <f t="array" ref="AK3:AK103">_xll.ohFilter([1]REP00101!$F$2:$F$2000,([1]REP00101!$A$2:$A$2000="GBP_LIBOR_3M_EOD"))</f>
        <v>0.99854177445856696</v>
      </c>
      <c r="AL3" s="161">
        <f t="shared" ref="AL3:AL66" si="2">AK3-AG3</f>
        <v>-4.2965631052993558E-14</v>
      </c>
      <c r="AN3" s="107" t="s">
        <v>85</v>
      </c>
      <c r="AO3" s="108">
        <v>8</v>
      </c>
    </row>
    <row r="4" spans="1:41" ht="11.25" customHeight="1" x14ac:dyDescent="0.2">
      <c r="B4" s="46"/>
      <c r="C4" s="46"/>
      <c r="D4" s="46"/>
      <c r="E4" s="46"/>
      <c r="F4" s="46"/>
      <c r="G4" s="46"/>
      <c r="H4" s="46" t="s">
        <v>94</v>
      </c>
      <c r="L4" s="48"/>
      <c r="M4" s="10" t="str">
        <f t="shared" ref="M4:M14" si="3">A6</f>
        <v>FUT</v>
      </c>
      <c r="N4" s="94" t="str">
        <f t="shared" ref="N4:N14" si="4">IF(ISBLANK(J6),"--",J6)</f>
        <v>obj_0066a#0005</v>
      </c>
      <c r="O4" s="94" t="str">
        <f t="shared" ref="O4:O14" si="5">IF(ISBLANK(K6),"--",K6)</f>
        <v>obj_0066a#0005</v>
      </c>
      <c r="P4" s="146" t="str">
        <f>IFERROR(_xll.qlRateHelperQuoteName(N4,Trigger),"--")</f>
        <v>FSSZ5_LCHQuote</v>
      </c>
      <c r="Q4" s="150">
        <f>IFERROR(_xll.qlRateHelperQuoteValue($N4,Trigger),"--")</f>
        <v>99.400300000000001</v>
      </c>
      <c r="R4" s="97" t="b">
        <v>1</v>
      </c>
      <c r="S4" s="94"/>
      <c r="T4" s="94">
        <v>1</v>
      </c>
      <c r="U4" s="99">
        <f>IFERROR(_xll.qlRateHelperEarliestDate(N4,Trigger),"--")</f>
        <v>42354</v>
      </c>
      <c r="V4" s="99">
        <f>IFERROR(_xll.qlRateHelperPillarDate(N4,Trigger),"--")</f>
        <v>42445</v>
      </c>
      <c r="X4" s="4" t="str">
        <f t="shared" si="0"/>
        <v>FUT</v>
      </c>
      <c r="Y4" s="4" t="str">
        <v>obj_0066a</v>
      </c>
      <c r="Z4" s="4" t="str">
        <v>obj_0066a</v>
      </c>
      <c r="AA4" s="4" t="str">
        <f>IFERROR(_xll.qlRateHelperQuoteName(Y4,Trigger),"")</f>
        <v>FSSZ5_LCHQuote</v>
      </c>
      <c r="AB4" s="70">
        <f>IFERROR(_xll.qlRateHelperRate(Y4,Trigger),"")</f>
        <v>5.9970000000000301E-3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42354</v>
      </c>
      <c r="AE4" s="5">
        <f>IFERROR(_xll.qlRateHelperPillarDate(Y4,Trigger),"")</f>
        <v>42445</v>
      </c>
      <c r="AF4" s="70">
        <v>5.9205540210368795E-3</v>
      </c>
      <c r="AG4" s="77">
        <v>0.99771549533320403</v>
      </c>
      <c r="AH4" s="169">
        <v>42445</v>
      </c>
      <c r="AI4" s="170">
        <v>5.9205540210378899E-3</v>
      </c>
      <c r="AJ4" s="172">
        <f t="shared" si="1"/>
        <v>-1.0104764247564901E-15</v>
      </c>
      <c r="AK4" s="80">
        <v>0.99771549533318105</v>
      </c>
      <c r="AL4" s="161">
        <f t="shared" si="2"/>
        <v>-2.298161660974074E-14</v>
      </c>
      <c r="AN4" s="107" t="s">
        <v>86</v>
      </c>
      <c r="AO4" s="108">
        <v>0</v>
      </c>
    </row>
    <row r="5" spans="1:41" ht="11.25" customHeight="1" x14ac:dyDescent="0.2">
      <c r="A5" s="65" t="s">
        <v>9</v>
      </c>
      <c r="B5" s="65" t="s">
        <v>96</v>
      </c>
      <c r="C5" s="65" t="s">
        <v>32</v>
      </c>
      <c r="D5" s="65"/>
      <c r="E5" s="65" t="s">
        <v>134</v>
      </c>
      <c r="F5" s="65" t="s">
        <v>135</v>
      </c>
      <c r="G5" s="65" t="s">
        <v>4</v>
      </c>
      <c r="H5" s="65" t="s">
        <v>1</v>
      </c>
      <c r="I5" s="65" t="s">
        <v>95</v>
      </c>
      <c r="J5" s="65" t="s">
        <v>136</v>
      </c>
      <c r="K5" s="65" t="s">
        <v>137</v>
      </c>
      <c r="L5" s="48"/>
      <c r="M5" s="10" t="str">
        <f t="shared" si="3"/>
        <v>FUT</v>
      </c>
      <c r="N5" s="94" t="str">
        <f t="shared" si="4"/>
        <v>obj_0069a#0005</v>
      </c>
      <c r="O5" s="94" t="str">
        <f t="shared" si="5"/>
        <v>obj_0069a#0005</v>
      </c>
      <c r="P5" s="146" t="str">
        <f>IFERROR(_xll.qlRateHelperQuoteName(N5,Trigger),"--")</f>
        <v>FSSH6_LCHQuote</v>
      </c>
      <c r="Q5" s="150">
        <f>IFERROR(_xll.qlRateHelperQuoteValue($N5,Trigger),"--")</f>
        <v>99.371200144400007</v>
      </c>
      <c r="R5" s="97" t="b">
        <v>1</v>
      </c>
      <c r="S5" s="94"/>
      <c r="T5" s="94">
        <v>1</v>
      </c>
      <c r="U5" s="99">
        <f>IFERROR(_xll.qlRateHelperEarliestDate(N5,Trigger),"--")</f>
        <v>42445</v>
      </c>
      <c r="V5" s="99">
        <f>IFERROR(_xll.qlRateHelperPillarDate(N5,Trigger),"--")</f>
        <v>42536</v>
      </c>
      <c r="X5" s="4" t="str">
        <f t="shared" si="0"/>
        <v>FUT</v>
      </c>
      <c r="Y5" s="4" t="str">
        <v>obj_0069a</v>
      </c>
      <c r="Z5" s="4" t="str">
        <v>obj_0069a</v>
      </c>
      <c r="AA5" s="4" t="str">
        <f>IFERROR(_xll.qlRateHelperQuoteName(Y5,Trigger),"")</f>
        <v>FSSH6_LCHQuote</v>
      </c>
      <c r="AB5" s="70">
        <f>IFERROR(_xll.qlRateHelperRate(Y5,Trigger),"")</f>
        <v>6.2879985559999296E-3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42445</v>
      </c>
      <c r="AE5" s="5">
        <f>IFERROR(_xll.qlRateHelperPillarDate(Y5,Trigger),"")</f>
        <v>42536</v>
      </c>
      <c r="AF5" s="70">
        <v>6.0627285009336538E-3</v>
      </c>
      <c r="AG5" s="77">
        <v>0.99615384557561582</v>
      </c>
      <c r="AH5" s="169">
        <v>42536</v>
      </c>
      <c r="AI5" s="170">
        <v>6.0627285009346903E-3</v>
      </c>
      <c r="AJ5" s="172">
        <f t="shared" si="1"/>
        <v>-1.0364972768961422E-15</v>
      </c>
      <c r="AK5" s="80">
        <v>0.99615384557558395</v>
      </c>
      <c r="AL5" s="161">
        <f t="shared" si="2"/>
        <v>-3.1863400806741993E-14</v>
      </c>
      <c r="AM5" s="80"/>
      <c r="AN5" s="107" t="s">
        <v>87</v>
      </c>
      <c r="AO5" s="108">
        <f>AO7+AO8</f>
        <v>10</v>
      </c>
    </row>
    <row r="6" spans="1:41" ht="11.25" customHeight="1" x14ac:dyDescent="0.2">
      <c r="A6" s="59" t="s">
        <v>93</v>
      </c>
      <c r="B6" s="116" t="b">
        <v>1</v>
      </c>
      <c r="C6" s="62" t="str">
        <f>_xll.qlIMMNextCode(_xll.qlSettingsEvaluationDate(Trigger),B6,Trigger)</f>
        <v>Z5</v>
      </c>
      <c r="D6" s="123"/>
      <c r="E6" s="156">
        <f>_xll.qlIMMdate(C6,,Trigger)</f>
        <v>42354</v>
      </c>
      <c r="F6" s="156">
        <f>_xll.qlIMMNextDate(E6,,Trigger)</f>
        <v>42445</v>
      </c>
      <c r="G6" s="61" t="str">
        <f t="shared" ref="G6:G29" si="6">PROPER(Currency)&amp;FamilyName&amp;Tenor</f>
        <v>GbpLibor3M</v>
      </c>
      <c r="H6" s="119" t="str">
        <f t="shared" ref="H6:H29" si="7">IF(LCHQuoteOverwrite,"FSS"&amp;$C6&amp;LCHQuoteSuffix,Currency&amp;"FUT"&amp;$G$1&amp;$C6&amp;QuoteSuffix)</f>
        <v>FSSZ5_LCHQuote</v>
      </c>
      <c r="I6" s="125">
        <f t="shared" ref="I6:I29" si="8">IF(LCHQuoteOverwrite,0,Currency&amp;"FUT"&amp;$G$1&amp;$C6&amp;"ConvAdj"&amp;QuoteSuffix)</f>
        <v>0</v>
      </c>
      <c r="J6" s="64" t="str">
        <f>_xll.qlFuturesRateHelper(,$H6,$H$4,$E6,$G6,$I6,FALSE,"customdate",$F6,Permanent,Trigger,ObjectOverwrite)</f>
        <v>obj_0066a#0005</v>
      </c>
      <c r="K6" s="64" t="str">
        <f>J6</f>
        <v>obj_0066a#0005</v>
      </c>
      <c r="L6" s="48"/>
      <c r="M6" s="10" t="str">
        <f t="shared" si="3"/>
        <v>FUT</v>
      </c>
      <c r="N6" s="94" t="str">
        <f t="shared" si="4"/>
        <v>obj_0069c#0005</v>
      </c>
      <c r="O6" s="94" t="str">
        <f t="shared" si="5"/>
        <v>obj_0069c#0005</v>
      </c>
      <c r="P6" s="146" t="str">
        <f>IFERROR(_xll.qlRateHelperQuoteName(N6,Trigger),"--")</f>
        <v>FSSM6_LCHQuote</v>
      </c>
      <c r="Q6" s="150">
        <f>IFERROR(_xll.qlRateHelperQuoteValue($N6,Trigger),"--")</f>
        <v>99.322600593500013</v>
      </c>
      <c r="R6" s="97" t="b">
        <v>1</v>
      </c>
      <c r="S6" s="94"/>
      <c r="T6" s="94">
        <v>1</v>
      </c>
      <c r="U6" s="99">
        <f>IFERROR(_xll.qlRateHelperEarliestDate(N6,Trigger),"--")</f>
        <v>42536</v>
      </c>
      <c r="V6" s="99">
        <f>IFERROR(_xll.qlRateHelperPillarDate(N6,Trigger),"--")</f>
        <v>42634</v>
      </c>
      <c r="X6" s="4" t="str">
        <f t="shared" si="0"/>
        <v>FUT</v>
      </c>
      <c r="Y6" s="4" t="str">
        <v>obj_0069c</v>
      </c>
      <c r="Z6" s="4" t="str">
        <v>obj_0069c</v>
      </c>
      <c r="AA6" s="4" t="str">
        <f>IFERROR(_xll.qlRateHelperQuoteName(Y6,Trigger),"")</f>
        <v>FSSM6_LCHQuote</v>
      </c>
      <c r="AB6" s="70">
        <f>IFERROR(_xll.qlRateHelperRate(Y6,Trigger),"")</f>
        <v>6.7739940649998998E-3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42536</v>
      </c>
      <c r="AE6" s="5">
        <f>IFERROR(_xll.qlRateHelperPillarDate(Y6,Trigger),"")</f>
        <v>42634</v>
      </c>
      <c r="AF6" s="70">
        <v>6.2722373910277136E-3</v>
      </c>
      <c r="AG6" s="77">
        <v>0.99434525860920386</v>
      </c>
      <c r="AH6" s="169">
        <v>42634</v>
      </c>
      <c r="AI6" s="170">
        <v>6.2722373910306497E-3</v>
      </c>
      <c r="AJ6" s="172">
        <f t="shared" si="1"/>
        <v>-2.936019483090746E-15</v>
      </c>
      <c r="AK6" s="80">
        <v>0.99434525860909795</v>
      </c>
      <c r="AL6" s="161">
        <f t="shared" si="2"/>
        <v>-1.0591527654923993E-13</v>
      </c>
      <c r="AN6" s="107" t="s">
        <v>88</v>
      </c>
      <c r="AO6" s="109" t="s">
        <v>89</v>
      </c>
    </row>
    <row r="7" spans="1:41" ht="11.25" customHeight="1" x14ac:dyDescent="0.2">
      <c r="A7" s="59" t="s">
        <v>93</v>
      </c>
      <c r="B7" s="116" t="b">
        <v>1</v>
      </c>
      <c r="C7" s="62" t="str">
        <f>_xll.qlIMMNextCode(C6,B7,Trigger)</f>
        <v>H6</v>
      </c>
      <c r="D7" s="123"/>
      <c r="E7" s="156">
        <f>_xll.qlIMMdate(C7,,Trigger)</f>
        <v>42445</v>
      </c>
      <c r="F7" s="156">
        <f>_xll.qlIMMNextDate(E7,,Trigger)</f>
        <v>42536</v>
      </c>
      <c r="G7" s="61" t="str">
        <f t="shared" si="6"/>
        <v>GbpLibor3M</v>
      </c>
      <c r="H7" s="119" t="str">
        <f t="shared" si="7"/>
        <v>FSSH6_LCHQuote</v>
      </c>
      <c r="I7" s="125">
        <f t="shared" si="8"/>
        <v>0</v>
      </c>
      <c r="J7" s="64" t="str">
        <f>_xll.qlFuturesRateHelper(,$H7,$H$4,$E7,$G7,$I7,FALSE,"customdate",$F7,Permanent,Trigger,ObjectOverwrite)</f>
        <v>obj_0069a#0005</v>
      </c>
      <c r="K7" s="64" t="str">
        <f t="shared" ref="K7:K16" si="9">J7</f>
        <v>obj_0069a#0005</v>
      </c>
      <c r="L7" s="48"/>
      <c r="M7" s="10" t="str">
        <f t="shared" si="3"/>
        <v>FUT</v>
      </c>
      <c r="N7" s="94" t="str">
        <f t="shared" si="4"/>
        <v>obj_0069d#0005</v>
      </c>
      <c r="O7" s="94" t="str">
        <f t="shared" si="5"/>
        <v>obj_0069d#0005</v>
      </c>
      <c r="P7" s="146" t="str">
        <f>IFERROR(_xll.qlRateHelperQuoteName(N7,Trigger),"--")</f>
        <v>FSSU6_LCHQuote</v>
      </c>
      <c r="Q7" s="150">
        <f>IFERROR(_xll.qlRateHelperQuoteValue($N7,Trigger),"--")</f>
        <v>99.24430000000001</v>
      </c>
      <c r="R7" s="97" t="b">
        <v>1</v>
      </c>
      <c r="S7" s="94"/>
      <c r="T7" s="94">
        <v>1</v>
      </c>
      <c r="U7" s="99">
        <f>IFERROR(_xll.qlRateHelperEarliestDate(N7,Trigger),"--")</f>
        <v>42634</v>
      </c>
      <c r="V7" s="99">
        <f>IFERROR(_xll.qlRateHelperPillarDate(N7,Trigger),"--")</f>
        <v>42725</v>
      </c>
      <c r="X7" s="4" t="str">
        <f t="shared" si="0"/>
        <v>FUT</v>
      </c>
      <c r="Y7" s="4" t="str">
        <v>obj_0069d</v>
      </c>
      <c r="Z7" s="4" t="str">
        <v>obj_0069d</v>
      </c>
      <c r="AA7" s="4" t="str">
        <f>IFERROR(_xll.qlRateHelperQuoteName(Y7,Trigger),"")</f>
        <v>FSSU6_LCHQuote</v>
      </c>
      <c r="AB7" s="70">
        <f>IFERROR(_xll.qlRateHelperRate(Y7,Trigger),"")</f>
        <v>7.5569999999999249E-3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42634</v>
      </c>
      <c r="AE7" s="5">
        <f>IFERROR(_xll.qlRateHelperPillarDate(Y7,Trigger),"")</f>
        <v>42725</v>
      </c>
      <c r="AF7" s="70">
        <v>6.5484045724344252E-3</v>
      </c>
      <c r="AG7" s="77">
        <v>0.99247536161177885</v>
      </c>
      <c r="AH7" s="169">
        <v>42725</v>
      </c>
      <c r="AI7" s="170">
        <v>6.5484045724587799E-3</v>
      </c>
      <c r="AJ7" s="172">
        <f t="shared" si="1"/>
        <v>-2.4354650240976383E-14</v>
      </c>
      <c r="AK7" s="80">
        <v>0.99247536161183603</v>
      </c>
      <c r="AL7" s="161">
        <f t="shared" si="2"/>
        <v>5.7176485768195562E-14</v>
      </c>
      <c r="AN7" s="107" t="s">
        <v>148</v>
      </c>
      <c r="AO7" s="109">
        <v>2</v>
      </c>
    </row>
    <row r="8" spans="1:41" ht="11.25" customHeight="1" x14ac:dyDescent="0.2">
      <c r="A8" s="59" t="s">
        <v>93</v>
      </c>
      <c r="B8" s="116" t="b">
        <v>1</v>
      </c>
      <c r="C8" s="62" t="str">
        <f>_xll.qlIMMNextCode(C7,B8,Trigger)</f>
        <v>M6</v>
      </c>
      <c r="D8" s="123"/>
      <c r="E8" s="156">
        <f>_xll.qlIMMdate(C8,,Trigger)</f>
        <v>42536</v>
      </c>
      <c r="F8" s="156">
        <f>_xll.qlIMMNextDate(E8,,Trigger)</f>
        <v>42634</v>
      </c>
      <c r="G8" s="61" t="str">
        <f t="shared" si="6"/>
        <v>GbpLibor3M</v>
      </c>
      <c r="H8" s="119" t="str">
        <f t="shared" si="7"/>
        <v>FSSM6_LCHQuote</v>
      </c>
      <c r="I8" s="125">
        <f t="shared" si="8"/>
        <v>0</v>
      </c>
      <c r="J8" s="64" t="str">
        <f>_xll.qlFuturesRateHelper(,$H8,$H$4,$E8,$G8,$I8,FALSE,"customdate",$F8,Permanent,Trigger,ObjectOverwrite)</f>
        <v>obj_0069c#0005</v>
      </c>
      <c r="K8" s="64" t="str">
        <f t="shared" si="9"/>
        <v>obj_0069c#0005</v>
      </c>
      <c r="L8" s="48"/>
      <c r="M8" s="10" t="str">
        <f t="shared" si="3"/>
        <v>FUT</v>
      </c>
      <c r="N8" s="94" t="str">
        <f t="shared" si="4"/>
        <v>obj_0069b#0005</v>
      </c>
      <c r="O8" s="94" t="str">
        <f t="shared" si="5"/>
        <v>obj_0069b#0005</v>
      </c>
      <c r="P8" s="146" t="str">
        <f>IFERROR(_xll.qlRateHelperQuoteName(N8,Trigger),"--")</f>
        <v>FSSZ6_LCHQuote</v>
      </c>
      <c r="Q8" s="150">
        <f>IFERROR(_xll.qlRateHelperQuoteValue($N8,Trigger),"--")</f>
        <v>99.146197754099987</v>
      </c>
      <c r="R8" s="97" t="b">
        <v>1</v>
      </c>
      <c r="S8" s="94"/>
      <c r="T8" s="94">
        <v>1</v>
      </c>
      <c r="U8" s="99">
        <f>IFERROR(_xll.qlRateHelperEarliestDate(N8,Trigger),"--")</f>
        <v>42725</v>
      </c>
      <c r="V8" s="99">
        <f>IFERROR(_xll.qlRateHelperPillarDate(N8,Trigger),"--")</f>
        <v>42809</v>
      </c>
      <c r="X8" s="4" t="str">
        <f t="shared" si="0"/>
        <v>FUT</v>
      </c>
      <c r="Y8" s="4" t="str">
        <v>obj_0069b</v>
      </c>
      <c r="Z8" s="4" t="str">
        <v>obj_0069b</v>
      </c>
      <c r="AA8" s="4" t="str">
        <f>IFERROR(_xll.qlRateHelperQuoteName(Y8,Trigger),"")</f>
        <v>FSSZ6_LCHQuote</v>
      </c>
      <c r="AB8" s="70">
        <f>IFERROR(_xll.qlRateHelperRate(Y8,Trigger),"")</f>
        <v>8.5380224590001497E-3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42725</v>
      </c>
      <c r="AE8" s="5">
        <f>IFERROR(_xll.qlRateHelperPillarDate(Y8,Trigger),"")</f>
        <v>42809</v>
      </c>
      <c r="AF8" s="70">
        <v>6.8778580743378481E-3</v>
      </c>
      <c r="AG8" s="77">
        <v>0.99052919266407546</v>
      </c>
      <c r="AH8" s="169">
        <v>42809</v>
      </c>
      <c r="AI8" s="170">
        <v>6.8778580744058102E-3</v>
      </c>
      <c r="AJ8" s="172">
        <f t="shared" si="1"/>
        <v>-6.796212898008136E-14</v>
      </c>
      <c r="AK8" s="80">
        <v>0.99052919266413197</v>
      </c>
      <c r="AL8" s="161">
        <f t="shared" si="2"/>
        <v>5.6510351953420468E-14</v>
      </c>
      <c r="AN8" s="107" t="s">
        <v>149</v>
      </c>
      <c r="AO8" s="109">
        <v>8</v>
      </c>
    </row>
    <row r="9" spans="1:41" ht="11.25" customHeight="1" x14ac:dyDescent="0.2">
      <c r="A9" s="59" t="s">
        <v>93</v>
      </c>
      <c r="B9" s="116" t="b">
        <v>1</v>
      </c>
      <c r="C9" s="62" t="str">
        <f>_xll.qlIMMNextCode(C8,B9,Trigger)</f>
        <v>U6</v>
      </c>
      <c r="D9" s="123"/>
      <c r="E9" s="156">
        <f>_xll.qlIMMdate(C9,,Trigger)</f>
        <v>42634</v>
      </c>
      <c r="F9" s="156">
        <f>_xll.qlIMMNextDate(E9,,Trigger)</f>
        <v>42725</v>
      </c>
      <c r="G9" s="61" t="str">
        <f t="shared" si="6"/>
        <v>GbpLibor3M</v>
      </c>
      <c r="H9" s="119" t="str">
        <f t="shared" si="7"/>
        <v>FSSU6_LCHQuote</v>
      </c>
      <c r="I9" s="125">
        <f t="shared" si="8"/>
        <v>0</v>
      </c>
      <c r="J9" s="64" t="str">
        <f>_xll.qlFuturesRateHelper(,$H9,$H$4,$E9,$G9,$I9,FALSE,"customdate",$F9,Permanent,Trigger,ObjectOverwrite)</f>
        <v>obj_0069d#0005</v>
      </c>
      <c r="K9" s="64" t="str">
        <f t="shared" si="9"/>
        <v>obj_0069d#0005</v>
      </c>
      <c r="L9" s="48"/>
      <c r="M9" s="10" t="str">
        <f t="shared" si="3"/>
        <v>FUT</v>
      </c>
      <c r="N9" s="94" t="str">
        <f t="shared" si="4"/>
        <v>obj_006a3#0005</v>
      </c>
      <c r="O9" s="94" t="str">
        <f t="shared" si="5"/>
        <v>obj_006a3#0005</v>
      </c>
      <c r="P9" s="146" t="str">
        <f>IFERROR(_xll.qlRateHelperQuoteName(N9,Trigger),"--")</f>
        <v>FSSH7_LCHQuote</v>
      </c>
      <c r="Q9" s="150">
        <f>IFERROR(_xll.qlRateHelperQuoteValue($N9,Trigger),"--")</f>
        <v>99.06380200469998</v>
      </c>
      <c r="R9" s="97" t="b">
        <v>1</v>
      </c>
      <c r="S9" s="94"/>
      <c r="T9" s="94">
        <v>1</v>
      </c>
      <c r="U9" s="99">
        <f>IFERROR(_xll.qlRateHelperEarliestDate(N9,Trigger),"--")</f>
        <v>42809</v>
      </c>
      <c r="V9" s="99">
        <f>IFERROR(_xll.qlRateHelperPillarDate(N9,Trigger),"--")</f>
        <v>42907</v>
      </c>
      <c r="X9" s="4" t="str">
        <f t="shared" si="0"/>
        <v>FUT</v>
      </c>
      <c r="Y9" s="4" t="str">
        <v>obj_006a3</v>
      </c>
      <c r="Z9" s="4" t="str">
        <v>obj_006a3</v>
      </c>
      <c r="AA9" s="4" t="str">
        <f>IFERROR(_xll.qlRateHelperQuoteName(Y9,Trigger),"")</f>
        <v>FSSH7_LCHQuote</v>
      </c>
      <c r="AB9" s="70">
        <f>IFERROR(_xll.qlRateHelperRate(Y9,Trigger),"")</f>
        <v>9.3619799530002545E-3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42809</v>
      </c>
      <c r="AE9" s="5">
        <f>IFERROR(_xll.qlRateHelperPillarDate(Y9,Trigger),"")</f>
        <v>42907</v>
      </c>
      <c r="AF9" s="70">
        <v>7.2797870090721469E-3</v>
      </c>
      <c r="AG9" s="77">
        <v>0.98804542355640601</v>
      </c>
      <c r="AH9" s="169">
        <v>42907</v>
      </c>
      <c r="AI9" s="170">
        <v>7.2797870091298403E-3</v>
      </c>
      <c r="AJ9" s="172">
        <f t="shared" si="1"/>
        <v>-5.769343336403665E-14</v>
      </c>
      <c r="AK9" s="80">
        <v>0.98804542355646297</v>
      </c>
      <c r="AL9" s="161">
        <f t="shared" si="2"/>
        <v>5.6954441163270531E-14</v>
      </c>
    </row>
    <row r="10" spans="1:41" ht="11.25" customHeight="1" x14ac:dyDescent="0.2">
      <c r="A10" s="59" t="s">
        <v>93</v>
      </c>
      <c r="B10" s="116" t="b">
        <v>1</v>
      </c>
      <c r="C10" s="62" t="str">
        <f>_xll.qlIMMNextCode(C9,B10,Trigger)</f>
        <v>Z6</v>
      </c>
      <c r="D10" s="123"/>
      <c r="E10" s="156">
        <f>_xll.qlIMMdate(C10,,Trigger)</f>
        <v>42725</v>
      </c>
      <c r="F10" s="156">
        <f>_xll.qlIMMNextDate(E10,,Trigger)</f>
        <v>42809</v>
      </c>
      <c r="G10" s="61" t="str">
        <f t="shared" si="6"/>
        <v>GbpLibor3M</v>
      </c>
      <c r="H10" s="119" t="str">
        <f t="shared" si="7"/>
        <v>FSSZ6_LCHQuote</v>
      </c>
      <c r="I10" s="125">
        <f t="shared" si="8"/>
        <v>0</v>
      </c>
      <c r="J10" s="64" t="str">
        <f>_xll.qlFuturesRateHelper(,$H10,$H$4,$E10,$G10,$I10,FALSE,"customdate",$F10,Permanent,Trigger,ObjectOverwrite)</f>
        <v>obj_0069b#0005</v>
      </c>
      <c r="K10" s="64" t="str">
        <f t="shared" si="9"/>
        <v>obj_0069b#0005</v>
      </c>
      <c r="L10" s="48"/>
      <c r="M10" s="10" t="str">
        <f t="shared" si="3"/>
        <v>FUT</v>
      </c>
      <c r="N10" s="94" t="str">
        <f t="shared" si="4"/>
        <v>obj_006aa#0005</v>
      </c>
      <c r="O10" s="94" t="str">
        <f t="shared" si="5"/>
        <v>obj_006aa#0005</v>
      </c>
      <c r="P10" s="146" t="str">
        <f>IFERROR(_xll.qlRateHelperQuoteName(N10,Trigger),"--")</f>
        <v>FSSM7_LCHQuote</v>
      </c>
      <c r="Q10" s="150">
        <f>IFERROR(_xll.qlRateHelperQuoteValue($N10,Trigger),"--")</f>
        <v>98.966699984599998</v>
      </c>
      <c r="R10" s="97" t="b">
        <v>1</v>
      </c>
      <c r="S10" s="94"/>
      <c r="T10" s="94">
        <v>1</v>
      </c>
      <c r="U10" s="99">
        <f>IFERROR(_xll.qlRateHelperEarliestDate(N10,Trigger),"--")</f>
        <v>42907</v>
      </c>
      <c r="V10" s="99">
        <f>IFERROR(_xll.qlRateHelperPillarDate(N10,Trigger),"--")</f>
        <v>42998</v>
      </c>
      <c r="X10" s="4" t="str">
        <f t="shared" si="0"/>
        <v>FUT</v>
      </c>
      <c r="Y10" s="4" t="str">
        <v>obj_006aa</v>
      </c>
      <c r="Z10" s="4" t="str">
        <v>obj_006aa</v>
      </c>
      <c r="AA10" s="4" t="str">
        <f>IFERROR(_xll.qlRateHelperQuoteName(Y10,Trigger),"")</f>
        <v>FSSM7_LCHQuote</v>
      </c>
      <c r="AB10" s="70">
        <f>IFERROR(_xll.qlRateHelperRate(Y10,Trigger),"")</f>
        <v>1.0333000154000072E-2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42907</v>
      </c>
      <c r="AE10" s="5">
        <f>IFERROR(_xll.qlRateHelperPillarDate(Y10,Trigger),"")</f>
        <v>42998</v>
      </c>
      <c r="AF10" s="70">
        <v>7.6783749297097336E-3</v>
      </c>
      <c r="AG10" s="77">
        <v>0.98550662425852908</v>
      </c>
      <c r="AH10" s="169">
        <v>42998</v>
      </c>
      <c r="AI10" s="170">
        <v>7.6783749297650904E-3</v>
      </c>
      <c r="AJ10" s="172">
        <f t="shared" si="1"/>
        <v>-5.5356760841895891E-14</v>
      </c>
      <c r="AK10" s="80">
        <v>0.98550662425858604</v>
      </c>
      <c r="AL10" s="161">
        <f t="shared" si="2"/>
        <v>5.6954441163270531E-14</v>
      </c>
      <c r="AO10" s="169"/>
    </row>
    <row r="11" spans="1:41" ht="11.25" customHeight="1" x14ac:dyDescent="0.2">
      <c r="A11" s="59" t="s">
        <v>93</v>
      </c>
      <c r="B11" s="116" t="b">
        <v>1</v>
      </c>
      <c r="C11" s="62" t="str">
        <f>_xll.qlIMMNextCode(C10,B11,Trigger)</f>
        <v>H7</v>
      </c>
      <c r="D11" s="123"/>
      <c r="E11" s="156">
        <f>_xll.qlIMMdate(C11,,Trigger)</f>
        <v>42809</v>
      </c>
      <c r="F11" s="156">
        <f>_xll.qlIMMNextDate(E11,,Trigger)</f>
        <v>42907</v>
      </c>
      <c r="G11" s="61" t="str">
        <f t="shared" si="6"/>
        <v>GbpLibor3M</v>
      </c>
      <c r="H11" s="119" t="str">
        <f t="shared" si="7"/>
        <v>FSSH7_LCHQuote</v>
      </c>
      <c r="I11" s="125">
        <f t="shared" si="8"/>
        <v>0</v>
      </c>
      <c r="J11" s="64" t="str">
        <f>_xll.qlFuturesRateHelper(,$H11,$H$4,$E11,$G11,$I11,FALSE,"customdate",$F11,Permanent,Trigger,ObjectOverwrite)</f>
        <v>obj_006a3#0005</v>
      </c>
      <c r="K11" s="64" t="str">
        <f t="shared" si="9"/>
        <v>obj_006a3#0005</v>
      </c>
      <c r="L11" s="48"/>
      <c r="M11" s="10" t="str">
        <f t="shared" si="3"/>
        <v>FUT</v>
      </c>
      <c r="N11" s="94" t="str">
        <f t="shared" si="4"/>
        <v>obj_006a7#0005</v>
      </c>
      <c r="O11" s="94" t="str">
        <f t="shared" si="5"/>
        <v>obj_006a7#0005</v>
      </c>
      <c r="P11" s="146" t="str">
        <f>IFERROR(_xll.qlRateHelperQuoteName(N11,Trigger),"--")</f>
        <v>FSSU7_LCHQuote</v>
      </c>
      <c r="Q11" s="150">
        <f>IFERROR(_xll.qlRateHelperQuoteValue($N11,Trigger),"--")</f>
        <v>98.879799999999989</v>
      </c>
      <c r="R11" s="97" t="b">
        <v>1</v>
      </c>
      <c r="S11" s="94"/>
      <c r="T11" s="94">
        <v>1</v>
      </c>
      <c r="U11" s="99">
        <f>IFERROR(_xll.qlRateHelperEarliestDate(N11,Trigger),"--")</f>
        <v>42998</v>
      </c>
      <c r="V11" s="99">
        <f>IFERROR(_xll.qlRateHelperPillarDate(N11,Trigger),"--")</f>
        <v>43089</v>
      </c>
      <c r="X11" s="4" t="str">
        <f t="shared" si="0"/>
        <v>FUT</v>
      </c>
      <c r="Y11" s="4" t="str">
        <v>obj_006a7</v>
      </c>
      <c r="Z11" s="4" t="str">
        <v>obj_006a7</v>
      </c>
      <c r="AA11" s="4" t="str">
        <f>IFERROR(_xll.qlRateHelperQuoteName(Y11,Trigger),"")</f>
        <v>FSSU7_LCHQuote</v>
      </c>
      <c r="AB11" s="70">
        <f>IFERROR(_xll.qlRateHelperRate(Y11,Trigger),"")</f>
        <v>1.1202000000000156E-2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42998</v>
      </c>
      <c r="AE11" s="5">
        <f>IFERROR(_xll.qlRateHelperPillarDate(Y11,Trigger),"")</f>
        <v>43089</v>
      </c>
      <c r="AF11" s="70">
        <v>8.0850361363622412E-3</v>
      </c>
      <c r="AG11" s="77">
        <v>0.98276193978810411</v>
      </c>
      <c r="AH11" s="169">
        <v>43089</v>
      </c>
      <c r="AI11" s="170">
        <v>8.0850361364114606E-3</v>
      </c>
      <c r="AJ11" s="172">
        <f t="shared" si="1"/>
        <v>-4.9219309183889948E-14</v>
      </c>
      <c r="AK11" s="80">
        <v>0.98276193978816095</v>
      </c>
      <c r="AL11" s="161">
        <f t="shared" si="2"/>
        <v>5.6843418860808015E-14</v>
      </c>
      <c r="AO11" s="169"/>
    </row>
    <row r="12" spans="1:41" ht="11.25" customHeight="1" x14ac:dyDescent="0.2">
      <c r="A12" s="59" t="s">
        <v>93</v>
      </c>
      <c r="B12" s="116" t="b">
        <v>1</v>
      </c>
      <c r="C12" s="62" t="str">
        <f>_xll.qlIMMNextCode(C11,B12,Trigger)</f>
        <v>M7</v>
      </c>
      <c r="D12" s="123"/>
      <c r="E12" s="156">
        <f>_xll.qlIMMdate(C12,,Trigger)</f>
        <v>42907</v>
      </c>
      <c r="F12" s="156">
        <f>_xll.qlIMMNextDate(E12,,Trigger)</f>
        <v>42998</v>
      </c>
      <c r="G12" s="61" t="str">
        <f t="shared" si="6"/>
        <v>GbpLibor3M</v>
      </c>
      <c r="H12" s="119" t="str">
        <f t="shared" si="7"/>
        <v>FSSM7_LCHQuote</v>
      </c>
      <c r="I12" s="125">
        <f t="shared" si="8"/>
        <v>0</v>
      </c>
      <c r="J12" s="64" t="str">
        <f>_xll.qlFuturesRateHelper(,$H12,$H$4,$E12,$G12,$I12,FALSE,"customdate",$F12,Permanent,Trigger,ObjectOverwrite)</f>
        <v>obj_006aa#0005</v>
      </c>
      <c r="K12" s="64" t="str">
        <f t="shared" si="9"/>
        <v>obj_006aa#0005</v>
      </c>
      <c r="L12" s="48" t="s">
        <v>35</v>
      </c>
      <c r="M12" s="10" t="str">
        <f t="shared" si="3"/>
        <v>FUT</v>
      </c>
      <c r="N12" s="94" t="str">
        <f t="shared" si="4"/>
        <v>obj_006a4#0005</v>
      </c>
      <c r="O12" s="94" t="str">
        <f t="shared" si="5"/>
        <v>obj_006a4#0005</v>
      </c>
      <c r="P12" s="146" t="str">
        <f>IFERROR(_xll.qlRateHelperQuoteName(N12,Trigger),"--")</f>
        <v>FSSZ7_LCHQuote</v>
      </c>
      <c r="Q12" s="150" t="str">
        <f>IFERROR(_xll.qlRateHelperQuoteValue($N12,Trigger),"--")</f>
        <v>--</v>
      </c>
      <c r="R12" s="97" t="b">
        <v>1</v>
      </c>
      <c r="S12" s="94"/>
      <c r="T12" s="94">
        <v>1</v>
      </c>
      <c r="U12" s="99">
        <f>IFERROR(_xll.qlRateHelperEarliestDate(N12,Trigger),"--")</f>
        <v>43089</v>
      </c>
      <c r="V12" s="99">
        <f>IFERROR(_xll.qlRateHelperPillarDate(N12,Trigger),"--")</f>
        <v>43180</v>
      </c>
      <c r="X12" s="4" t="str">
        <f t="shared" si="0"/>
        <v>BasSw</v>
      </c>
      <c r="Y12" s="4" t="str">
        <v>obj_0052a</v>
      </c>
      <c r="Z12" s="4" t="str">
        <v>obj_004e0</v>
      </c>
      <c r="AA12" s="4" t="str">
        <f>IFERROR(_xll.qlRateHelperQuoteName(Y12,Trigger),"")</f>
        <v>GBP3L6L3Y_LCHQuote</v>
      </c>
      <c r="AB12" s="70">
        <f>IFERROR(_xll.qlRateHelperRate(Y12,Trigger),"")</f>
        <v>9.49325E-3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42304</v>
      </c>
      <c r="AE12" s="5">
        <f>IFERROR(_xll.qlRateHelperPillarDate(Y12,Trigger),"")</f>
        <v>43402</v>
      </c>
      <c r="AF12" s="70">
        <v>9.4893737674581254E-3</v>
      </c>
      <c r="AG12" s="77">
        <v>0.97185746032450659</v>
      </c>
      <c r="AH12" s="169">
        <v>43402</v>
      </c>
      <c r="AI12" s="170">
        <v>9.4893737674577195E-3</v>
      </c>
      <c r="AJ12" s="172">
        <f t="shared" si="1"/>
        <v>4.0592529337857286E-16</v>
      </c>
      <c r="AK12" s="80">
        <v>0.97185746032450304</v>
      </c>
      <c r="AL12" s="161">
        <f t="shared" si="2"/>
        <v>-3.5527136788005009E-15</v>
      </c>
    </row>
    <row r="13" spans="1:41" ht="11.25" customHeight="1" x14ac:dyDescent="0.2">
      <c r="A13" s="59" t="s">
        <v>93</v>
      </c>
      <c r="B13" s="116" t="b">
        <v>1</v>
      </c>
      <c r="C13" s="62" t="str">
        <f>_xll.qlIMMNextCode(C12,B13,Trigger)</f>
        <v>U7</v>
      </c>
      <c r="D13" s="123"/>
      <c r="E13" s="156">
        <f>_xll.qlIMMdate(C13,,Trigger)</f>
        <v>42998</v>
      </c>
      <c r="F13" s="156">
        <f>_xll.qlIMMNextDate(E13,,Trigger)</f>
        <v>43089</v>
      </c>
      <c r="G13" s="61" t="str">
        <f t="shared" si="6"/>
        <v>GbpLibor3M</v>
      </c>
      <c r="H13" s="119" t="str">
        <f t="shared" si="7"/>
        <v>FSSU7_LCHQuote</v>
      </c>
      <c r="I13" s="125">
        <f t="shared" si="8"/>
        <v>0</v>
      </c>
      <c r="J13" s="64" t="str">
        <f>_xll.qlFuturesRateHelper(,$H13,$H$4,$E13,$G13,$I13,FALSE,"customdate",$F13,Permanent,Trigger,ObjectOverwrite)</f>
        <v>obj_006a7#0005</v>
      </c>
      <c r="K13" s="64" t="str">
        <f t="shared" si="9"/>
        <v>obj_006a7#0005</v>
      </c>
      <c r="L13" s="48"/>
      <c r="M13" s="10" t="str">
        <f t="shared" si="3"/>
        <v>FUT</v>
      </c>
      <c r="N13" s="94" t="str">
        <f t="shared" si="4"/>
        <v>obj_006a1#0005</v>
      </c>
      <c r="O13" s="94" t="str">
        <f t="shared" si="5"/>
        <v>obj_006a1#0005</v>
      </c>
      <c r="P13" s="146" t="str">
        <f>IFERROR(_xll.qlRateHelperQuoteName(N13,Trigger),"--")</f>
        <v>FSSH8_LCHQuote</v>
      </c>
      <c r="Q13" s="150" t="str">
        <f>IFERROR(_xll.qlRateHelperQuoteValue($N13,Trigger),"--")</f>
        <v>--</v>
      </c>
      <c r="R13" s="97" t="b">
        <v>0</v>
      </c>
      <c r="S13" s="94"/>
      <c r="T13" s="94">
        <v>1</v>
      </c>
      <c r="U13" s="99">
        <f>IFERROR(_xll.qlRateHelperEarliestDate(N13,Trigger),"--")</f>
        <v>43180</v>
      </c>
      <c r="V13" s="99">
        <f>IFERROR(_xll.qlRateHelperPillarDate(N13,Trigger),"--")</f>
        <v>43271</v>
      </c>
      <c r="X13" s="4" t="str">
        <f t="shared" si="0"/>
        <v>BasSw</v>
      </c>
      <c r="Y13" s="4" t="str">
        <v>obj_004df</v>
      </c>
      <c r="Z13" s="4" t="str">
        <v>obj_004f1</v>
      </c>
      <c r="AA13" s="4" t="str">
        <f>IFERROR(_xll.qlRateHelperQuoteName(Y13,Trigger),"")</f>
        <v>GBP3L6L4Y_LCHQuote</v>
      </c>
      <c r="AB13" s="70">
        <f>IFERROR(_xll.qlRateHelperRate(Y13,Trigger),"")</f>
        <v>1.10265E-2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42304</v>
      </c>
      <c r="AE13" s="5">
        <f>IFERROR(_xll.qlRateHelperPillarDate(Y13,Trigger),"")</f>
        <v>43766</v>
      </c>
      <c r="AF13" s="70">
        <v>1.103488849231021E-2</v>
      </c>
      <c r="AG13" s="77">
        <v>0.95676425029367784</v>
      </c>
      <c r="AH13" s="169">
        <v>43766</v>
      </c>
      <c r="AI13" s="170">
        <v>1.10348884922755E-2</v>
      </c>
      <c r="AJ13" s="172">
        <f t="shared" si="1"/>
        <v>3.4710082030819933E-14</v>
      </c>
      <c r="AK13" s="80">
        <v>0.95676425029363299</v>
      </c>
      <c r="AL13" s="161">
        <f t="shared" si="2"/>
        <v>-4.4853010194856324E-14</v>
      </c>
    </row>
    <row r="14" spans="1:41" ht="11.25" customHeight="1" x14ac:dyDescent="0.2">
      <c r="A14" s="59" t="s">
        <v>93</v>
      </c>
      <c r="B14" s="116" t="b">
        <v>1</v>
      </c>
      <c r="C14" s="62" t="str">
        <f>_xll.qlIMMNextCode(C13,B14,Trigger)</f>
        <v>Z7</v>
      </c>
      <c r="D14" s="123"/>
      <c r="E14" s="156">
        <f>_xll.qlIMMdate(C14,,Trigger)</f>
        <v>43089</v>
      </c>
      <c r="F14" s="156">
        <f>_xll.qlIMMNextDate(E14,,Trigger)</f>
        <v>43180</v>
      </c>
      <c r="G14" s="61" t="str">
        <f t="shared" si="6"/>
        <v>GbpLibor3M</v>
      </c>
      <c r="H14" s="119" t="str">
        <f t="shared" si="7"/>
        <v>FSSZ7_LCHQuote</v>
      </c>
      <c r="I14" s="125">
        <f t="shared" si="8"/>
        <v>0</v>
      </c>
      <c r="J14" s="64" t="str">
        <f>_xll.qlFuturesRateHelper(,$H14,$H$4,$E14,$G14,$I14,FALSE,"customdate",$F14,Permanent,Trigger,ObjectOverwrite)</f>
        <v>obj_006a4#0005</v>
      </c>
      <c r="K14" s="64" t="str">
        <f t="shared" si="9"/>
        <v>obj_006a4#0005</v>
      </c>
      <c r="L14" s="48"/>
      <c r="M14" s="10" t="str">
        <f t="shared" si="3"/>
        <v>FUT</v>
      </c>
      <c r="N14" s="94" t="str">
        <f t="shared" si="4"/>
        <v>obj_006a2#0005</v>
      </c>
      <c r="O14" s="94" t="str">
        <f t="shared" si="5"/>
        <v>obj_006a2#0005</v>
      </c>
      <c r="P14" s="146" t="str">
        <f>IFERROR(_xll.qlRateHelperQuoteName(N14,Trigger),"--")</f>
        <v>FSSM8_LCHQuote</v>
      </c>
      <c r="Q14" s="150" t="str">
        <f>IFERROR(_xll.qlRateHelperQuoteValue($N14,Trigger),"--")</f>
        <v>--</v>
      </c>
      <c r="R14" s="97" t="b">
        <v>0</v>
      </c>
      <c r="S14" s="94"/>
      <c r="T14" s="94">
        <v>1</v>
      </c>
      <c r="U14" s="99">
        <f>IFERROR(_xll.qlRateHelperEarliestDate(N14,Trigger),"--")</f>
        <v>43271</v>
      </c>
      <c r="V14" s="99">
        <f>IFERROR(_xll.qlRateHelperPillarDate(N14,Trigger),"--")</f>
        <v>43362</v>
      </c>
      <c r="X14" s="4" t="str">
        <f t="shared" si="0"/>
        <v>BasSw</v>
      </c>
      <c r="Y14" s="4" t="str">
        <v>obj_004e5</v>
      </c>
      <c r="Z14" s="4" t="str">
        <v>obj_00524</v>
      </c>
      <c r="AA14" s="4" t="str">
        <f>IFERROR(_xll.qlRateHelperQuoteName(Y14,Trigger),"")</f>
        <v>GBP3L6L5Y_LCHQuote</v>
      </c>
      <c r="AB14" s="70">
        <f>IFERROR(_xll.qlRateHelperRate(Y14,Trigger),"")</f>
        <v>1.240175E-2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42304</v>
      </c>
      <c r="AE14" s="5">
        <f>IFERROR(_xll.qlRateHelperPillarDate(Y14,Trigger),"")</f>
        <v>44131</v>
      </c>
      <c r="AF14" s="70">
        <v>1.2428560017557435E-2</v>
      </c>
      <c r="AG14" s="77">
        <v>0.9396867574797404</v>
      </c>
      <c r="AH14" s="169">
        <v>44131</v>
      </c>
      <c r="AI14" s="170">
        <v>1.2428560017496801E-2</v>
      </c>
      <c r="AJ14" s="172">
        <f t="shared" si="1"/>
        <v>6.0633789655817338E-14</v>
      </c>
      <c r="AK14" s="80">
        <v>0.93968675747960295</v>
      </c>
      <c r="AL14" s="161">
        <f t="shared" si="2"/>
        <v>-1.3744561044859438E-13</v>
      </c>
    </row>
    <row r="15" spans="1:41" ht="11.25" customHeight="1" x14ac:dyDescent="0.2">
      <c r="A15" s="59" t="s">
        <v>93</v>
      </c>
      <c r="B15" s="116" t="b">
        <v>1</v>
      </c>
      <c r="C15" s="62" t="str">
        <f>_xll.qlIMMNextCode(C14,B15,Trigger)</f>
        <v>H8</v>
      </c>
      <c r="D15" s="123"/>
      <c r="E15" s="156">
        <f>_xll.qlIMMdate(C15,,Trigger)</f>
        <v>43180</v>
      </c>
      <c r="F15" s="156">
        <f>_xll.qlIMMNextDate(E15,,Trigger)</f>
        <v>43271</v>
      </c>
      <c r="G15" s="61" t="str">
        <f t="shared" si="6"/>
        <v>GbpLibor3M</v>
      </c>
      <c r="H15" s="119" t="str">
        <f t="shared" si="7"/>
        <v>FSSH8_LCHQuote</v>
      </c>
      <c r="I15" s="125">
        <f t="shared" si="8"/>
        <v>0</v>
      </c>
      <c r="J15" s="64" t="str">
        <f>_xll.qlFuturesRateHelper(,$H15,$H$4,$E15,$G15,$I15,FALSE,"customdate",$F15,Permanent,Trigger,ObjectOverwrite)</f>
        <v>obj_006a1#0005</v>
      </c>
      <c r="K15" s="64" t="str">
        <f t="shared" si="9"/>
        <v>obj_006a1#0005</v>
      </c>
      <c r="L15" s="48"/>
      <c r="M15" s="10" t="str">
        <f t="shared" ref="M15:M16" si="10">A17</f>
        <v>FUT</v>
      </c>
      <c r="N15" s="94" t="str">
        <f t="shared" ref="N15:N16" si="11">IF(ISBLANK(J17),"--",J17)</f>
        <v>obj_0069f#0005</v>
      </c>
      <c r="O15" s="94" t="str">
        <f t="shared" ref="O15:O16" si="12">IF(ISBLANK(K17),"--",K17)</f>
        <v>obj_0069f#0005</v>
      </c>
      <c r="P15" s="146" t="str">
        <f>IFERROR(_xll.qlRateHelperQuoteName(N15,Trigger),"--")</f>
        <v>FSSU8_LCHQuote</v>
      </c>
      <c r="Q15" s="150" t="str">
        <f>IFERROR(_xll.qlRateHelperQuoteValue($N15,Trigger),"--")</f>
        <v>--</v>
      </c>
      <c r="R15" s="97" t="b">
        <v>0</v>
      </c>
      <c r="S15" s="94"/>
      <c r="T15" s="94">
        <v>1</v>
      </c>
      <c r="U15" s="99">
        <f>IFERROR(_xll.qlRateHelperEarliestDate(N15,Trigger),"--")</f>
        <v>43362</v>
      </c>
      <c r="V15" s="99">
        <f>IFERROR(_xll.qlRateHelperPillarDate(N15,Trigger),"--")</f>
        <v>43453</v>
      </c>
      <c r="X15" s="4" t="str">
        <f t="shared" si="0"/>
        <v>BasSw</v>
      </c>
      <c r="Y15" s="4" t="str">
        <v>obj_0050c</v>
      </c>
      <c r="Z15" s="4" t="str">
        <v>obj_004a5</v>
      </c>
      <c r="AA15" s="4" t="str">
        <f>IFERROR(_xll.qlRateHelperQuoteName(Y15,Trigger),"")</f>
        <v>GBP3L6L6Y_LCHQuote</v>
      </c>
      <c r="AB15" s="70">
        <f>IFERROR(_xll.qlRateHelperRate(Y15,Trigger),"")</f>
        <v>1.3584499999999999E-2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42304</v>
      </c>
      <c r="AE15" s="5">
        <f>IFERROR(_xll.qlRateHelperPillarDate(Y15,Trigger),"")</f>
        <v>44496</v>
      </c>
      <c r="AF15" s="70">
        <v>1.3634514578700858E-2</v>
      </c>
      <c r="AG15" s="77">
        <v>0.92138377465490073</v>
      </c>
      <c r="AH15" s="169">
        <v>44496</v>
      </c>
      <c r="AI15" s="170">
        <v>1.36345145786509E-2</v>
      </c>
      <c r="AJ15" s="172">
        <f t="shared" si="1"/>
        <v>4.9958301384656068E-14</v>
      </c>
      <c r="AK15" s="80">
        <v>0.92138377465474797</v>
      </c>
      <c r="AL15" s="161">
        <f t="shared" si="2"/>
        <v>-1.5276668818842154E-13</v>
      </c>
    </row>
    <row r="16" spans="1:41" ht="11.25" customHeight="1" x14ac:dyDescent="0.2">
      <c r="A16" s="59" t="s">
        <v>93</v>
      </c>
      <c r="B16" s="116" t="b">
        <v>1</v>
      </c>
      <c r="C16" s="62" t="str">
        <f>_xll.qlIMMNextCode(C15,B16,Trigger)</f>
        <v>M8</v>
      </c>
      <c r="D16" s="123"/>
      <c r="E16" s="156">
        <f>_xll.qlIMMdate(C16,,Trigger)</f>
        <v>43271</v>
      </c>
      <c r="F16" s="156">
        <f>_xll.qlIMMNextDate(E16,,Trigger)</f>
        <v>43362</v>
      </c>
      <c r="G16" s="61" t="str">
        <f t="shared" si="6"/>
        <v>GbpLibor3M</v>
      </c>
      <c r="H16" s="119" t="str">
        <f t="shared" si="7"/>
        <v>FSSM8_LCHQuote</v>
      </c>
      <c r="I16" s="125">
        <f t="shared" si="8"/>
        <v>0</v>
      </c>
      <c r="J16" s="64" t="str">
        <f>_xll.qlFuturesRateHelper(,$H16,$H$4,$E16,$G16,$I16,FALSE,"customdate",$F16,Permanent,Trigger,ObjectOverwrite)</f>
        <v>obj_006a2#0005</v>
      </c>
      <c r="K16" s="64" t="str">
        <f t="shared" si="9"/>
        <v>obj_006a2#0005</v>
      </c>
      <c r="L16" s="48"/>
      <c r="M16" s="10" t="str">
        <f t="shared" si="10"/>
        <v>FUT</v>
      </c>
      <c r="N16" s="94" t="str">
        <f t="shared" si="11"/>
        <v>obj_006ab#0005</v>
      </c>
      <c r="O16" s="94" t="str">
        <f t="shared" si="12"/>
        <v>obj_006ab#0005</v>
      </c>
      <c r="P16" s="146" t="str">
        <f>IFERROR(_xll.qlRateHelperQuoteName(N16,Trigger),"--")</f>
        <v>FSSZ8_LCHQuote</v>
      </c>
      <c r="Q16" s="150" t="str">
        <f>IFERROR(_xll.qlRateHelperQuoteValue($N16,Trigger),"--")</f>
        <v>--</v>
      </c>
      <c r="R16" s="97" t="b">
        <v>0</v>
      </c>
      <c r="S16" s="94"/>
      <c r="T16" s="94">
        <v>1</v>
      </c>
      <c r="U16" s="99">
        <f>IFERROR(_xll.qlRateHelperEarliestDate(N16,Trigger),"--")</f>
        <v>43453</v>
      </c>
      <c r="V16" s="99">
        <f>IFERROR(_xll.qlRateHelperPillarDate(N16,Trigger),"--")</f>
        <v>43544</v>
      </c>
      <c r="X16" s="4" t="str">
        <f t="shared" si="0"/>
        <v>BasSw</v>
      </c>
      <c r="Y16" s="4" t="str">
        <v>obj_0052b</v>
      </c>
      <c r="Z16" s="4" t="str">
        <v>obj_004e8</v>
      </c>
      <c r="AA16" s="4" t="str">
        <f>IFERROR(_xll.qlRateHelperQuoteName(Y16,Trigger),"")</f>
        <v>GBP3L6L7Y_LCHQuote</v>
      </c>
      <c r="AB16" s="70">
        <f>IFERROR(_xll.qlRateHelperRate(Y16,Trigger),"")</f>
        <v>1.4562749999999999E-2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42304</v>
      </c>
      <c r="AE16" s="5">
        <f>IFERROR(_xll.qlRateHelperPillarDate(Y16,Trigger),"")</f>
        <v>44861</v>
      </c>
      <c r="AF16" s="70">
        <v>1.4637692014054723E-2</v>
      </c>
      <c r="AG16" s="77">
        <v>0.90254222327895228</v>
      </c>
      <c r="AH16" s="169">
        <v>44861</v>
      </c>
      <c r="AI16" s="170">
        <v>1.4637692014011701E-2</v>
      </c>
      <c r="AJ16" s="172">
        <f t="shared" si="1"/>
        <v>4.3022876927700793E-14</v>
      </c>
      <c r="AK16" s="80">
        <v>0.90254222327884004</v>
      </c>
      <c r="AL16" s="161">
        <f t="shared" si="2"/>
        <v>-1.1224354778960333E-13</v>
      </c>
    </row>
    <row r="17" spans="1:38" ht="11.25" customHeight="1" x14ac:dyDescent="0.2">
      <c r="A17" s="59" t="s">
        <v>93</v>
      </c>
      <c r="B17" s="116" t="b">
        <v>1</v>
      </c>
      <c r="C17" s="62" t="str">
        <f>_xll.qlIMMNextCode(C16,B17,Trigger)</f>
        <v>U8</v>
      </c>
      <c r="D17" s="123"/>
      <c r="E17" s="156">
        <f>_xll.qlIMMdate(C17,,Trigger)</f>
        <v>43362</v>
      </c>
      <c r="F17" s="156">
        <f>_xll.qlIMMNextDate(E17,,Trigger)</f>
        <v>43453</v>
      </c>
      <c r="G17" s="61" t="str">
        <f t="shared" si="6"/>
        <v>GbpLibor3M</v>
      </c>
      <c r="H17" s="119" t="str">
        <f t="shared" si="7"/>
        <v>FSSU8_LCHQuote</v>
      </c>
      <c r="I17" s="125">
        <f t="shared" si="8"/>
        <v>0</v>
      </c>
      <c r="J17" s="64" t="str">
        <f>_xll.qlFuturesRateHelper(,$H17,$H$4,$E17,$G17,$I17,FALSE,"customdate",$F17,Permanent,Trigger,ObjectOverwrite)</f>
        <v>obj_0069f#0005</v>
      </c>
      <c r="K17" s="64" t="str">
        <f t="shared" ref="K17:K25" si="13">J17</f>
        <v>obj_0069f#0005</v>
      </c>
      <c r="L17" s="48"/>
      <c r="M17" s="10" t="str">
        <f t="shared" ref="M17:M27" si="14">A19</f>
        <v>FUT</v>
      </c>
      <c r="N17" s="94" t="str">
        <f t="shared" ref="N17:N27" si="15">IF(ISBLANK(J19),"--",J19)</f>
        <v>obj_006ac#0005</v>
      </c>
      <c r="O17" s="94" t="str">
        <f t="shared" ref="O17:O27" si="16">IF(ISBLANK(K19),"--",K19)</f>
        <v>obj_006ac#0005</v>
      </c>
      <c r="P17" s="146" t="str">
        <f>IFERROR(_xll.qlRateHelperQuoteName(N17,Trigger),"--")</f>
        <v>FSSH9_LCHQuote</v>
      </c>
      <c r="Q17" s="150" t="str">
        <f>IFERROR(_xll.qlRateHelperQuoteValue($N17,Trigger),"--")</f>
        <v>--</v>
      </c>
      <c r="R17" s="97" t="b">
        <v>0</v>
      </c>
      <c r="S17" s="94"/>
      <c r="T17" s="94">
        <v>1</v>
      </c>
      <c r="U17" s="99">
        <f>IFERROR(_xll.qlRateHelperEarliestDate(N17,Trigger),"--")</f>
        <v>43544</v>
      </c>
      <c r="V17" s="99">
        <f>IFERROR(_xll.qlRateHelperPillarDate(N17,Trigger),"--")</f>
        <v>43635</v>
      </c>
      <c r="X17" s="4" t="str">
        <f t="shared" si="0"/>
        <v>BasSw</v>
      </c>
      <c r="Y17" s="4" t="str">
        <v>obj_00529</v>
      </c>
      <c r="Z17" s="4" t="str">
        <v>obj_004e6</v>
      </c>
      <c r="AA17" s="4" t="str">
        <f>IFERROR(_xll.qlRateHelperQuoteName(Y17,Trigger),"")</f>
        <v>GBP3L6L8Y_LCHQuote</v>
      </c>
      <c r="AB17" s="70">
        <f>IFERROR(_xll.qlRateHelperRate(Y17,Trigger),"")</f>
        <v>1.53665E-2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42304</v>
      </c>
      <c r="AE17" s="5">
        <f>IFERROR(_xll.qlRateHelperPillarDate(Y17,Trigger),"")</f>
        <v>45226</v>
      </c>
      <c r="AF17" s="70">
        <v>1.5466352494137171E-2</v>
      </c>
      <c r="AG17" s="77">
        <v>0.88354766292723486</v>
      </c>
      <c r="AH17" s="169">
        <v>45226</v>
      </c>
      <c r="AI17" s="170">
        <v>1.54663524940992E-2</v>
      </c>
      <c r="AJ17" s="172">
        <f t="shared" si="1"/>
        <v>3.797136216565633E-14</v>
      </c>
      <c r="AK17" s="80">
        <v>0.88354766292700704</v>
      </c>
      <c r="AL17" s="161">
        <f t="shared" si="2"/>
        <v>-2.2781776465308212E-13</v>
      </c>
    </row>
    <row r="18" spans="1:38" ht="11.25" customHeight="1" x14ac:dyDescent="0.2">
      <c r="A18" s="59" t="s">
        <v>93</v>
      </c>
      <c r="B18" s="116" t="b">
        <v>1</v>
      </c>
      <c r="C18" s="62" t="str">
        <f>_xll.qlIMMNextCode(C17,B18,Trigger)</f>
        <v>Z8</v>
      </c>
      <c r="D18" s="123"/>
      <c r="E18" s="156">
        <f>_xll.qlIMMdate(C18,,Trigger)</f>
        <v>43453</v>
      </c>
      <c r="F18" s="156">
        <f>_xll.qlIMMNextDate(E18,,Trigger)</f>
        <v>43544</v>
      </c>
      <c r="G18" s="61" t="str">
        <f t="shared" si="6"/>
        <v>GbpLibor3M</v>
      </c>
      <c r="H18" s="119" t="str">
        <f t="shared" si="7"/>
        <v>FSSZ8_LCHQuote</v>
      </c>
      <c r="I18" s="125">
        <f t="shared" si="8"/>
        <v>0</v>
      </c>
      <c r="J18" s="64" t="str">
        <f>_xll.qlFuturesRateHelper(,$H18,$H$4,$E18,$G18,$I18,FALSE,"customdate",$F18,Permanent,Trigger,ObjectOverwrite)</f>
        <v>obj_006ab#0005</v>
      </c>
      <c r="K18" s="64" t="str">
        <f t="shared" si="13"/>
        <v>obj_006ab#0005</v>
      </c>
      <c r="L18" s="48"/>
      <c r="M18" s="10" t="str">
        <f t="shared" si="14"/>
        <v>FUT</v>
      </c>
      <c r="N18" s="94" t="str">
        <f t="shared" si="15"/>
        <v>obj_0069e#0005</v>
      </c>
      <c r="O18" s="94" t="str">
        <f t="shared" si="16"/>
        <v>obj_0069e#0005</v>
      </c>
      <c r="P18" s="146" t="str">
        <f>IFERROR(_xll.qlRateHelperQuoteName(N18,Trigger),"--")</f>
        <v>FSSM9_LCHQuote</v>
      </c>
      <c r="Q18" s="150" t="str">
        <f>IFERROR(_xll.qlRateHelperQuoteValue($N18,Trigger),"--")</f>
        <v>--</v>
      </c>
      <c r="R18" s="97" t="b">
        <v>0</v>
      </c>
      <c r="S18" s="94"/>
      <c r="T18" s="94">
        <v>1</v>
      </c>
      <c r="U18" s="99">
        <f>IFERROR(_xll.qlRateHelperEarliestDate(N18,Trigger),"--")</f>
        <v>43635</v>
      </c>
      <c r="V18" s="99">
        <f>IFERROR(_xll.qlRateHelperPillarDate(N18,Trigger),"--")</f>
        <v>43726</v>
      </c>
      <c r="X18" s="4" t="str">
        <f t="shared" si="0"/>
        <v>BasSw</v>
      </c>
      <c r="Y18" s="4" t="str">
        <v>obj_00510</v>
      </c>
      <c r="Z18" s="4" t="str">
        <v>obj_00504</v>
      </c>
      <c r="AA18" s="4" t="str">
        <f>IFERROR(_xll.qlRateHelperQuoteName(Y18,Trigger),"")</f>
        <v>GBP3L6L9Y_LCHQuote</v>
      </c>
      <c r="AB18" s="70">
        <f>IFERROR(_xll.qlRateHelperRate(Y18,Trigger),"")</f>
        <v>1.6060999999999999E-2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42304</v>
      </c>
      <c r="AE18" s="5">
        <f>IFERROR(_xll.qlRateHelperPillarDate(Y18,Trigger),"")</f>
        <v>45593</v>
      </c>
      <c r="AF18" s="70">
        <v>1.6186789763334514E-2</v>
      </c>
      <c r="AG18" s="77">
        <v>0.8642862020753298</v>
      </c>
      <c r="AH18" s="169">
        <v>45593</v>
      </c>
      <c r="AI18" s="170">
        <v>1.6186789763274301E-2</v>
      </c>
      <c r="AJ18" s="172">
        <f t="shared" si="1"/>
        <v>6.0212251851154974E-14</v>
      </c>
      <c r="AK18" s="80">
        <v>0.86428620207570495</v>
      </c>
      <c r="AL18" s="161">
        <f t="shared" si="2"/>
        <v>3.751443600208404E-13</v>
      </c>
    </row>
    <row r="19" spans="1:38" ht="11.25" customHeight="1" x14ac:dyDescent="0.2">
      <c r="A19" s="59" t="s">
        <v>93</v>
      </c>
      <c r="B19" s="116" t="b">
        <v>1</v>
      </c>
      <c r="C19" s="62" t="str">
        <f>_xll.qlIMMNextCode(C18,B19,Trigger)</f>
        <v>H9</v>
      </c>
      <c r="D19" s="123"/>
      <c r="E19" s="156">
        <f>_xll.qlIMMdate(C19,,Trigger)</f>
        <v>43544</v>
      </c>
      <c r="F19" s="156">
        <f>_xll.qlIMMNextDate(E19,,Trigger)</f>
        <v>43635</v>
      </c>
      <c r="G19" s="61" t="str">
        <f t="shared" si="6"/>
        <v>GbpLibor3M</v>
      </c>
      <c r="H19" s="119" t="str">
        <f t="shared" si="7"/>
        <v>FSSH9_LCHQuote</v>
      </c>
      <c r="I19" s="125">
        <f t="shared" si="8"/>
        <v>0</v>
      </c>
      <c r="J19" s="64" t="str">
        <f>_xll.qlFuturesRateHelper(,$H19,$H$4,$E19,$G19,$I19,FALSE,"customdate",$F19,Permanent,Trigger,ObjectOverwrite)</f>
        <v>obj_006ac#0005</v>
      </c>
      <c r="K19" s="64" t="str">
        <f t="shared" si="13"/>
        <v>obj_006ac#0005</v>
      </c>
      <c r="L19" s="48"/>
      <c r="M19" s="10" t="str">
        <f t="shared" si="14"/>
        <v>FUT</v>
      </c>
      <c r="N19" s="94" t="str">
        <f t="shared" si="15"/>
        <v>obj_006a6#0005</v>
      </c>
      <c r="O19" s="94" t="str">
        <f t="shared" si="16"/>
        <v>obj_006a6#0005</v>
      </c>
      <c r="P19" s="146" t="str">
        <f>IFERROR(_xll.qlRateHelperQuoteName(N19,Trigger),"--")</f>
        <v>FSSU9_LCHQuote</v>
      </c>
      <c r="Q19" s="150" t="str">
        <f>IFERROR(_xll.qlRateHelperQuoteValue($N19,Trigger),"--")</f>
        <v>--</v>
      </c>
      <c r="R19" s="97" t="b">
        <v>0</v>
      </c>
      <c r="S19" s="94"/>
      <c r="T19" s="94">
        <v>1</v>
      </c>
      <c r="U19" s="99">
        <f>IFERROR(_xll.qlRateHelperEarliestDate(N19,Trigger),"--")</f>
        <v>43726</v>
      </c>
      <c r="V19" s="99">
        <f>IFERROR(_xll.qlRateHelperPillarDate(N19,Trigger),"--")</f>
        <v>43817</v>
      </c>
      <c r="X19" s="4" t="str">
        <f t="shared" si="0"/>
        <v>BasSw</v>
      </c>
      <c r="Y19" s="4" t="str">
        <v>obj_0051d</v>
      </c>
      <c r="Z19" s="4" t="str">
        <v>obj_004a4</v>
      </c>
      <c r="AA19" s="4" t="str">
        <f>IFERROR(_xll.qlRateHelperQuoteName(Y19,Trigger),"")</f>
        <v>GBP3L6L10Y_LCHQuote</v>
      </c>
      <c r="AB19" s="70">
        <f>IFERROR(_xll.qlRateHelperRate(Y19,Trigger),"")</f>
        <v>1.6698999999999901E-2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42304</v>
      </c>
      <c r="AE19" s="5">
        <f>IFERROR(_xll.qlRateHelperPillarDate(Y19,Trigger),"")</f>
        <v>45957</v>
      </c>
      <c r="AF19" s="70">
        <v>1.6854269199136334E-2</v>
      </c>
      <c r="AG19" s="77">
        <v>0.84478641498323137</v>
      </c>
      <c r="AH19" s="169">
        <v>45957</v>
      </c>
      <c r="AI19" s="170">
        <v>1.68542691987183E-2</v>
      </c>
      <c r="AJ19" s="172">
        <f t="shared" si="1"/>
        <v>4.1803366324089097E-13</v>
      </c>
      <c r="AK19" s="80">
        <v>0.84478641498068696</v>
      </c>
      <c r="AL19" s="161">
        <f t="shared" si="2"/>
        <v>-2.5444091278359338E-12</v>
      </c>
    </row>
    <row r="20" spans="1:38" ht="11.25" customHeight="1" x14ac:dyDescent="0.2">
      <c r="A20" s="59" t="s">
        <v>93</v>
      </c>
      <c r="B20" s="116" t="b">
        <v>1</v>
      </c>
      <c r="C20" s="62" t="str">
        <f>_xll.qlIMMNextCode(C19,B20,Trigger)</f>
        <v>M9</v>
      </c>
      <c r="D20" s="123"/>
      <c r="E20" s="156">
        <f>_xll.qlIMMdate(C20,,Trigger)</f>
        <v>43635</v>
      </c>
      <c r="F20" s="156">
        <f>_xll.qlIMMNextDate(E20,,Trigger)</f>
        <v>43726</v>
      </c>
      <c r="G20" s="61" t="str">
        <f t="shared" si="6"/>
        <v>GbpLibor3M</v>
      </c>
      <c r="H20" s="119" t="str">
        <f t="shared" si="7"/>
        <v>FSSM9_LCHQuote</v>
      </c>
      <c r="I20" s="125">
        <f t="shared" si="8"/>
        <v>0</v>
      </c>
      <c r="J20" s="64" t="str">
        <f>_xll.qlFuturesRateHelper(,$H20,$H$4,$E20,$G20,$I20,FALSE,"customdate",$F20,Permanent,Trigger,ObjectOverwrite)</f>
        <v>obj_0069e#0005</v>
      </c>
      <c r="K20" s="64" t="str">
        <f t="shared" si="13"/>
        <v>obj_0069e#0005</v>
      </c>
      <c r="L20" s="48"/>
      <c r="M20" s="10" t="str">
        <f t="shared" si="14"/>
        <v>FUT</v>
      </c>
      <c r="N20" s="94" t="str">
        <f t="shared" si="15"/>
        <v>obj_006a5#0005</v>
      </c>
      <c r="O20" s="94" t="str">
        <f t="shared" si="16"/>
        <v>obj_006a5#0005</v>
      </c>
      <c r="P20" s="146" t="str">
        <f>IFERROR(_xll.qlRateHelperQuoteName(N20,Trigger),"--")</f>
        <v>FSSZ9_LCHQuote</v>
      </c>
      <c r="Q20" s="150" t="str">
        <f>IFERROR(_xll.qlRateHelperQuoteValue($N20,Trigger),"--")</f>
        <v>--</v>
      </c>
      <c r="R20" s="97" t="b">
        <v>0</v>
      </c>
      <c r="S20" s="94"/>
      <c r="T20" s="94">
        <v>1</v>
      </c>
      <c r="U20" s="99">
        <f>IFERROR(_xll.qlRateHelperEarliestDate(N20,Trigger),"--")</f>
        <v>43817</v>
      </c>
      <c r="V20" s="99">
        <f>IFERROR(_xll.qlRateHelperPillarDate(N20,Trigger),"--")</f>
        <v>43908</v>
      </c>
      <c r="X20" s="4" t="str">
        <f t="shared" si="0"/>
        <v>BasSw</v>
      </c>
      <c r="Y20" s="4" t="str">
        <v>obj_004d4</v>
      </c>
      <c r="Z20" s="4" t="str">
        <v>obj_004ee</v>
      </c>
      <c r="AA20" s="4" t="str">
        <f>IFERROR(_xll.qlRateHelperQuoteName(Y20,Trigger),"")</f>
        <v>GBP3L6L12Y_LCHQuote</v>
      </c>
      <c r="AB20" s="70">
        <f>IFERROR(_xll.qlRateHelperRate(Y20,Trigger),"")</f>
        <v>1.77965E-2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42304</v>
      </c>
      <c r="AE20" s="5">
        <f>IFERROR(_xll.qlRateHelperPillarDate(Y20,Trigger),"")</f>
        <v>46687</v>
      </c>
      <c r="AF20" s="70">
        <v>1.8015309664854037E-2</v>
      </c>
      <c r="AG20" s="77">
        <v>0.8054824308978249</v>
      </c>
      <c r="AH20" s="169">
        <v>46687</v>
      </c>
      <c r="AI20" s="170">
        <v>1.8015309664772602E-2</v>
      </c>
      <c r="AJ20" s="172">
        <f t="shared" si="1"/>
        <v>8.1434858856255232E-14</v>
      </c>
      <c r="AK20" s="80">
        <v>0.80548243089737603</v>
      </c>
      <c r="AL20" s="161">
        <f t="shared" si="2"/>
        <v>-4.4886316885595079E-13</v>
      </c>
    </row>
    <row r="21" spans="1:38" ht="11.25" customHeight="1" x14ac:dyDescent="0.2">
      <c r="A21" s="59" t="s">
        <v>93</v>
      </c>
      <c r="B21" s="116" t="b">
        <v>1</v>
      </c>
      <c r="C21" s="62" t="str">
        <f>_xll.qlIMMNextCode(C20,B21,Trigger)</f>
        <v>U9</v>
      </c>
      <c r="D21" s="123"/>
      <c r="E21" s="156">
        <f>_xll.qlIMMdate(C21,,Trigger)</f>
        <v>43726</v>
      </c>
      <c r="F21" s="156">
        <f>_xll.qlIMMNextDate(E21,,Trigger)</f>
        <v>43817</v>
      </c>
      <c r="G21" s="61" t="str">
        <f t="shared" si="6"/>
        <v>GbpLibor3M</v>
      </c>
      <c r="H21" s="119" t="str">
        <f t="shared" si="7"/>
        <v>FSSU9_LCHQuote</v>
      </c>
      <c r="I21" s="125">
        <f t="shared" si="8"/>
        <v>0</v>
      </c>
      <c r="J21" s="64" t="str">
        <f>_xll.qlFuturesRateHelper(,$H21,$H$4,$E21,$G21,$I21,FALSE,"customdate",$F21,Permanent,Trigger,ObjectOverwrite)</f>
        <v>obj_006a6#0005</v>
      </c>
      <c r="K21" s="64" t="str">
        <f t="shared" si="13"/>
        <v>obj_006a6#0005</v>
      </c>
      <c r="L21" s="48"/>
      <c r="M21" s="10" t="str">
        <f t="shared" si="14"/>
        <v>FUT</v>
      </c>
      <c r="N21" s="94" t="str">
        <f t="shared" si="15"/>
        <v>obj_006ad#0005</v>
      </c>
      <c r="O21" s="94" t="str">
        <f t="shared" si="16"/>
        <v>obj_006ad#0005</v>
      </c>
      <c r="P21" s="146" t="str">
        <f>IFERROR(_xll.qlRateHelperQuoteName(N21,Trigger),"--")</f>
        <v>FSSH0_LCHQuote</v>
      </c>
      <c r="Q21" s="150" t="str">
        <f>IFERROR(_xll.qlRateHelperQuoteValue($N21,Trigger),"--")</f>
        <v>--</v>
      </c>
      <c r="R21" s="97" t="b">
        <v>0</v>
      </c>
      <c r="S21" s="94"/>
      <c r="T21" s="94">
        <v>1</v>
      </c>
      <c r="U21" s="99">
        <f>IFERROR(_xll.qlRateHelperEarliestDate(N21,Trigger),"--")</f>
        <v>43908</v>
      </c>
      <c r="V21" s="99">
        <f>IFERROR(_xll.qlRateHelperPillarDate(N21,Trigger),"--")</f>
        <v>43999</v>
      </c>
      <c r="X21" s="4" t="str">
        <f t="shared" si="0"/>
        <v>BasSw</v>
      </c>
      <c r="Y21" s="4" t="str">
        <v>obj_004e4</v>
      </c>
      <c r="Z21" s="4" t="str">
        <v>obj_004e1</v>
      </c>
      <c r="AA21" s="4" t="str">
        <f>IFERROR(_xll.qlRateHelperQuoteName(Y21,Trigger),"")</f>
        <v>GBP3L6L15Y_LCHQuote</v>
      </c>
      <c r="AB21" s="70">
        <f>IFERROR(_xll.qlRateHelperRate(Y21,Trigger),"")</f>
        <v>1.8978249999999999E-2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42304</v>
      </c>
      <c r="AE21" s="5">
        <f>IFERROR(_xll.qlRateHelperPillarDate(Y21,Trigger),"")</f>
        <v>47784</v>
      </c>
      <c r="AF21" s="70">
        <v>1.9284169149283527E-2</v>
      </c>
      <c r="AG21" s="77">
        <v>0.74866302839684196</v>
      </c>
      <c r="AH21" s="169">
        <v>47784</v>
      </c>
      <c r="AI21" s="170">
        <v>1.9284169148952601E-2</v>
      </c>
      <c r="AJ21" s="172">
        <f t="shared" si="1"/>
        <v>3.3092625861819158E-13</v>
      </c>
      <c r="AK21" s="80">
        <v>0.74866302839885102</v>
      </c>
      <c r="AL21" s="161">
        <f t="shared" si="2"/>
        <v>2.0090595853616833E-12</v>
      </c>
    </row>
    <row r="22" spans="1:38" ht="11.25" customHeight="1" x14ac:dyDescent="0.2">
      <c r="A22" s="59" t="s">
        <v>93</v>
      </c>
      <c r="B22" s="116" t="b">
        <v>1</v>
      </c>
      <c r="C22" s="62" t="str">
        <f>_xll.qlIMMNextCode(C21,B22,Trigger)</f>
        <v>Z9</v>
      </c>
      <c r="D22" s="123"/>
      <c r="E22" s="156">
        <f>_xll.qlIMMdate(C22,,Trigger)</f>
        <v>43817</v>
      </c>
      <c r="F22" s="156">
        <f>_xll.qlIMMNextDate(E22,,Trigger)</f>
        <v>43908</v>
      </c>
      <c r="G22" s="61" t="str">
        <f t="shared" si="6"/>
        <v>GbpLibor3M</v>
      </c>
      <c r="H22" s="119" t="str">
        <f t="shared" si="7"/>
        <v>FSSZ9_LCHQuote</v>
      </c>
      <c r="I22" s="125">
        <f t="shared" si="8"/>
        <v>0</v>
      </c>
      <c r="J22" s="64" t="str">
        <f>_xll.qlFuturesRateHelper(,$H22,$H$4,$E22,$G22,$I22,FALSE,"customdate",$F22,Permanent,Trigger,ObjectOverwrite)</f>
        <v>obj_006a5#0005</v>
      </c>
      <c r="K22" s="64" t="str">
        <f t="shared" si="13"/>
        <v>obj_006a5#0005</v>
      </c>
      <c r="L22" s="48"/>
      <c r="M22" s="10" t="str">
        <f t="shared" si="14"/>
        <v>FUT</v>
      </c>
      <c r="N22" s="94" t="str">
        <f t="shared" si="15"/>
        <v>obj_006a0#0005</v>
      </c>
      <c r="O22" s="94" t="str">
        <f t="shared" si="16"/>
        <v>obj_006a0#0005</v>
      </c>
      <c r="P22" s="146" t="str">
        <f>IFERROR(_xll.qlRateHelperQuoteName(N22,Trigger),"--")</f>
        <v>FSSM0_LCHQuote</v>
      </c>
      <c r="Q22" s="150" t="str">
        <f>IFERROR(_xll.qlRateHelperQuoteValue($N22,Trigger),"--")</f>
        <v>--</v>
      </c>
      <c r="R22" s="97" t="b">
        <v>0</v>
      </c>
      <c r="S22" s="94"/>
      <c r="T22" s="94">
        <v>1</v>
      </c>
      <c r="U22" s="99">
        <f>IFERROR(_xll.qlRateHelperEarliestDate(N22,Trigger),"--")</f>
        <v>43999</v>
      </c>
      <c r="V22" s="99">
        <f>IFERROR(_xll.qlRateHelperPillarDate(N22,Trigger),"--")</f>
        <v>44090</v>
      </c>
      <c r="X22" s="4" t="str">
        <f t="shared" si="0"/>
        <v>BasSw</v>
      </c>
      <c r="Y22" s="4" t="str">
        <v>obj_0050b</v>
      </c>
      <c r="Z22" s="4" t="str">
        <v>obj_004a0</v>
      </c>
      <c r="AA22" s="4" t="str">
        <f>IFERROR(_xll.qlRateHelperQuoteName(Y22,Trigger),"")</f>
        <v>GBP3L6L20Y_LCHQuote</v>
      </c>
      <c r="AB22" s="70">
        <f>IFERROR(_xll.qlRateHelperRate(Y22,Trigger),"")</f>
        <v>1.9865000000000001E-2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42304</v>
      </c>
      <c r="AE22" s="5">
        <f>IFERROR(_xll.qlRateHelperPillarDate(Y22,Trigger),"")</f>
        <v>49611</v>
      </c>
      <c r="AF22" s="70">
        <v>2.022445945932274E-2</v>
      </c>
      <c r="AG22" s="77">
        <v>0.66720993271157281</v>
      </c>
      <c r="AH22" s="169">
        <v>49611</v>
      </c>
      <c r="AI22" s="170">
        <v>2.0224459459332801E-2</v>
      </c>
      <c r="AJ22" s="172">
        <f t="shared" si="1"/>
        <v>-1.0061396160665481E-14</v>
      </c>
      <c r="AK22" s="80">
        <v>0.667209932700077</v>
      </c>
      <c r="AL22" s="161">
        <f t="shared" si="2"/>
        <v>-1.1495804308481183E-11</v>
      </c>
    </row>
    <row r="23" spans="1:38" ht="11.25" customHeight="1" x14ac:dyDescent="0.2">
      <c r="A23" s="59" t="s">
        <v>93</v>
      </c>
      <c r="B23" s="116" t="b">
        <v>1</v>
      </c>
      <c r="C23" s="62" t="str">
        <f>_xll.qlIMMNextCode(C22,B23,Trigger)</f>
        <v>H0</v>
      </c>
      <c r="D23" s="123"/>
      <c r="E23" s="156">
        <f>_xll.qlIMMdate(C23,,Trigger)</f>
        <v>43908</v>
      </c>
      <c r="F23" s="156">
        <f>_xll.qlIMMNextDate(E23,,Trigger)</f>
        <v>43999</v>
      </c>
      <c r="G23" s="61" t="str">
        <f t="shared" si="6"/>
        <v>GbpLibor3M</v>
      </c>
      <c r="H23" s="119" t="str">
        <f t="shared" si="7"/>
        <v>FSSH0_LCHQuote</v>
      </c>
      <c r="I23" s="125">
        <f t="shared" si="8"/>
        <v>0</v>
      </c>
      <c r="J23" s="64" t="str">
        <f>_xll.qlFuturesRateHelper(,$H23,$H$4,$E23,$G23,$I23,FALSE,"customdate",$F23,Permanent,Trigger,ObjectOverwrite)</f>
        <v>obj_006ad#0005</v>
      </c>
      <c r="K23" s="64" t="str">
        <f t="shared" si="13"/>
        <v>obj_006ad#0005</v>
      </c>
      <c r="L23" s="48"/>
      <c r="M23" s="10" t="str">
        <f t="shared" si="14"/>
        <v>FUT</v>
      </c>
      <c r="N23" s="94" t="str">
        <f t="shared" si="15"/>
        <v>obj_006a8#0005</v>
      </c>
      <c r="O23" s="94" t="str">
        <f t="shared" si="16"/>
        <v>obj_006a8#0005</v>
      </c>
      <c r="P23" s="146" t="str">
        <f>IFERROR(_xll.qlRateHelperQuoteName(N23,Trigger),"--")</f>
        <v>FSSU0_LCHQuote</v>
      </c>
      <c r="Q23" s="150" t="str">
        <f>IFERROR(_xll.qlRateHelperQuoteValue($N23,Trigger),"--")</f>
        <v>--</v>
      </c>
      <c r="R23" s="97" t="b">
        <v>0</v>
      </c>
      <c r="S23" s="94"/>
      <c r="T23" s="94">
        <v>1</v>
      </c>
      <c r="U23" s="99">
        <f>IFERROR(_xll.qlRateHelperEarliestDate(N23,Trigger),"--")</f>
        <v>44090</v>
      </c>
      <c r="V23" s="99">
        <f>IFERROR(_xll.qlRateHelperPillarDate(N23,Trigger),"--")</f>
        <v>44181</v>
      </c>
      <c r="X23" s="4" t="str">
        <f t="shared" si="0"/>
        <v>BasSw</v>
      </c>
      <c r="Y23" s="4" t="str">
        <v>obj_004a2</v>
      </c>
      <c r="Z23" s="4" t="str">
        <v>obj_004f0</v>
      </c>
      <c r="AA23" s="4" t="str">
        <f>IFERROR(_xll.qlRateHelperQuoteName(Y23,Trigger),"")</f>
        <v>GBP3L6L25Y_LCHQuote</v>
      </c>
      <c r="AB23" s="70">
        <f>IFERROR(_xll.qlRateHelperRate(Y23,Trigger),"")</f>
        <v>2.0050999999999999E-2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42304</v>
      </c>
      <c r="AE23" s="5">
        <f>IFERROR(_xll.qlRateHelperPillarDate(Y23,Trigger),"")</f>
        <v>51438</v>
      </c>
      <c r="AF23" s="70">
        <v>2.0363658947078575E-2</v>
      </c>
      <c r="AG23" s="77">
        <v>0.60091491055499346</v>
      </c>
      <c r="AH23" s="169">
        <v>51438</v>
      </c>
      <c r="AI23" s="170">
        <v>2.0363658947083599E-2</v>
      </c>
      <c r="AJ23" s="172">
        <f t="shared" si="1"/>
        <v>-5.0237591864288333E-15</v>
      </c>
      <c r="AK23" s="80">
        <v>0.60091491058558799</v>
      </c>
      <c r="AL23" s="161">
        <f t="shared" si="2"/>
        <v>3.0594526911897901E-11</v>
      </c>
    </row>
    <row r="24" spans="1:38" ht="11.25" customHeight="1" x14ac:dyDescent="0.2">
      <c r="A24" s="59" t="s">
        <v>93</v>
      </c>
      <c r="B24" s="116" t="b">
        <v>1</v>
      </c>
      <c r="C24" s="62" t="str">
        <f>_xll.qlIMMNextCode(C23,B24,Trigger)</f>
        <v>M0</v>
      </c>
      <c r="D24" s="123"/>
      <c r="E24" s="156">
        <f>_xll.qlIMMdate(C24,,Trigger)</f>
        <v>43999</v>
      </c>
      <c r="F24" s="156">
        <f>_xll.qlIMMNextDate(E24,,Trigger)</f>
        <v>44090</v>
      </c>
      <c r="G24" s="61" t="str">
        <f t="shared" si="6"/>
        <v>GbpLibor3M</v>
      </c>
      <c r="H24" s="119" t="str">
        <f t="shared" si="7"/>
        <v>FSSM0_LCHQuote</v>
      </c>
      <c r="I24" s="125">
        <f t="shared" si="8"/>
        <v>0</v>
      </c>
      <c r="J24" s="64" t="str">
        <f>_xll.qlFuturesRateHelper(,$H24,$H$4,$E24,$G24,$I24,FALSE,"customdate",$F24,Permanent,Trigger,ObjectOverwrite)</f>
        <v>obj_006a0#0005</v>
      </c>
      <c r="K24" s="64" t="str">
        <f t="shared" si="13"/>
        <v>obj_006a0#0005</v>
      </c>
      <c r="L24" s="48"/>
      <c r="M24" s="10" t="str">
        <f t="shared" si="14"/>
        <v>FUT</v>
      </c>
      <c r="N24" s="94" t="str">
        <f t="shared" si="15"/>
        <v>obj_006a9#0005</v>
      </c>
      <c r="O24" s="94" t="str">
        <f t="shared" si="16"/>
        <v>obj_006a9#0005</v>
      </c>
      <c r="P24" s="146" t="str">
        <f>IFERROR(_xll.qlRateHelperQuoteName(N24,Trigger),"--")</f>
        <v>FSSZ0_LCHQuote</v>
      </c>
      <c r="Q24" s="150" t="str">
        <f>IFERROR(_xll.qlRateHelperQuoteValue($N24,Trigger),"--")</f>
        <v>--</v>
      </c>
      <c r="R24" s="97" t="b">
        <v>0</v>
      </c>
      <c r="S24" s="94"/>
      <c r="T24" s="94">
        <v>1</v>
      </c>
      <c r="U24" s="99">
        <f>IFERROR(_xll.qlRateHelperEarliestDate(N24,Trigger),"--")</f>
        <v>44181</v>
      </c>
      <c r="V24" s="99">
        <f>IFERROR(_xll.qlRateHelperPillarDate(N24,Trigger),"--")</f>
        <v>44272</v>
      </c>
      <c r="X24" s="4" t="str">
        <f t="shared" si="0"/>
        <v>BasSw</v>
      </c>
      <c r="Y24" s="4" t="str">
        <v>obj_004cd</v>
      </c>
      <c r="Z24" s="4" t="str">
        <v>obj_004ff</v>
      </c>
      <c r="AA24" s="4" t="str">
        <f>IFERROR(_xll.qlRateHelperQuoteName(Y24,Trigger),"")</f>
        <v>GBP3L6L30Y_LCHQuote</v>
      </c>
      <c r="AB24" s="70">
        <f>IFERROR(_xll.qlRateHelperRate(Y24,Trigger),"")</f>
        <v>2.0063500000000001E-2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42304</v>
      </c>
      <c r="AE24" s="5">
        <f>IFERROR(_xll.qlRateHelperPillarDate(Y24,Trigger),"")</f>
        <v>53262</v>
      </c>
      <c r="AF24" s="70">
        <v>2.0311472931910549E-2</v>
      </c>
      <c r="AG24" s="77">
        <v>0.54365072885679777</v>
      </c>
      <c r="AH24" s="169">
        <v>53262</v>
      </c>
      <c r="AI24" s="170">
        <v>2.03114729319127E-2</v>
      </c>
      <c r="AJ24" s="172">
        <f t="shared" si="1"/>
        <v>-2.1510571102112408E-15</v>
      </c>
      <c r="AK24" s="80">
        <v>0.54365072874875597</v>
      </c>
      <c r="AL24" s="161">
        <f t="shared" si="2"/>
        <v>-1.0804179773060696E-10</v>
      </c>
    </row>
    <row r="25" spans="1:38" ht="11.25" customHeight="1" x14ac:dyDescent="0.2">
      <c r="A25" s="59" t="s">
        <v>93</v>
      </c>
      <c r="B25" s="116" t="b">
        <v>1</v>
      </c>
      <c r="C25" s="62" t="str">
        <f>_xll.qlIMMNextCode(C24,B25,Trigger)</f>
        <v>U0</v>
      </c>
      <c r="D25" s="123"/>
      <c r="E25" s="156">
        <f>_xll.qlIMMdate(C25,,Trigger)</f>
        <v>44090</v>
      </c>
      <c r="F25" s="156">
        <f>_xll.qlIMMNextDate(E25,,Trigger)</f>
        <v>44181</v>
      </c>
      <c r="G25" s="61" t="str">
        <f t="shared" si="6"/>
        <v>GbpLibor3M</v>
      </c>
      <c r="H25" s="119" t="str">
        <f t="shared" si="7"/>
        <v>FSSU0_LCHQuote</v>
      </c>
      <c r="I25" s="125">
        <f t="shared" si="8"/>
        <v>0</v>
      </c>
      <c r="J25" s="64" t="str">
        <f>_xll.qlFuturesRateHelper(,$H25,$H$4,$E25,$G25,$I25,FALSE,"customdate",$F25,Permanent,Trigger,ObjectOverwrite)</f>
        <v>obj_006a8#0005</v>
      </c>
      <c r="K25" s="64" t="str">
        <f t="shared" si="13"/>
        <v>obj_006a8#0005</v>
      </c>
      <c r="L25" s="48"/>
      <c r="M25" s="10" t="str">
        <f t="shared" si="14"/>
        <v>FUT</v>
      </c>
      <c r="N25" s="94" t="str">
        <f t="shared" si="15"/>
        <v>obj_006ae#0005</v>
      </c>
      <c r="O25" s="94" t="str">
        <f t="shared" si="16"/>
        <v>obj_006ae#0005</v>
      </c>
      <c r="P25" s="146" t="str">
        <f>IFERROR(_xll.qlRateHelperQuoteName(N25,Trigger),"--")</f>
        <v>FSSH1_LCHQuote</v>
      </c>
      <c r="Q25" s="150" t="str">
        <f>IFERROR(_xll.qlRateHelperQuoteValue($N25,Trigger),"--")</f>
        <v>--</v>
      </c>
      <c r="R25" s="97" t="b">
        <v>0</v>
      </c>
      <c r="S25" s="94"/>
      <c r="T25" s="94">
        <v>1</v>
      </c>
      <c r="U25" s="99">
        <f>IFERROR(_xll.qlRateHelperEarliestDate(N25,Trigger),"--")</f>
        <v>44272</v>
      </c>
      <c r="V25" s="99">
        <f>IFERROR(_xll.qlRateHelperPillarDate(N25,Trigger),"--")</f>
        <v>44363</v>
      </c>
      <c r="X25" s="4" t="str">
        <f t="shared" si="0"/>
        <v>BasSw</v>
      </c>
      <c r="Y25" s="4" t="str">
        <v>obj_004f9</v>
      </c>
      <c r="Z25" s="4" t="str">
        <v>obj_004a9</v>
      </c>
      <c r="AA25" s="4" t="str">
        <f>IFERROR(_xll.qlRateHelperQuoteName(Y25,Trigger),"")</f>
        <v>GBP3L6L40Y_LCHQuote</v>
      </c>
      <c r="AB25" s="70">
        <f>IFERROR(_xll.qlRateHelperRate(Y25,Trigger),"")</f>
        <v>1.9598999999999901E-2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42304</v>
      </c>
      <c r="AE25" s="5">
        <f>IFERROR(_xll.qlRateHelperPillarDate(Y25,Trigger),"")</f>
        <v>56914</v>
      </c>
      <c r="AF25" s="70">
        <v>1.9587811398553021E-2</v>
      </c>
      <c r="AG25" s="77">
        <v>0.45676776287598164</v>
      </c>
      <c r="AH25" s="169">
        <v>56914</v>
      </c>
      <c r="AI25" s="170">
        <v>1.95878113985649E-2</v>
      </c>
      <c r="AJ25" s="172">
        <f t="shared" si="1"/>
        <v>-1.1879386363489175E-14</v>
      </c>
      <c r="AK25" s="80">
        <v>0.45676776484593501</v>
      </c>
      <c r="AL25" s="161">
        <f t="shared" si="2"/>
        <v>1.9699533670980429E-9</v>
      </c>
    </row>
    <row r="26" spans="1:38" ht="11.25" customHeight="1" x14ac:dyDescent="0.2">
      <c r="A26" s="59" t="s">
        <v>93</v>
      </c>
      <c r="B26" s="116" t="b">
        <v>1</v>
      </c>
      <c r="C26" s="62" t="str">
        <f>_xll.qlIMMNextCode(C25,B26,Trigger)</f>
        <v>Z0</v>
      </c>
      <c r="D26" s="123"/>
      <c r="E26" s="156">
        <f>_xll.qlIMMdate(C26,,Trigger)</f>
        <v>44181</v>
      </c>
      <c r="F26" s="156">
        <f>_xll.qlIMMNextDate(E26,,Trigger)</f>
        <v>44272</v>
      </c>
      <c r="G26" s="61" t="str">
        <f t="shared" si="6"/>
        <v>GbpLibor3M</v>
      </c>
      <c r="H26" s="119" t="str">
        <f t="shared" si="7"/>
        <v>FSSZ0_LCHQuote</v>
      </c>
      <c r="I26" s="125">
        <f t="shared" si="8"/>
        <v>0</v>
      </c>
      <c r="J26" s="64" t="str">
        <f>_xll.qlFuturesRateHelper(,$H26,$H$4,$E26,$G26,$I26,FALSE,"customdate",$F26,Permanent,Trigger,ObjectOverwrite)</f>
        <v>obj_006a9#0005</v>
      </c>
      <c r="K26" s="64" t="str">
        <f t="shared" ref="K26:K29" si="17">J26</f>
        <v>obj_006a9#0005</v>
      </c>
      <c r="L26" s="48"/>
      <c r="M26" s="10" t="str">
        <f t="shared" si="14"/>
        <v>FUT</v>
      </c>
      <c r="N26" s="94" t="str">
        <f t="shared" si="15"/>
        <v>obj_006af#0005</v>
      </c>
      <c r="O26" s="94" t="str">
        <f t="shared" si="16"/>
        <v>obj_006af#0005</v>
      </c>
      <c r="P26" s="146" t="str">
        <f>IFERROR(_xll.qlRateHelperQuoteName(N26,Trigger),"--")</f>
        <v>FSSM1_LCHQuote</v>
      </c>
      <c r="Q26" s="150" t="str">
        <f>IFERROR(_xll.qlRateHelperQuoteValue($N26,Trigger),"--")</f>
        <v>--</v>
      </c>
      <c r="R26" s="97" t="b">
        <v>0</v>
      </c>
      <c r="S26" s="94"/>
      <c r="T26" s="94">
        <v>1</v>
      </c>
      <c r="U26" s="99">
        <f>IFERROR(_xll.qlRateHelperEarliestDate(N26,Trigger),"--")</f>
        <v>44363</v>
      </c>
      <c r="V26" s="99">
        <f>IFERROR(_xll.qlRateHelperPillarDate(N26,Trigger),"--")</f>
        <v>44454</v>
      </c>
      <c r="X26" s="4" t="str">
        <f t="shared" si="0"/>
        <v>BasSw</v>
      </c>
      <c r="Y26" s="4" t="str">
        <v>obj_004bd</v>
      </c>
      <c r="Z26" s="4" t="str">
        <v>obj_00506</v>
      </c>
      <c r="AA26" s="4" t="str">
        <f>IFERROR(_xll.qlRateHelperQuoteName(Y26,Trigger),"")</f>
        <v>GBP3L6L50Y_LCHQuote</v>
      </c>
      <c r="AB26" s="70">
        <f>IFERROR(_xll.qlRateHelperRate(Y26,Trigger),"")</f>
        <v>1.9333500000000101E-2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42304</v>
      </c>
      <c r="AE26" s="5">
        <f>IFERROR(_xll.qlRateHelperPillarDate(Y26,Trigger),"")</f>
        <v>60567</v>
      </c>
      <c r="AF26" s="70">
        <v>1.9174724096127128E-2</v>
      </c>
      <c r="AG26" s="77">
        <v>0.38312723293703743</v>
      </c>
      <c r="AH26" s="169">
        <v>60567</v>
      </c>
      <c r="AI26" s="170">
        <v>1.9174724096136301E-2</v>
      </c>
      <c r="AJ26" s="172">
        <f t="shared" si="1"/>
        <v>-9.1732177409653559E-15</v>
      </c>
      <c r="AK26" s="80">
        <v>0.38312722704694802</v>
      </c>
      <c r="AL26" s="161">
        <f t="shared" si="2"/>
        <v>-5.8900894162050577E-9</v>
      </c>
    </row>
    <row r="27" spans="1:38" ht="11.25" customHeight="1" x14ac:dyDescent="0.2">
      <c r="A27" s="59" t="s">
        <v>93</v>
      </c>
      <c r="B27" s="116" t="b">
        <v>1</v>
      </c>
      <c r="C27" s="62" t="str">
        <f>_xll.qlIMMNextCode(C26,B27,Trigger)</f>
        <v>H1</v>
      </c>
      <c r="D27" s="123"/>
      <c r="E27" s="156">
        <f>_xll.qlIMMdate(C27,,Trigger)</f>
        <v>44272</v>
      </c>
      <c r="F27" s="156">
        <f>_xll.qlIMMNextDate(E27,,Trigger)</f>
        <v>44363</v>
      </c>
      <c r="G27" s="61" t="str">
        <f t="shared" si="6"/>
        <v>GbpLibor3M</v>
      </c>
      <c r="H27" s="119" t="str">
        <f t="shared" si="7"/>
        <v>FSSH1_LCHQuote</v>
      </c>
      <c r="I27" s="125">
        <f t="shared" si="8"/>
        <v>0</v>
      </c>
      <c r="J27" s="64" t="str">
        <f>_xll.qlFuturesRateHelper(,$H27,$H$4,$E27,$G27,$I27,FALSE,"customdate",$F27,Permanent,Trigger,ObjectOverwrite)</f>
        <v>obj_006ae#0005</v>
      </c>
      <c r="K27" s="64" t="str">
        <f t="shared" si="17"/>
        <v>obj_006ae#0005</v>
      </c>
      <c r="L27" s="48"/>
      <c r="M27" s="10" t="str">
        <f t="shared" si="14"/>
        <v>FUT</v>
      </c>
      <c r="N27" s="94" t="str">
        <f t="shared" si="15"/>
        <v>obj_006b0#0005</v>
      </c>
      <c r="O27" s="94" t="str">
        <f t="shared" si="16"/>
        <v>obj_006b0#0005</v>
      </c>
      <c r="P27" s="146" t="str">
        <f>IFERROR(_xll.qlRateHelperQuoteName(N27,Trigger),"--")</f>
        <v>FSSU1_LCHQuote</v>
      </c>
      <c r="Q27" s="150" t="str">
        <f>IFERROR(_xll.qlRateHelperQuoteValue($N27,Trigger),"--")</f>
        <v>--</v>
      </c>
      <c r="R27" s="97" t="b">
        <v>0</v>
      </c>
      <c r="S27" s="94"/>
      <c r="T27" s="94">
        <v>1</v>
      </c>
      <c r="U27" s="99">
        <f>IFERROR(_xll.qlRateHelperEarliestDate(N27,Trigger),"--")</f>
        <v>44454</v>
      </c>
      <c r="V27" s="99">
        <f>IFERROR(_xll.qlRateHelperPillarDate(N27,Trigger),"--")</f>
        <v>44545</v>
      </c>
      <c r="X27" s="4" t="str">
        <f t="shared" si="0"/>
        <v>BasSw</v>
      </c>
      <c r="Y27" s="4" t="str">
        <v>obj_004cc</v>
      </c>
      <c r="Z27" s="4" t="str">
        <v>obj_00515</v>
      </c>
      <c r="AA27" s="4" t="str">
        <f>IFERROR(_xll.qlRateHelperQuoteName(Y27,Trigger),"")</f>
        <v>GBP3L6L60Y_LCHQuote</v>
      </c>
      <c r="AB27" s="70">
        <f>IFERROR(_xll.qlRateHelperRate(Y27,Trigger),"")</f>
        <v>1.9380500000000099E-2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42304</v>
      </c>
      <c r="AE27" s="5">
        <f>IFERROR(_xll.qlRateHelperPillarDate(Y27,Trigger),"")</f>
        <v>64220</v>
      </c>
      <c r="AF27" s="70">
        <v>1.9263691298945031E-2</v>
      </c>
      <c r="AG27" s="77">
        <v>0.31447751135381807</v>
      </c>
      <c r="AH27" s="169">
        <v>64220</v>
      </c>
      <c r="AI27" s="170">
        <v>1.92637133384965E-2</v>
      </c>
      <c r="AJ27" s="172">
        <f t="shared" si="1"/>
        <v>-2.2039551468566732E-8</v>
      </c>
      <c r="AK27" s="80">
        <v>0.31447674815993698</v>
      </c>
      <c r="AL27" s="161">
        <f t="shared" si="2"/>
        <v>-7.6319388109258313E-7</v>
      </c>
    </row>
    <row r="28" spans="1:38" ht="11.25" customHeight="1" x14ac:dyDescent="0.2">
      <c r="A28" s="59" t="s">
        <v>93</v>
      </c>
      <c r="B28" s="116" t="b">
        <v>1</v>
      </c>
      <c r="C28" s="62" t="str">
        <f>_xll.qlIMMNextCode(C27,B28,Trigger)</f>
        <v>M1</v>
      </c>
      <c r="D28" s="123"/>
      <c r="E28" s="156">
        <f>_xll.qlIMMdate(C28,,Trigger)</f>
        <v>44363</v>
      </c>
      <c r="F28" s="156">
        <f>_xll.qlIMMNextDate(E28,,Trigger)</f>
        <v>44454</v>
      </c>
      <c r="G28" s="61" t="str">
        <f t="shared" si="6"/>
        <v>GbpLibor3M</v>
      </c>
      <c r="H28" s="119" t="str">
        <f t="shared" si="7"/>
        <v>FSSM1_LCHQuote</v>
      </c>
      <c r="I28" s="125">
        <f t="shared" si="8"/>
        <v>0</v>
      </c>
      <c r="J28" s="64" t="str">
        <f>_xll.qlFuturesRateHelper(,$H28,$H$4,$E28,$G28,$I28,FALSE,"customdate",$F28,Permanent,Trigger,ObjectOverwrite)</f>
        <v>obj_006af#0005</v>
      </c>
      <c r="K28" s="64" t="str">
        <f t="shared" si="17"/>
        <v>obj_006af#0005</v>
      </c>
      <c r="L28" s="48"/>
      <c r="M28" s="135" t="str">
        <f t="shared" ref="M28:M65" si="18">A32</f>
        <v>BasSw</v>
      </c>
      <c r="N28" s="136" t="str">
        <f t="shared" ref="N28:N65" si="19">IF(ISBLANK(J32),"--",J32)</f>
        <v>obj_004c4#0005</v>
      </c>
      <c r="O28" s="136" t="str">
        <f t="shared" ref="O28:O65" si="20">IF(ISBLANK(K32),"--",K32)</f>
        <v>obj_0050a#0005</v>
      </c>
      <c r="P28" s="148" t="str">
        <f>IFERROR(_xll.qlRateHelperQuoteName(N28,Trigger),"--")</f>
        <v>GBP3L6L6M_LCHQuote</v>
      </c>
      <c r="Q28" s="138" t="str">
        <f>IFERROR(_xll.qlRateHelperQuoteValue($N28,Trigger),"--")</f>
        <v>--</v>
      </c>
      <c r="R28" s="137" t="b">
        <v>0</v>
      </c>
      <c r="S28" s="136">
        <v>10</v>
      </c>
      <c r="T28" s="136">
        <v>1</v>
      </c>
      <c r="U28" s="139">
        <f>IFERROR(_xll.qlRateHelperEarliestDate(N28,Trigger),"--")</f>
        <v>42304</v>
      </c>
      <c r="V28" s="139">
        <f>IFERROR(_xll.qlRateHelperPillarDate(N28,Trigger),"--")</f>
        <v>42487</v>
      </c>
      <c r="X28" s="4" t="str">
        <f t="shared" si="0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1"/>
        <v>#N/A</v>
      </c>
      <c r="AK28" s="80" t="e">
        <v>#N/A</v>
      </c>
      <c r="AL28" s="161" t="e">
        <f t="shared" si="2"/>
        <v>#N/A</v>
      </c>
    </row>
    <row r="29" spans="1:38" ht="11.25" customHeight="1" x14ac:dyDescent="0.2">
      <c r="A29" s="1" t="s">
        <v>93</v>
      </c>
      <c r="B29" s="117" t="b">
        <v>1</v>
      </c>
      <c r="C29" s="9" t="str">
        <f>_xll.qlIMMNextCode(C28,B29,Trigger)</f>
        <v>U1</v>
      </c>
      <c r="D29" s="124"/>
      <c r="E29" s="157">
        <f>_xll.qlIMMdate(C29,,Trigger)</f>
        <v>44454</v>
      </c>
      <c r="F29" s="157">
        <f>_xll.qlIMMNextDate(E29,,Trigger)</f>
        <v>44545</v>
      </c>
      <c r="G29" s="7" t="str">
        <f t="shared" si="6"/>
        <v>GbpLibor3M</v>
      </c>
      <c r="H29" s="120" t="str">
        <f t="shared" si="7"/>
        <v>FSSU1_LCHQuote</v>
      </c>
      <c r="I29" s="128">
        <f t="shared" si="8"/>
        <v>0</v>
      </c>
      <c r="J29" s="3" t="str">
        <f>_xll.qlFuturesRateHelper(,$H29,$H$4,$E29,$G29,$I29,FALSE,"customdate",$F29,Permanent,Trigger,ObjectOverwrite)</f>
        <v>obj_006b0#0005</v>
      </c>
      <c r="K29" s="3" t="str">
        <f t="shared" si="17"/>
        <v>obj_006b0#0005</v>
      </c>
      <c r="L29" s="48"/>
      <c r="M29" s="71" t="str">
        <f t="shared" si="18"/>
        <v>BasSw</v>
      </c>
      <c r="N29" s="140" t="str">
        <f t="shared" si="19"/>
        <v>obj_004a3#0005</v>
      </c>
      <c r="O29" s="140" t="str">
        <f t="shared" si="20"/>
        <v>obj_004e7#0005</v>
      </c>
      <c r="P29" s="149" t="str">
        <f>IFERROR(_xll.qlRateHelperQuoteName(N29,Trigger),"--")</f>
        <v>GBP3L6L1Y_LCHQuote</v>
      </c>
      <c r="Q29" s="142" t="str">
        <f>IFERROR(_xll.qlRateHelperQuoteValue($N29,Trigger),"--")</f>
        <v>--</v>
      </c>
      <c r="R29" s="141" t="b">
        <v>0</v>
      </c>
      <c r="S29" s="140">
        <v>10</v>
      </c>
      <c r="T29" s="140">
        <v>1</v>
      </c>
      <c r="U29" s="143">
        <f>IFERROR(_xll.qlRateHelperEarliestDate(N29,Trigger),"--")</f>
        <v>42304</v>
      </c>
      <c r="V29" s="143">
        <f>IFERROR(_xll.qlRateHelperPillarDate(N29,Trigger),"--")</f>
        <v>42670</v>
      </c>
      <c r="X29" s="4" t="str">
        <f t="shared" si="0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1"/>
        <v>#N/A</v>
      </c>
      <c r="AK29" s="80" t="e">
        <v>#N/A</v>
      </c>
      <c r="AL29" s="161" t="e">
        <f t="shared" si="2"/>
        <v>#N/A</v>
      </c>
    </row>
    <row r="30" spans="1:38" ht="11.25" customHeight="1" x14ac:dyDescent="0.2">
      <c r="G30" s="50" t="s">
        <v>151</v>
      </c>
      <c r="H30" s="50" t="s">
        <v>152</v>
      </c>
      <c r="L30" s="48"/>
      <c r="M30" s="71" t="str">
        <f t="shared" si="18"/>
        <v>BasSw</v>
      </c>
      <c r="N30" s="140" t="str">
        <f t="shared" si="19"/>
        <v>obj_00505#0005</v>
      </c>
      <c r="O30" s="140" t="str">
        <f t="shared" si="20"/>
        <v>obj_004b5#0005</v>
      </c>
      <c r="P30" s="149" t="str">
        <f>IFERROR(_xll.qlRateHelperQuoteName(N30,Trigger),"--")</f>
        <v>GBP3L6L15M_LCHQuote</v>
      </c>
      <c r="Q30" s="142" t="str">
        <f>IFERROR(_xll.qlRateHelperQuoteValue($N30,Trigger),"--")</f>
        <v>--</v>
      </c>
      <c r="R30" s="141" t="b">
        <v>0</v>
      </c>
      <c r="S30" s="140">
        <v>10</v>
      </c>
      <c r="T30" s="140">
        <v>1</v>
      </c>
      <c r="U30" s="143">
        <f>IFERROR(_xll.qlRateHelperEarliestDate(N30,Trigger),"--")</f>
        <v>42304</v>
      </c>
      <c r="V30" s="143">
        <f>IFERROR(_xll.qlRateHelperPillarDate(N30,Trigger),"--")</f>
        <v>42762</v>
      </c>
      <c r="X30" s="4" t="str">
        <f t="shared" si="0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1"/>
        <v>#N/A</v>
      </c>
      <c r="AK30" s="80" t="e">
        <v>#N/A</v>
      </c>
      <c r="AL30" s="161" t="e">
        <f t="shared" si="2"/>
        <v>#N/A</v>
      </c>
    </row>
    <row r="31" spans="1:38" ht="11.25" customHeight="1" x14ac:dyDescent="0.2">
      <c r="A31" s="65" t="s">
        <v>9</v>
      </c>
      <c r="B31" s="65" t="s">
        <v>28</v>
      </c>
      <c r="C31" s="65" t="s">
        <v>113</v>
      </c>
      <c r="D31" s="65" t="s">
        <v>5</v>
      </c>
      <c r="E31" s="65" t="s">
        <v>33</v>
      </c>
      <c r="F31" s="65" t="s">
        <v>114</v>
      </c>
      <c r="G31" s="65" t="s">
        <v>4</v>
      </c>
      <c r="H31" s="65" t="s">
        <v>1</v>
      </c>
      <c r="I31" s="65" t="s">
        <v>112</v>
      </c>
      <c r="J31" s="65" t="s">
        <v>136</v>
      </c>
      <c r="K31" s="65" t="s">
        <v>137</v>
      </c>
      <c r="L31" s="48"/>
      <c r="M31" s="71" t="str">
        <f t="shared" si="18"/>
        <v>BasSw</v>
      </c>
      <c r="N31" s="140" t="str">
        <f t="shared" si="19"/>
        <v>obj_004c7#0005</v>
      </c>
      <c r="O31" s="140" t="str">
        <f t="shared" si="20"/>
        <v>obj_004c5#0005</v>
      </c>
      <c r="P31" s="149" t="str">
        <f>IFERROR(_xll.qlRateHelperQuoteName(N31,Trigger),"--")</f>
        <v>GBP3L6L18M_LCHQuote</v>
      </c>
      <c r="Q31" s="142" t="str">
        <f>IFERROR(_xll.qlRateHelperQuoteValue($N31,Trigger),"--")</f>
        <v>--</v>
      </c>
      <c r="R31" s="141" t="b">
        <v>0</v>
      </c>
      <c r="S31" s="140">
        <v>10</v>
      </c>
      <c r="T31" s="140">
        <v>1</v>
      </c>
      <c r="U31" s="143">
        <f>IFERROR(_xll.qlRateHelperEarliestDate(N31,Trigger),"--")</f>
        <v>42304</v>
      </c>
      <c r="V31" s="143">
        <f>IFERROR(_xll.qlRateHelperPillarDate(N31,Trigger),"--")</f>
        <v>42852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1"/>
        <v>#N/A</v>
      </c>
      <c r="AK31" s="80" t="e">
        <v>#N/A</v>
      </c>
      <c r="AL31" s="161" t="e">
        <f t="shared" si="2"/>
        <v>#N/A</v>
      </c>
    </row>
    <row r="32" spans="1:38" ht="11.25" customHeight="1" x14ac:dyDescent="0.2">
      <c r="A32" s="53" t="s">
        <v>117</v>
      </c>
      <c r="B32" s="54" t="s">
        <v>3</v>
      </c>
      <c r="C32" s="55" t="s">
        <v>6</v>
      </c>
      <c r="D32" s="61" t="s">
        <v>158</v>
      </c>
      <c r="E32" s="61" t="s">
        <v>7</v>
      </c>
      <c r="F32" s="61" t="s">
        <v>159</v>
      </c>
      <c r="G32" s="61" t="str">
        <f t="shared" ref="G32:G69" si="21">PROPER(Currency)&amp;FamilyName&amp;Tenor</f>
        <v>GbpLibor3M</v>
      </c>
      <c r="H32" s="59" t="str">
        <f t="shared" ref="H32:H69" si="22">IF(LCHQuoteOverwrite,Currency&amp;$G$30&amp;$H$30&amp;$B32&amp;LCHQuoteSuffix,Currency&amp;$G$30&amp;$H$30&amp;"BASIS"&amp;$B32&amp;QuoteSuffix)</f>
        <v>GBP3L6L6M_LCHQuote</v>
      </c>
      <c r="I32" s="126">
        <v>0</v>
      </c>
      <c r="J32" s="58" t="str">
        <f>_xll.qlSwapRateHelper2(,$H32,0,$B32,Calendar,$D32,$E32,$F32,$G32,$I32,$C32,Discounting1,PillarDate,,Permanent,Trigger,ObjectOverwrite)</f>
        <v>obj_004c4#0005</v>
      </c>
      <c r="K32" s="58" t="str">
        <f>_xll.qlSwapRateHelper2(,$H32,0,$B32,Calendar,$D32,$E32,$F32,$G32,$I32,$C32,Discounting2,PillarDate,,Permanent,Trigger,ObjectOverwrite)</f>
        <v>obj_0050a#0005</v>
      </c>
      <c r="L32" s="48"/>
      <c r="M32" s="71" t="str">
        <f t="shared" si="18"/>
        <v>BasSw</v>
      </c>
      <c r="N32" s="140" t="str">
        <f t="shared" si="19"/>
        <v>obj_0051c#0005</v>
      </c>
      <c r="O32" s="140" t="str">
        <f t="shared" si="20"/>
        <v>obj_004d5#0005</v>
      </c>
      <c r="P32" s="149" t="str">
        <f>IFERROR(_xll.qlRateHelperQuoteName(N32,Trigger),"--")</f>
        <v>GBP3L6L21M_LCHQuote</v>
      </c>
      <c r="Q32" s="142" t="str">
        <f>IFERROR(_xll.qlRateHelperQuoteValue($N32,Trigger),"--")</f>
        <v>--</v>
      </c>
      <c r="R32" s="141" t="b">
        <v>0</v>
      </c>
      <c r="S32" s="140">
        <v>10</v>
      </c>
      <c r="T32" s="140">
        <v>1</v>
      </c>
      <c r="U32" s="143">
        <f>IFERROR(_xll.qlRateHelperEarliestDate(N32,Trigger),"--")</f>
        <v>42304</v>
      </c>
      <c r="V32" s="143">
        <f>IFERROR(_xll.qlRateHelperPillarDate(N32,Trigger),"--")</f>
        <v>42943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117</v>
      </c>
      <c r="B33" s="60" t="s">
        <v>27</v>
      </c>
      <c r="C33" s="61" t="s">
        <v>6</v>
      </c>
      <c r="D33" s="61" t="s">
        <v>158</v>
      </c>
      <c r="E33" s="61" t="s">
        <v>7</v>
      </c>
      <c r="F33" s="61" t="s">
        <v>159</v>
      </c>
      <c r="G33" s="61" t="str">
        <f t="shared" si="21"/>
        <v>GbpLibor3M</v>
      </c>
      <c r="H33" s="59" t="str">
        <f t="shared" si="22"/>
        <v>GBP3L6L1Y_LCHQuote</v>
      </c>
      <c r="I33" s="127">
        <v>0</v>
      </c>
      <c r="J33" s="64" t="str">
        <f>_xll.qlSwapRateHelper2(,$H33,0,$B33,Calendar,$D33,$E33,$F33,$G33,$I33,$C33,Discounting1,PillarDate,,Permanent,Trigger,ObjectOverwrite)</f>
        <v>obj_004a3#0005</v>
      </c>
      <c r="K33" s="64" t="str">
        <f>_xll.qlSwapRateHelper2(,$H33,0,$B33,Calendar,$D33,$E33,$F33,$G33,$I33,$C33,Discounting2,PillarDate,,Permanent,Trigger,ObjectOverwrite)</f>
        <v>obj_004e7#0005</v>
      </c>
      <c r="L33" s="48"/>
      <c r="M33" s="71" t="str">
        <f t="shared" si="18"/>
        <v>BasSw</v>
      </c>
      <c r="N33" s="140" t="str">
        <f t="shared" si="19"/>
        <v>obj_004b4#0005</v>
      </c>
      <c r="O33" s="140" t="str">
        <f t="shared" si="20"/>
        <v>obj_00522#0005</v>
      </c>
      <c r="P33" s="149" t="str">
        <f>IFERROR(_xll.qlRateHelperQuoteName(N33,Trigger),"--")</f>
        <v>GBP3L6L2Y_LCHQuote</v>
      </c>
      <c r="Q33" s="142" t="str">
        <f>IFERROR(_xll.qlRateHelperQuoteValue($N33,Trigger),"--")</f>
        <v>--</v>
      </c>
      <c r="R33" s="141" t="b">
        <v>0</v>
      </c>
      <c r="S33" s="140">
        <v>10</v>
      </c>
      <c r="T33" s="140">
        <v>1</v>
      </c>
      <c r="U33" s="143">
        <f>IFERROR(_xll.qlRateHelperEarliestDate(N33,Trigger),"--")</f>
        <v>42304</v>
      </c>
      <c r="V33" s="143">
        <f>IFERROR(_xll.qlRateHelperPillarDate(N33,Trigger),"--")</f>
        <v>43035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117</v>
      </c>
      <c r="B34" s="60" t="s">
        <v>48</v>
      </c>
      <c r="C34" s="61" t="s">
        <v>6</v>
      </c>
      <c r="D34" s="61" t="s">
        <v>158</v>
      </c>
      <c r="E34" s="61" t="s">
        <v>7</v>
      </c>
      <c r="F34" s="61" t="s">
        <v>159</v>
      </c>
      <c r="G34" s="61" t="str">
        <f t="shared" si="21"/>
        <v>GbpLibor3M</v>
      </c>
      <c r="H34" s="59" t="str">
        <f t="shared" si="22"/>
        <v>GBP3L6L15M_LCHQuote</v>
      </c>
      <c r="I34" s="127">
        <v>0</v>
      </c>
      <c r="J34" s="64" t="str">
        <f>_xll.qlSwapRateHelper2(,$H34,0,$B34,Calendar,$D34,$E34,$F34,$G34,$I34,$C34,Discounting1,PillarDate,,Permanent,Trigger,ObjectOverwrite)</f>
        <v>obj_00505#0005</v>
      </c>
      <c r="K34" s="64" t="str">
        <f>_xll.qlSwapRateHelper2(,$H34,0,$B34,Calendar,$D34,$E34,$F34,$G34,$I34,$C34,Discounting2,PillarDate,,Permanent,Trigger,ObjectOverwrite)</f>
        <v>obj_004b5#0005</v>
      </c>
      <c r="L34" s="48"/>
      <c r="M34" s="71" t="str">
        <f t="shared" si="18"/>
        <v>BasSw</v>
      </c>
      <c r="N34" s="140" t="str">
        <f t="shared" si="19"/>
        <v>obj_0052a#0005</v>
      </c>
      <c r="O34" s="140" t="str">
        <f t="shared" si="20"/>
        <v>obj_004e0#0005</v>
      </c>
      <c r="P34" s="149" t="str">
        <f>IFERROR(_xll.qlRateHelperQuoteName(N34,Trigger),"--")</f>
        <v>GBP3L6L3Y_LCHQuote</v>
      </c>
      <c r="Q34" s="142">
        <f>IFERROR(_xll.qlRateHelperQuoteValue($N34,Trigger),"--")</f>
        <v>9.49325E-3</v>
      </c>
      <c r="R34" s="141" t="b">
        <v>1</v>
      </c>
      <c r="S34" s="140">
        <v>10</v>
      </c>
      <c r="T34" s="140">
        <v>1</v>
      </c>
      <c r="U34" s="143">
        <f>IFERROR(_xll.qlRateHelperEarliestDate(N34,Trigger),"--")</f>
        <v>42304</v>
      </c>
      <c r="V34" s="143">
        <f>IFERROR(_xll.qlRateHelperPillarDate(N34,Trigger),"--")</f>
        <v>43402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117</v>
      </c>
      <c r="B35" s="60" t="s">
        <v>49</v>
      </c>
      <c r="C35" s="61" t="s">
        <v>6</v>
      </c>
      <c r="D35" s="61" t="s">
        <v>158</v>
      </c>
      <c r="E35" s="61" t="s">
        <v>7</v>
      </c>
      <c r="F35" s="61" t="s">
        <v>159</v>
      </c>
      <c r="G35" s="61" t="str">
        <f t="shared" si="21"/>
        <v>GbpLibor3M</v>
      </c>
      <c r="H35" s="59" t="str">
        <f t="shared" si="22"/>
        <v>GBP3L6L18M_LCHQuote</v>
      </c>
      <c r="I35" s="127">
        <v>0</v>
      </c>
      <c r="J35" s="64" t="str">
        <f>_xll.qlSwapRateHelper2(,$H35,0,$B35,Calendar,$D35,$E35,$F35,$G35,$I35,$C35,Discounting1,PillarDate,,Permanent,Trigger,ObjectOverwrite)</f>
        <v>obj_004c7#0005</v>
      </c>
      <c r="K35" s="64" t="str">
        <f>_xll.qlSwapRateHelper2(,$H35,0,$B35,Calendar,$D35,$E35,$F35,$G35,$I35,$C35,Discounting2,PillarDate,,Permanent,Trigger,ObjectOverwrite)</f>
        <v>obj_004c5#0005</v>
      </c>
      <c r="L35" s="48"/>
      <c r="M35" s="71" t="str">
        <f t="shared" si="18"/>
        <v>BasSw</v>
      </c>
      <c r="N35" s="140" t="str">
        <f t="shared" si="19"/>
        <v>obj_004df#0005</v>
      </c>
      <c r="O35" s="140" t="str">
        <f t="shared" si="20"/>
        <v>obj_004f1#0005</v>
      </c>
      <c r="P35" s="149" t="str">
        <f>IFERROR(_xll.qlRateHelperQuoteName(N35,Trigger),"--")</f>
        <v>GBP3L6L4Y_LCHQuote</v>
      </c>
      <c r="Q35" s="142">
        <f>IFERROR(_xll.qlRateHelperQuoteValue($N35,Trigger),"--")</f>
        <v>1.10265E-2</v>
      </c>
      <c r="R35" s="141" t="b">
        <v>1</v>
      </c>
      <c r="S35" s="140">
        <v>10</v>
      </c>
      <c r="T35" s="140">
        <v>1</v>
      </c>
      <c r="U35" s="143">
        <f>IFERROR(_xll.qlRateHelperEarliestDate(N35,Trigger),"--")</f>
        <v>42304</v>
      </c>
      <c r="V35" s="143">
        <f>IFERROR(_xll.qlRateHelperPillarDate(N35,Trigger),"--")</f>
        <v>43766</v>
      </c>
      <c r="X35" s="4" t="str">
        <f t="shared" ref="X35:X65" si="23">IFERROR(INDEX($M$3:$M$65,MATCH(AA35,$P$3:$P$65,0),1),"")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117</v>
      </c>
      <c r="B36" s="60" t="s">
        <v>50</v>
      </c>
      <c r="C36" s="61" t="s">
        <v>6</v>
      </c>
      <c r="D36" s="61" t="s">
        <v>158</v>
      </c>
      <c r="E36" s="61" t="s">
        <v>7</v>
      </c>
      <c r="F36" s="61" t="s">
        <v>159</v>
      </c>
      <c r="G36" s="61" t="str">
        <f t="shared" si="21"/>
        <v>GbpLibor3M</v>
      </c>
      <c r="H36" s="59" t="str">
        <f t="shared" si="22"/>
        <v>GBP3L6L21M_LCHQuote</v>
      </c>
      <c r="I36" s="127">
        <v>0</v>
      </c>
      <c r="J36" s="64" t="str">
        <f>_xll.qlSwapRateHelper2(,$H36,0,$B36,Calendar,$D36,$E36,$F36,$G36,$I36,$C36,Discounting1,PillarDate,,Permanent,Trigger,ObjectOverwrite)</f>
        <v>obj_0051c#0005</v>
      </c>
      <c r="K36" s="64" t="str">
        <f>_xll.qlSwapRateHelper2(,$H36,0,$B36,Calendar,$D36,$E36,$F36,$G36,$I36,$C36,Discounting2,PillarDate,,Permanent,Trigger,ObjectOverwrite)</f>
        <v>obj_004d5#0005</v>
      </c>
      <c r="L36" s="48"/>
      <c r="M36" s="71" t="str">
        <f t="shared" si="18"/>
        <v>BasSw</v>
      </c>
      <c r="N36" s="140" t="str">
        <f t="shared" si="19"/>
        <v>obj_004e5#0005</v>
      </c>
      <c r="O36" s="140" t="str">
        <f t="shared" si="20"/>
        <v>obj_00524#0005</v>
      </c>
      <c r="P36" s="149" t="str">
        <f>IFERROR(_xll.qlRateHelperQuoteName(N36,Trigger),"--")</f>
        <v>GBP3L6L5Y_LCHQuote</v>
      </c>
      <c r="Q36" s="142">
        <f>IFERROR(_xll.qlRateHelperQuoteValue($N36,Trigger),"--")</f>
        <v>1.240175E-2</v>
      </c>
      <c r="R36" s="141" t="b">
        <v>1</v>
      </c>
      <c r="S36" s="140">
        <v>10</v>
      </c>
      <c r="T36" s="140">
        <v>1</v>
      </c>
      <c r="U36" s="143">
        <f>IFERROR(_xll.qlRateHelperEarliestDate(N36,Trigger),"--")</f>
        <v>42304</v>
      </c>
      <c r="V36" s="143">
        <f>IFERROR(_xll.qlRateHelperPillarDate(N36,Trigger),"--")</f>
        <v>44131</v>
      </c>
      <c r="X36" s="4" t="str">
        <f t="shared" si="23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117</v>
      </c>
      <c r="B37" s="60" t="s">
        <v>51</v>
      </c>
      <c r="C37" s="61" t="s">
        <v>6</v>
      </c>
      <c r="D37" s="61" t="s">
        <v>158</v>
      </c>
      <c r="E37" s="61" t="s">
        <v>7</v>
      </c>
      <c r="F37" s="61" t="s">
        <v>159</v>
      </c>
      <c r="G37" s="61" t="str">
        <f t="shared" si="21"/>
        <v>GbpLibor3M</v>
      </c>
      <c r="H37" s="59" t="str">
        <f t="shared" si="22"/>
        <v>GBP3L6L2Y_LCHQuote</v>
      </c>
      <c r="I37" s="127">
        <v>0</v>
      </c>
      <c r="J37" s="64" t="str">
        <f>_xll.qlSwapRateHelper2(,$H37,0,$B37,Calendar,$D37,$E37,$F37,$G37,$I37,$C37,Discounting1,PillarDate,,Permanent,Trigger,ObjectOverwrite)</f>
        <v>obj_004b4#0005</v>
      </c>
      <c r="K37" s="64" t="str">
        <f>_xll.qlSwapRateHelper2(,$H37,0,$B37,Calendar,$D37,$E37,$F37,$G37,$I37,$C37,Discounting2,PillarDate,,Permanent,Trigger,ObjectOverwrite)</f>
        <v>obj_00522#0005</v>
      </c>
      <c r="L37" s="48"/>
      <c r="M37" s="71" t="str">
        <f t="shared" si="18"/>
        <v>BasSw</v>
      </c>
      <c r="N37" s="140" t="str">
        <f t="shared" si="19"/>
        <v>obj_0050c#0005</v>
      </c>
      <c r="O37" s="140" t="str">
        <f t="shared" si="20"/>
        <v>obj_004a5#0005</v>
      </c>
      <c r="P37" s="149" t="str">
        <f>IFERROR(_xll.qlRateHelperQuoteName(N37,Trigger),"--")</f>
        <v>GBP3L6L6Y_LCHQuote</v>
      </c>
      <c r="Q37" s="142">
        <f>IFERROR(_xll.qlRateHelperQuoteValue($N37,Trigger),"--")</f>
        <v>1.3584499999999999E-2</v>
      </c>
      <c r="R37" s="141" t="b">
        <v>1</v>
      </c>
      <c r="S37" s="140">
        <v>10</v>
      </c>
      <c r="T37" s="140">
        <v>1</v>
      </c>
      <c r="U37" s="143">
        <f>IFERROR(_xll.qlRateHelperEarliestDate(N37,Trigger),"--")</f>
        <v>42304</v>
      </c>
      <c r="V37" s="143">
        <f>IFERROR(_xll.qlRateHelperPillarDate(N37,Trigger),"--")</f>
        <v>44496</v>
      </c>
      <c r="X37" s="4" t="str">
        <f t="shared" si="23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117</v>
      </c>
      <c r="B38" s="60" t="s">
        <v>52</v>
      </c>
      <c r="C38" s="61" t="s">
        <v>6</v>
      </c>
      <c r="D38" s="61" t="s">
        <v>158</v>
      </c>
      <c r="E38" s="61" t="s">
        <v>7</v>
      </c>
      <c r="F38" s="61" t="s">
        <v>159</v>
      </c>
      <c r="G38" s="61" t="str">
        <f t="shared" si="21"/>
        <v>GbpLibor3M</v>
      </c>
      <c r="H38" s="59" t="str">
        <f t="shared" si="22"/>
        <v>GBP3L6L3Y_LCHQuote</v>
      </c>
      <c r="I38" s="127">
        <v>0</v>
      </c>
      <c r="J38" s="64" t="str">
        <f>_xll.qlSwapRateHelper2(,$H38,0,$B38,Calendar,$D38,$E38,$F38,$G38,$I38,$C38,Discounting1,PillarDate,,Permanent,Trigger,ObjectOverwrite)</f>
        <v>obj_0052a#0005</v>
      </c>
      <c r="K38" s="64" t="str">
        <f>_xll.qlSwapRateHelper2(,$H38,0,$B38,Calendar,$D38,$E38,$F38,$G38,$I38,$C38,Discounting2,PillarDate,,Permanent,Trigger,ObjectOverwrite)</f>
        <v>obj_004e0#0005</v>
      </c>
      <c r="L38" s="48"/>
      <c r="M38" s="71" t="str">
        <f t="shared" si="18"/>
        <v>BasSw</v>
      </c>
      <c r="N38" s="140" t="str">
        <f t="shared" si="19"/>
        <v>obj_0052b#0005</v>
      </c>
      <c r="O38" s="140" t="str">
        <f t="shared" si="20"/>
        <v>obj_004e8#0005</v>
      </c>
      <c r="P38" s="149" t="str">
        <f>IFERROR(_xll.qlRateHelperQuoteName(N38,Trigger),"--")</f>
        <v>GBP3L6L7Y_LCHQuote</v>
      </c>
      <c r="Q38" s="142">
        <f>IFERROR(_xll.qlRateHelperQuoteValue($N38,Trigger),"--")</f>
        <v>1.4562749999999999E-2</v>
      </c>
      <c r="R38" s="141" t="b">
        <v>1</v>
      </c>
      <c r="S38" s="140">
        <v>10</v>
      </c>
      <c r="T38" s="140">
        <v>1</v>
      </c>
      <c r="U38" s="143">
        <f>IFERROR(_xll.qlRateHelperEarliestDate(N38,Trigger),"--")</f>
        <v>42304</v>
      </c>
      <c r="V38" s="143">
        <f>IFERROR(_xll.qlRateHelperPillarDate(N38,Trigger),"--")</f>
        <v>44861</v>
      </c>
      <c r="X38" s="4" t="str">
        <f t="shared" si="23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117</v>
      </c>
      <c r="B39" s="60" t="s">
        <v>53</v>
      </c>
      <c r="C39" s="61" t="s">
        <v>6</v>
      </c>
      <c r="D39" s="61" t="s">
        <v>158</v>
      </c>
      <c r="E39" s="61" t="s">
        <v>7</v>
      </c>
      <c r="F39" s="61" t="s">
        <v>159</v>
      </c>
      <c r="G39" s="61" t="str">
        <f t="shared" si="21"/>
        <v>GbpLibor3M</v>
      </c>
      <c r="H39" s="59" t="str">
        <f t="shared" si="22"/>
        <v>GBP3L6L4Y_LCHQuote</v>
      </c>
      <c r="I39" s="127">
        <v>0</v>
      </c>
      <c r="J39" s="64" t="str">
        <f>_xll.qlSwapRateHelper2(,$H39,0,$B39,Calendar,$D39,$E39,$F39,$G39,$I39,$C39,Discounting1,PillarDate,,Permanent,Trigger,ObjectOverwrite)</f>
        <v>obj_004df#0005</v>
      </c>
      <c r="K39" s="64" t="str">
        <f>_xll.qlSwapRateHelper2(,$H39,0,$B39,Calendar,$D39,$E39,$F39,$G39,$I39,$C39,Discounting2,PillarDate,,Permanent,Trigger,ObjectOverwrite)</f>
        <v>obj_004f1#0005</v>
      </c>
      <c r="L39" s="48"/>
      <c r="M39" s="71" t="str">
        <f t="shared" si="18"/>
        <v>BasSw</v>
      </c>
      <c r="N39" s="140" t="str">
        <f t="shared" si="19"/>
        <v>obj_00529#0005</v>
      </c>
      <c r="O39" s="140" t="str">
        <f t="shared" si="20"/>
        <v>obj_004e6#0005</v>
      </c>
      <c r="P39" s="149" t="str">
        <f>IFERROR(_xll.qlRateHelperQuoteName(N39,Trigger),"--")</f>
        <v>GBP3L6L8Y_LCHQuote</v>
      </c>
      <c r="Q39" s="142">
        <f>IFERROR(_xll.qlRateHelperQuoteValue($N39,Trigger),"--")</f>
        <v>1.53665E-2</v>
      </c>
      <c r="R39" s="141" t="b">
        <v>1</v>
      </c>
      <c r="S39" s="140">
        <v>10</v>
      </c>
      <c r="T39" s="140">
        <v>1</v>
      </c>
      <c r="U39" s="143">
        <f>IFERROR(_xll.qlRateHelperEarliestDate(N39,Trigger),"--")</f>
        <v>42304</v>
      </c>
      <c r="V39" s="143">
        <f>IFERROR(_xll.qlRateHelperPillarDate(N39,Trigger),"--")</f>
        <v>45226</v>
      </c>
      <c r="X39" s="4" t="str">
        <f t="shared" si="23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117</v>
      </c>
      <c r="B40" s="60" t="s">
        <v>54</v>
      </c>
      <c r="C40" s="61" t="s">
        <v>6</v>
      </c>
      <c r="D40" s="61" t="s">
        <v>158</v>
      </c>
      <c r="E40" s="61" t="s">
        <v>7</v>
      </c>
      <c r="F40" s="61" t="s">
        <v>159</v>
      </c>
      <c r="G40" s="61" t="str">
        <f t="shared" si="21"/>
        <v>GbpLibor3M</v>
      </c>
      <c r="H40" s="59" t="str">
        <f t="shared" si="22"/>
        <v>GBP3L6L5Y_LCHQuote</v>
      </c>
      <c r="I40" s="127">
        <v>0</v>
      </c>
      <c r="J40" s="64" t="str">
        <f>_xll.qlSwapRateHelper2(,$H40,0,$B40,Calendar,$D40,$E40,$F40,$G40,$I40,$C40,Discounting1,PillarDate,,Permanent,Trigger,ObjectOverwrite)</f>
        <v>obj_004e5#0005</v>
      </c>
      <c r="K40" s="64" t="str">
        <f>_xll.qlSwapRateHelper2(,$H40,0,$B40,Calendar,$D40,$E40,$F40,$G40,$I40,$C40,Discounting2,PillarDate,,Permanent,Trigger,ObjectOverwrite)</f>
        <v>obj_00524#0005</v>
      </c>
      <c r="L40" s="48"/>
      <c r="M40" s="71" t="str">
        <f t="shared" si="18"/>
        <v>BasSw</v>
      </c>
      <c r="N40" s="140" t="str">
        <f t="shared" si="19"/>
        <v>obj_00510#0005</v>
      </c>
      <c r="O40" s="140" t="str">
        <f t="shared" si="20"/>
        <v>obj_00504#0005</v>
      </c>
      <c r="P40" s="149" t="str">
        <f>IFERROR(_xll.qlRateHelperQuoteName(N40,Trigger),"--")</f>
        <v>GBP3L6L9Y_LCHQuote</v>
      </c>
      <c r="Q40" s="142">
        <f>IFERROR(_xll.qlRateHelperQuoteValue($N40,Trigger),"--")</f>
        <v>1.6060999999999999E-2</v>
      </c>
      <c r="R40" s="141" t="b">
        <v>1</v>
      </c>
      <c r="S40" s="140">
        <v>10</v>
      </c>
      <c r="T40" s="140">
        <v>1</v>
      </c>
      <c r="U40" s="143">
        <f>IFERROR(_xll.qlRateHelperEarliestDate(N40,Trigger),"--")</f>
        <v>42304</v>
      </c>
      <c r="V40" s="143">
        <f>IFERROR(_xll.qlRateHelperPillarDate(N40,Trigger),"--")</f>
        <v>45593</v>
      </c>
      <c r="X40" s="4" t="str">
        <f t="shared" si="23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117</v>
      </c>
      <c r="B41" s="60" t="s">
        <v>55</v>
      </c>
      <c r="C41" s="61" t="s">
        <v>6</v>
      </c>
      <c r="D41" s="61" t="s">
        <v>158</v>
      </c>
      <c r="E41" s="61" t="s">
        <v>7</v>
      </c>
      <c r="F41" s="61" t="s">
        <v>159</v>
      </c>
      <c r="G41" s="61" t="str">
        <f t="shared" si="21"/>
        <v>GbpLibor3M</v>
      </c>
      <c r="H41" s="59" t="str">
        <f t="shared" si="22"/>
        <v>GBP3L6L6Y_LCHQuote</v>
      </c>
      <c r="I41" s="127">
        <v>0</v>
      </c>
      <c r="J41" s="64" t="str">
        <f>_xll.qlSwapRateHelper2(,$H41,0,$B41,Calendar,$D41,$E41,$F41,$G41,$I41,$C41,Discounting1,PillarDate,,Permanent,Trigger,ObjectOverwrite)</f>
        <v>obj_0050c#0005</v>
      </c>
      <c r="K41" s="64" t="str">
        <f>_xll.qlSwapRateHelper2(,$H41,0,$B41,Calendar,$D41,$E41,$F41,$G41,$I41,$C41,Discounting2,PillarDate,,Permanent,Trigger,ObjectOverwrite)</f>
        <v>obj_004a5#0005</v>
      </c>
      <c r="M41" s="71" t="str">
        <f t="shared" si="18"/>
        <v>BasSw</v>
      </c>
      <c r="N41" s="141" t="str">
        <f t="shared" si="19"/>
        <v>obj_0051d#0005</v>
      </c>
      <c r="O41" s="141" t="str">
        <f t="shared" si="20"/>
        <v>obj_004a4#0005</v>
      </c>
      <c r="P41" s="149" t="str">
        <f>IFERROR(_xll.qlRateHelperQuoteName(N41,Trigger),"--")</f>
        <v>GBP3L6L10Y_LCHQuote</v>
      </c>
      <c r="Q41" s="142">
        <f>IFERROR(_xll.qlRateHelperQuoteValue($N41,Trigger),"--")</f>
        <v>1.6698999999999901E-2</v>
      </c>
      <c r="R41" s="141" t="b">
        <v>1</v>
      </c>
      <c r="S41" s="141">
        <v>10</v>
      </c>
      <c r="T41" s="141">
        <v>1</v>
      </c>
      <c r="U41" s="143">
        <f>IFERROR(_xll.qlRateHelperEarliestDate(N41,Trigger),"--")</f>
        <v>42304</v>
      </c>
      <c r="V41" s="143">
        <f>IFERROR(_xll.qlRateHelperPillarDate(N41,Trigger),"--")</f>
        <v>45957</v>
      </c>
      <c r="X41" s="4" t="str">
        <f t="shared" si="23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117</v>
      </c>
      <c r="B42" s="60" t="s">
        <v>56</v>
      </c>
      <c r="C42" s="61" t="s">
        <v>6</v>
      </c>
      <c r="D42" s="61" t="s">
        <v>158</v>
      </c>
      <c r="E42" s="61" t="s">
        <v>7</v>
      </c>
      <c r="F42" s="61" t="s">
        <v>159</v>
      </c>
      <c r="G42" s="61" t="str">
        <f t="shared" si="21"/>
        <v>GbpLibor3M</v>
      </c>
      <c r="H42" s="59" t="str">
        <f t="shared" si="22"/>
        <v>GBP3L6L7Y_LCHQuote</v>
      </c>
      <c r="I42" s="127">
        <v>0</v>
      </c>
      <c r="J42" s="64" t="str">
        <f>_xll.qlSwapRateHelper2(,$H42,0,$B42,Calendar,$D42,$E42,$F42,$G42,$I42,$C42,Discounting1,PillarDate,,Permanent,Trigger,ObjectOverwrite)</f>
        <v>obj_0052b#0005</v>
      </c>
      <c r="K42" s="64" t="str">
        <f>_xll.qlSwapRateHelper2(,$H42,0,$B42,Calendar,$D42,$E42,$F42,$G42,$I42,$C42,Discounting2,PillarDate,,Permanent,Trigger,ObjectOverwrite)</f>
        <v>obj_004e8#0005</v>
      </c>
      <c r="M42" s="71" t="str">
        <f t="shared" si="18"/>
        <v>BasSw</v>
      </c>
      <c r="N42" s="141" t="str">
        <f t="shared" si="19"/>
        <v>obj_004db#0005</v>
      </c>
      <c r="O42" s="141" t="str">
        <f t="shared" si="20"/>
        <v>obj_004a1#0005</v>
      </c>
      <c r="P42" s="149" t="str">
        <f>IFERROR(_xll.qlRateHelperQuoteName(N42,Trigger),"--")</f>
        <v>GBP3L6L11Y_LCHQuote</v>
      </c>
      <c r="Q42" s="142" t="str">
        <f>IFERROR(_xll.qlRateHelperQuoteValue($N42,Trigger),"--")</f>
        <v>--</v>
      </c>
      <c r="R42" s="141" t="b">
        <v>0</v>
      </c>
      <c r="S42" s="141">
        <v>10</v>
      </c>
      <c r="T42" s="141">
        <v>1</v>
      </c>
      <c r="U42" s="143">
        <f>IFERROR(_xll.qlRateHelperEarliestDate(N42,Trigger),"--")</f>
        <v>42304</v>
      </c>
      <c r="V42" s="143">
        <f>IFERROR(_xll.qlRateHelperPillarDate(N42,Trigger),"--")</f>
        <v>46322</v>
      </c>
      <c r="X42" s="4" t="str">
        <f t="shared" si="23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117</v>
      </c>
      <c r="B43" s="60" t="s">
        <v>57</v>
      </c>
      <c r="C43" s="61" t="s">
        <v>6</v>
      </c>
      <c r="D43" s="61" t="s">
        <v>158</v>
      </c>
      <c r="E43" s="61" t="s">
        <v>7</v>
      </c>
      <c r="F43" s="61" t="s">
        <v>159</v>
      </c>
      <c r="G43" s="61" t="str">
        <f t="shared" si="21"/>
        <v>GbpLibor3M</v>
      </c>
      <c r="H43" s="59" t="str">
        <f t="shared" si="22"/>
        <v>GBP3L6L8Y_LCHQuote</v>
      </c>
      <c r="I43" s="127">
        <v>0</v>
      </c>
      <c r="J43" s="64" t="str">
        <f>_xll.qlSwapRateHelper2(,$H43,0,$B43,Calendar,$D43,$E43,$F43,$G43,$I43,$C43,Discounting1,PillarDate,,Permanent,Trigger,ObjectOverwrite)</f>
        <v>obj_00529#0005</v>
      </c>
      <c r="K43" s="64" t="str">
        <f>_xll.qlSwapRateHelper2(,$H43,0,$B43,Calendar,$D43,$E43,$F43,$G43,$I43,$C43,Discounting2,PillarDate,,Permanent,Trigger,ObjectOverwrite)</f>
        <v>obj_004e6#0005</v>
      </c>
      <c r="M43" s="71" t="str">
        <f t="shared" si="18"/>
        <v>BasSw</v>
      </c>
      <c r="N43" s="141" t="str">
        <f t="shared" si="19"/>
        <v>obj_004d4#0005</v>
      </c>
      <c r="O43" s="141" t="str">
        <f t="shared" si="20"/>
        <v>obj_004ee#0005</v>
      </c>
      <c r="P43" s="149" t="str">
        <f>IFERROR(_xll.qlRateHelperQuoteName(N43,Trigger),"--")</f>
        <v>GBP3L6L12Y_LCHQuote</v>
      </c>
      <c r="Q43" s="142">
        <f>IFERROR(_xll.qlRateHelperQuoteValue($N43,Trigger),"--")</f>
        <v>1.77965E-2</v>
      </c>
      <c r="R43" s="141" t="b">
        <v>1</v>
      </c>
      <c r="S43" s="141">
        <v>10</v>
      </c>
      <c r="T43" s="141">
        <v>1</v>
      </c>
      <c r="U43" s="143">
        <f>IFERROR(_xll.qlRateHelperEarliestDate(N43,Trigger),"--")</f>
        <v>42304</v>
      </c>
      <c r="V43" s="143">
        <f>IFERROR(_xll.qlRateHelperPillarDate(N43,Trigger),"--")</f>
        <v>46687</v>
      </c>
      <c r="X43" s="4" t="str">
        <f t="shared" si="23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117</v>
      </c>
      <c r="B44" s="60" t="s">
        <v>58</v>
      </c>
      <c r="C44" s="61" t="s">
        <v>6</v>
      </c>
      <c r="D44" s="61" t="s">
        <v>158</v>
      </c>
      <c r="E44" s="61" t="s">
        <v>7</v>
      </c>
      <c r="F44" s="61" t="s">
        <v>159</v>
      </c>
      <c r="G44" s="61" t="str">
        <f t="shared" si="21"/>
        <v>GbpLibor3M</v>
      </c>
      <c r="H44" s="59" t="str">
        <f t="shared" si="22"/>
        <v>GBP3L6L9Y_LCHQuote</v>
      </c>
      <c r="I44" s="127">
        <v>0</v>
      </c>
      <c r="J44" s="64" t="str">
        <f>_xll.qlSwapRateHelper2(,$H44,0,$B44,Calendar,$D44,$E44,$F44,$G44,$I44,$C44,Discounting1,PillarDate,,Permanent,Trigger,ObjectOverwrite)</f>
        <v>obj_00510#0005</v>
      </c>
      <c r="K44" s="64" t="str">
        <f>_xll.qlSwapRateHelper2(,$H44,0,$B44,Calendar,$D44,$E44,$F44,$G44,$I44,$C44,Discounting2,PillarDate,,Permanent,Trigger,ObjectOverwrite)</f>
        <v>obj_00504#0005</v>
      </c>
      <c r="M44" s="71" t="str">
        <f t="shared" si="18"/>
        <v>BasSw</v>
      </c>
      <c r="N44" s="141" t="str">
        <f t="shared" si="19"/>
        <v>obj_004f6#0005</v>
      </c>
      <c r="O44" s="141" t="str">
        <f t="shared" si="20"/>
        <v>obj_00528#0005</v>
      </c>
      <c r="P44" s="149" t="str">
        <f>IFERROR(_xll.qlRateHelperQuoteName(N44,Trigger),"--")</f>
        <v>GBP3L6L13Y_LCHQuote</v>
      </c>
      <c r="Q44" s="142" t="str">
        <f>IFERROR(_xll.qlRateHelperQuoteValue($N44,Trigger),"--")</f>
        <v>--</v>
      </c>
      <c r="R44" s="141" t="b">
        <v>0</v>
      </c>
      <c r="S44" s="141">
        <v>10</v>
      </c>
      <c r="T44" s="141">
        <v>1</v>
      </c>
      <c r="U44" s="143">
        <f>IFERROR(_xll.qlRateHelperEarliestDate(N44,Trigger),"--")</f>
        <v>42304</v>
      </c>
      <c r="V44" s="143">
        <f>IFERROR(_xll.qlRateHelperPillarDate(N44,Trigger),"--")</f>
        <v>47053</v>
      </c>
      <c r="X44" s="4" t="str">
        <f t="shared" si="23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117</v>
      </c>
      <c r="B45" s="60" t="s">
        <v>59</v>
      </c>
      <c r="C45" s="61" t="s">
        <v>6</v>
      </c>
      <c r="D45" s="61" t="s">
        <v>158</v>
      </c>
      <c r="E45" s="61" t="s">
        <v>7</v>
      </c>
      <c r="F45" s="61" t="s">
        <v>159</v>
      </c>
      <c r="G45" s="61" t="str">
        <f t="shared" si="21"/>
        <v>GbpLibor3M</v>
      </c>
      <c r="H45" s="59" t="str">
        <f t="shared" si="22"/>
        <v>GBP3L6L10Y_LCHQuote</v>
      </c>
      <c r="I45" s="127">
        <v>0</v>
      </c>
      <c r="J45" s="64" t="str">
        <f>_xll.qlSwapRateHelper2(,$H45,0,$B45,Calendar,$D45,$E45,$F45,$G45,$I45,$C45,Discounting1,PillarDate,,Permanent,Trigger,ObjectOverwrite)</f>
        <v>obj_0051d#0005</v>
      </c>
      <c r="K45" s="64" t="str">
        <f>_xll.qlSwapRateHelper2(,$H45,0,$B45,Calendar,$D45,$E45,$F45,$G45,$I45,$C45,Discounting2,PillarDate,,Permanent,Trigger,ObjectOverwrite)</f>
        <v>obj_004a4#0005</v>
      </c>
      <c r="M45" s="71" t="str">
        <f t="shared" si="18"/>
        <v>BasSw</v>
      </c>
      <c r="N45" s="141" t="str">
        <f t="shared" si="19"/>
        <v>obj_004ed#0005</v>
      </c>
      <c r="O45" s="141" t="str">
        <f t="shared" si="20"/>
        <v>obj_004ef#0005</v>
      </c>
      <c r="P45" s="149" t="str">
        <f>IFERROR(_xll.qlRateHelperQuoteName(N45,Trigger),"--")</f>
        <v>GBP3L6L14Y_LCHQuote</v>
      </c>
      <c r="Q45" s="142" t="str">
        <f>IFERROR(_xll.qlRateHelperQuoteValue($N45,Trigger),"--")</f>
        <v>--</v>
      </c>
      <c r="R45" s="141" t="b">
        <v>0</v>
      </c>
      <c r="S45" s="141">
        <v>10</v>
      </c>
      <c r="T45" s="141">
        <v>1</v>
      </c>
      <c r="U45" s="143">
        <f>IFERROR(_xll.qlRateHelperEarliestDate(N45,Trigger),"--")</f>
        <v>42304</v>
      </c>
      <c r="V45" s="143">
        <f>IFERROR(_xll.qlRateHelperPillarDate(N45,Trigger),"--")</f>
        <v>47420</v>
      </c>
      <c r="X45" s="4" t="str">
        <f t="shared" si="23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117</v>
      </c>
      <c r="B46" s="60" t="s">
        <v>97</v>
      </c>
      <c r="C46" s="61" t="s">
        <v>6</v>
      </c>
      <c r="D46" s="61" t="s">
        <v>158</v>
      </c>
      <c r="E46" s="61" t="s">
        <v>7</v>
      </c>
      <c r="F46" s="61" t="s">
        <v>159</v>
      </c>
      <c r="G46" s="61" t="str">
        <f t="shared" si="21"/>
        <v>GbpLibor3M</v>
      </c>
      <c r="H46" s="59" t="str">
        <f t="shared" si="22"/>
        <v>GBP3L6L11Y_LCHQuote</v>
      </c>
      <c r="I46" s="127">
        <v>0</v>
      </c>
      <c r="J46" s="64" t="str">
        <f>_xll.qlSwapRateHelper2(,$H46,0,$B46,Calendar,$D46,$E46,$F46,$G46,$I46,$C46,Discounting1,PillarDate,,Permanent,Trigger,ObjectOverwrite)</f>
        <v>obj_004db#0005</v>
      </c>
      <c r="K46" s="64" t="str">
        <f>_xll.qlSwapRateHelper2(,$H46,0,$B46,Calendar,$D46,$E46,$F46,$G46,$I46,$C46,Discounting2,PillarDate,,Permanent,Trigger,ObjectOverwrite)</f>
        <v>obj_004a1#0005</v>
      </c>
      <c r="M46" s="71" t="str">
        <f t="shared" si="18"/>
        <v>BasSw</v>
      </c>
      <c r="N46" s="141" t="str">
        <f t="shared" si="19"/>
        <v>obj_004e4#0005</v>
      </c>
      <c r="O46" s="141" t="str">
        <f t="shared" si="20"/>
        <v>obj_004e1#0005</v>
      </c>
      <c r="P46" s="149" t="str">
        <f>IFERROR(_xll.qlRateHelperQuoteName(N46,Trigger),"--")</f>
        <v>GBP3L6L15Y_LCHQuote</v>
      </c>
      <c r="Q46" s="142">
        <f>IFERROR(_xll.qlRateHelperQuoteValue($N46,Trigger),"--")</f>
        <v>1.8978249999999999E-2</v>
      </c>
      <c r="R46" s="141" t="b">
        <v>1</v>
      </c>
      <c r="S46" s="141">
        <v>10</v>
      </c>
      <c r="T46" s="141">
        <v>1</v>
      </c>
      <c r="U46" s="143">
        <f>IFERROR(_xll.qlRateHelperEarliestDate(N46,Trigger),"--")</f>
        <v>42304</v>
      </c>
      <c r="V46" s="143">
        <f>IFERROR(_xll.qlRateHelperPillarDate(N46,Trigger),"--")</f>
        <v>47784</v>
      </c>
      <c r="X46" s="4" t="str">
        <f t="shared" si="23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117</v>
      </c>
      <c r="B47" s="60" t="s">
        <v>60</v>
      </c>
      <c r="C47" s="61" t="s">
        <v>6</v>
      </c>
      <c r="D47" s="61" t="s">
        <v>158</v>
      </c>
      <c r="E47" s="61" t="s">
        <v>7</v>
      </c>
      <c r="F47" s="61" t="s">
        <v>159</v>
      </c>
      <c r="G47" s="61" t="str">
        <f t="shared" si="21"/>
        <v>GbpLibor3M</v>
      </c>
      <c r="H47" s="59" t="str">
        <f t="shared" si="22"/>
        <v>GBP3L6L12Y_LCHQuote</v>
      </c>
      <c r="I47" s="127">
        <v>0</v>
      </c>
      <c r="J47" s="64" t="str">
        <f>_xll.qlSwapRateHelper2(,$H47,0,$B47,Calendar,$D47,$E47,$F47,$G47,$I47,$C47,Discounting1,PillarDate,,Permanent,Trigger,ObjectOverwrite)</f>
        <v>obj_004d4#0005</v>
      </c>
      <c r="K47" s="64" t="str">
        <f>_xll.qlSwapRateHelper2(,$H47,0,$B47,Calendar,$D47,$E47,$F47,$G47,$I47,$C47,Discounting2,PillarDate,,Permanent,Trigger,ObjectOverwrite)</f>
        <v>obj_004ee#0005</v>
      </c>
      <c r="M47" s="71" t="str">
        <f t="shared" si="18"/>
        <v>BasSw</v>
      </c>
      <c r="N47" s="141" t="str">
        <f t="shared" si="19"/>
        <v>obj_00500#0005</v>
      </c>
      <c r="O47" s="141" t="str">
        <f t="shared" si="20"/>
        <v>obj_004c6#0005</v>
      </c>
      <c r="P47" s="149" t="str">
        <f>IFERROR(_xll.qlRateHelperQuoteName(N47,Trigger),"--")</f>
        <v>GBP3L6L16Y_LCHQuote</v>
      </c>
      <c r="Q47" s="142" t="str">
        <f>IFERROR(_xll.qlRateHelperQuoteValue($N47,Trigger),"--")</f>
        <v>--</v>
      </c>
      <c r="R47" s="141" t="b">
        <v>0</v>
      </c>
      <c r="S47" s="141">
        <v>10</v>
      </c>
      <c r="T47" s="141">
        <v>1</v>
      </c>
      <c r="U47" s="143">
        <f>IFERROR(_xll.qlRateHelperEarliestDate(N47,Trigger),"--")</f>
        <v>42304</v>
      </c>
      <c r="V47" s="143">
        <f>IFERROR(_xll.qlRateHelperPillarDate(N47,Trigger),"--")</f>
        <v>48148</v>
      </c>
      <c r="X47" s="4" t="str">
        <f t="shared" si="23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117</v>
      </c>
      <c r="B48" s="60" t="s">
        <v>98</v>
      </c>
      <c r="C48" s="61" t="s">
        <v>6</v>
      </c>
      <c r="D48" s="61" t="s">
        <v>158</v>
      </c>
      <c r="E48" s="61" t="s">
        <v>7</v>
      </c>
      <c r="F48" s="61" t="s">
        <v>159</v>
      </c>
      <c r="G48" s="61" t="str">
        <f t="shared" si="21"/>
        <v>GbpLibor3M</v>
      </c>
      <c r="H48" s="59" t="str">
        <f t="shared" si="22"/>
        <v>GBP3L6L13Y_LCHQuote</v>
      </c>
      <c r="I48" s="127">
        <v>0</v>
      </c>
      <c r="J48" s="64" t="str">
        <f>_xll.qlSwapRateHelper2(,$H48,0,$B48,Calendar,$D48,$E48,$F48,$G48,$I48,$C48,Discounting1,PillarDate,,Permanent,Trigger,ObjectOverwrite)</f>
        <v>obj_004f6#0005</v>
      </c>
      <c r="K48" s="64" t="str">
        <f>_xll.qlSwapRateHelper2(,$H48,0,$B48,Calendar,$D48,$E48,$F48,$G48,$I48,$C48,Discounting2,PillarDate,,Permanent,Trigger,ObjectOverwrite)</f>
        <v>obj_00528#0005</v>
      </c>
      <c r="M48" s="71" t="str">
        <f t="shared" si="18"/>
        <v>BasSw</v>
      </c>
      <c r="N48" s="141" t="str">
        <f t="shared" si="19"/>
        <v>obj_00512#0005</v>
      </c>
      <c r="O48" s="141" t="str">
        <f t="shared" si="20"/>
        <v>obj_004bb#0005</v>
      </c>
      <c r="P48" s="149" t="str">
        <f>IFERROR(_xll.qlRateHelperQuoteName(N48,Trigger),"--")</f>
        <v>GBP3L6L17Y_LCHQuote</v>
      </c>
      <c r="Q48" s="142" t="str">
        <f>IFERROR(_xll.qlRateHelperQuoteValue($N48,Trigger),"--")</f>
        <v>--</v>
      </c>
      <c r="R48" s="141" t="b">
        <v>0</v>
      </c>
      <c r="S48" s="141">
        <v>10</v>
      </c>
      <c r="T48" s="141">
        <v>1</v>
      </c>
      <c r="U48" s="143">
        <f>IFERROR(_xll.qlRateHelperEarliestDate(N48,Trigger),"--")</f>
        <v>42304</v>
      </c>
      <c r="V48" s="143">
        <f>IFERROR(_xll.qlRateHelperPillarDate(N48,Trigger),"--")</f>
        <v>48514</v>
      </c>
      <c r="X48" s="4" t="str">
        <f t="shared" si="23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117</v>
      </c>
      <c r="B49" s="60" t="s">
        <v>99</v>
      </c>
      <c r="C49" s="61" t="s">
        <v>6</v>
      </c>
      <c r="D49" s="61" t="s">
        <v>158</v>
      </c>
      <c r="E49" s="61" t="s">
        <v>7</v>
      </c>
      <c r="F49" s="61" t="s">
        <v>159</v>
      </c>
      <c r="G49" s="61" t="str">
        <f t="shared" si="21"/>
        <v>GbpLibor3M</v>
      </c>
      <c r="H49" s="59" t="str">
        <f t="shared" si="22"/>
        <v>GBP3L6L14Y_LCHQuote</v>
      </c>
      <c r="I49" s="127">
        <v>0</v>
      </c>
      <c r="J49" s="64" t="str">
        <f>_xll.qlSwapRateHelper2(,$H49,0,$B49,Calendar,$D49,$E49,$F49,$G49,$I49,$C49,Discounting1,PillarDate,,Permanent,Trigger,ObjectOverwrite)</f>
        <v>obj_004ed#0005</v>
      </c>
      <c r="K49" s="64" t="str">
        <f>_xll.qlSwapRateHelper2(,$H49,0,$B49,Calendar,$D49,$E49,$F49,$G49,$I49,$C49,Discounting2,PillarDate,,Permanent,Trigger,ObjectOverwrite)</f>
        <v>obj_004ef#0005</v>
      </c>
      <c r="M49" s="71" t="str">
        <f t="shared" si="18"/>
        <v>BasSw</v>
      </c>
      <c r="N49" s="141" t="str">
        <f t="shared" si="19"/>
        <v>obj_004b3#0005</v>
      </c>
      <c r="O49" s="141" t="str">
        <f t="shared" si="20"/>
        <v>obj_00511#0005</v>
      </c>
      <c r="P49" s="149" t="str">
        <f>IFERROR(_xll.qlRateHelperQuoteName(N49,Trigger),"--")</f>
        <v>GBP3L6L18Y_LCHQuote</v>
      </c>
      <c r="Q49" s="142" t="str">
        <f>IFERROR(_xll.qlRateHelperQuoteValue($N49,Trigger),"--")</f>
        <v>--</v>
      </c>
      <c r="R49" s="141" t="b">
        <v>0</v>
      </c>
      <c r="S49" s="141">
        <v>10</v>
      </c>
      <c r="T49" s="141">
        <v>1</v>
      </c>
      <c r="U49" s="143">
        <f>IFERROR(_xll.qlRateHelperEarliestDate(N49,Trigger),"--")</f>
        <v>42304</v>
      </c>
      <c r="V49" s="143">
        <f>IFERROR(_xll.qlRateHelperPillarDate(N49,Trigger),"--")</f>
        <v>48879</v>
      </c>
      <c r="X49" s="4" t="str">
        <f t="shared" si="23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117</v>
      </c>
      <c r="B50" s="60" t="s">
        <v>61</v>
      </c>
      <c r="C50" s="61" t="s">
        <v>6</v>
      </c>
      <c r="D50" s="61" t="s">
        <v>158</v>
      </c>
      <c r="E50" s="61" t="s">
        <v>7</v>
      </c>
      <c r="F50" s="61" t="s">
        <v>159</v>
      </c>
      <c r="G50" s="61" t="str">
        <f t="shared" si="21"/>
        <v>GbpLibor3M</v>
      </c>
      <c r="H50" s="59" t="str">
        <f t="shared" si="22"/>
        <v>GBP3L6L15Y_LCHQuote</v>
      </c>
      <c r="I50" s="127">
        <v>0</v>
      </c>
      <c r="J50" s="64" t="str">
        <f>_xll.qlSwapRateHelper2(,$H50,0,$B50,Calendar,$D50,$E50,$F50,$G50,$I50,$C50,Discounting1,PillarDate,,Permanent,Trigger,ObjectOverwrite)</f>
        <v>obj_004e4#0005</v>
      </c>
      <c r="K50" s="64" t="str">
        <f>_xll.qlSwapRateHelper2(,$H50,0,$B50,Calendar,$D50,$E50,$F50,$G50,$I50,$C50,Discounting2,PillarDate,,Permanent,Trigger,ObjectOverwrite)</f>
        <v>obj_004e1#0005</v>
      </c>
      <c r="M50" s="71" t="str">
        <f t="shared" si="18"/>
        <v>BasSw</v>
      </c>
      <c r="N50" s="141" t="str">
        <f t="shared" si="19"/>
        <v>obj_00523#0005</v>
      </c>
      <c r="O50" s="141" t="str">
        <f t="shared" si="20"/>
        <v>obj_004ce#0005</v>
      </c>
      <c r="P50" s="149" t="str">
        <f>IFERROR(_xll.qlRateHelperQuoteName(N50,Trigger),"--")</f>
        <v>GBP3L6L19Y_LCHQuote</v>
      </c>
      <c r="Q50" s="142" t="str">
        <f>IFERROR(_xll.qlRateHelperQuoteValue($N50,Trigger),"--")</f>
        <v>--</v>
      </c>
      <c r="R50" s="141" t="b">
        <v>0</v>
      </c>
      <c r="S50" s="141">
        <v>10</v>
      </c>
      <c r="T50" s="141">
        <v>1</v>
      </c>
      <c r="U50" s="143">
        <f>IFERROR(_xll.qlRateHelperEarliestDate(N50,Trigger),"--")</f>
        <v>42304</v>
      </c>
      <c r="V50" s="143">
        <f>IFERROR(_xll.qlRateHelperPillarDate(N50,Trigger),"--")</f>
        <v>49244</v>
      </c>
      <c r="X50" s="4" t="str">
        <f t="shared" si="23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117</v>
      </c>
      <c r="B51" s="60" t="s">
        <v>100</v>
      </c>
      <c r="C51" s="61" t="s">
        <v>6</v>
      </c>
      <c r="D51" s="61" t="s">
        <v>158</v>
      </c>
      <c r="E51" s="61" t="s">
        <v>7</v>
      </c>
      <c r="F51" s="61" t="s">
        <v>159</v>
      </c>
      <c r="G51" s="61" t="str">
        <f t="shared" si="21"/>
        <v>GbpLibor3M</v>
      </c>
      <c r="H51" s="59" t="str">
        <f t="shared" si="22"/>
        <v>GBP3L6L16Y_LCHQuote</v>
      </c>
      <c r="I51" s="127">
        <v>0</v>
      </c>
      <c r="J51" s="64" t="str">
        <f>_xll.qlSwapRateHelper2(,$H51,0,$B51,Calendar,$D51,$E51,$F51,$G51,$I51,$C51,Discounting1,PillarDate,,Permanent,Trigger,ObjectOverwrite)</f>
        <v>obj_00500#0005</v>
      </c>
      <c r="K51" s="64" t="str">
        <f>_xll.qlSwapRateHelper2(,$H51,0,$B51,Calendar,$D51,$E51,$F51,$G51,$I51,$C51,Discounting2,PillarDate,,Permanent,Trigger,ObjectOverwrite)</f>
        <v>obj_004c6#0005</v>
      </c>
      <c r="M51" s="71" t="str">
        <f t="shared" si="18"/>
        <v>BasSw</v>
      </c>
      <c r="N51" s="141" t="str">
        <f t="shared" si="19"/>
        <v>obj_0050b#0005</v>
      </c>
      <c r="O51" s="141" t="str">
        <f t="shared" si="20"/>
        <v>obj_004a0#0005</v>
      </c>
      <c r="P51" s="149" t="str">
        <f>IFERROR(_xll.qlRateHelperQuoteName(N51,Trigger),"--")</f>
        <v>GBP3L6L20Y_LCHQuote</v>
      </c>
      <c r="Q51" s="142">
        <f>IFERROR(_xll.qlRateHelperQuoteValue($N51,Trigger),"--")</f>
        <v>1.9865000000000001E-2</v>
      </c>
      <c r="R51" s="141" t="b">
        <v>1</v>
      </c>
      <c r="S51" s="141">
        <v>10</v>
      </c>
      <c r="T51" s="141">
        <v>1</v>
      </c>
      <c r="U51" s="143">
        <f>IFERROR(_xll.qlRateHelperEarliestDate(N51,Trigger),"--")</f>
        <v>42304</v>
      </c>
      <c r="V51" s="143">
        <f>IFERROR(_xll.qlRateHelperPillarDate(N51,Trigger),"--")</f>
        <v>49611</v>
      </c>
      <c r="X51" s="4" t="str">
        <f t="shared" si="23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117</v>
      </c>
      <c r="B52" s="60" t="s">
        <v>101</v>
      </c>
      <c r="C52" s="61" t="s">
        <v>6</v>
      </c>
      <c r="D52" s="61" t="s">
        <v>158</v>
      </c>
      <c r="E52" s="61" t="s">
        <v>7</v>
      </c>
      <c r="F52" s="61" t="s">
        <v>159</v>
      </c>
      <c r="G52" s="61" t="str">
        <f t="shared" si="21"/>
        <v>GbpLibor3M</v>
      </c>
      <c r="H52" s="59" t="str">
        <f t="shared" si="22"/>
        <v>GBP3L6L17Y_LCHQuote</v>
      </c>
      <c r="I52" s="127">
        <v>0</v>
      </c>
      <c r="J52" s="64" t="str">
        <f>_xll.qlSwapRateHelper2(,$H52,0,$B52,Calendar,$D52,$E52,$F52,$G52,$I52,$C52,Discounting1,PillarDate,,Permanent,Trigger,ObjectOverwrite)</f>
        <v>obj_00512#0005</v>
      </c>
      <c r="K52" s="64" t="str">
        <f>_xll.qlSwapRateHelper2(,$H52,0,$B52,Calendar,$D52,$E52,$F52,$G52,$I52,$C52,Discounting2,PillarDate,,Permanent,Trigger,ObjectOverwrite)</f>
        <v>obj_004bb#0005</v>
      </c>
      <c r="M52" s="71" t="str">
        <f t="shared" si="18"/>
        <v>BasSw</v>
      </c>
      <c r="N52" s="141" t="str">
        <f t="shared" si="19"/>
        <v>obj_00516#0005</v>
      </c>
      <c r="O52" s="141" t="str">
        <f t="shared" si="20"/>
        <v>obj_004d9#0005</v>
      </c>
      <c r="P52" s="149" t="str">
        <f>IFERROR(_xll.qlRateHelperQuoteName(N52,Trigger),"--")</f>
        <v>GBP3L6L21Y_LCHQuote</v>
      </c>
      <c r="Q52" s="142" t="str">
        <f>IFERROR(_xll.qlRateHelperQuoteValue($N52,Trigger),"--")</f>
        <v>--</v>
      </c>
      <c r="R52" s="141" t="b">
        <v>0</v>
      </c>
      <c r="S52" s="141">
        <v>10</v>
      </c>
      <c r="T52" s="141">
        <v>1</v>
      </c>
      <c r="U52" s="143">
        <f>IFERROR(_xll.qlRateHelperEarliestDate(N52,Trigger),"--")</f>
        <v>42304</v>
      </c>
      <c r="V52" s="143">
        <f>IFERROR(_xll.qlRateHelperPillarDate(N52,Trigger),"--")</f>
        <v>49975</v>
      </c>
      <c r="X52" s="4" t="str">
        <f t="shared" si="23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169" t="e">
        <v>#N/A</v>
      </c>
      <c r="AI52" s="170" t="e">
        <v>#N/A</v>
      </c>
      <c r="AJ52" s="172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117</v>
      </c>
      <c r="B53" s="60" t="s">
        <v>102</v>
      </c>
      <c r="C53" s="61" t="s">
        <v>6</v>
      </c>
      <c r="D53" s="61" t="s">
        <v>158</v>
      </c>
      <c r="E53" s="61" t="s">
        <v>7</v>
      </c>
      <c r="F53" s="61" t="s">
        <v>159</v>
      </c>
      <c r="G53" s="61" t="str">
        <f t="shared" si="21"/>
        <v>GbpLibor3M</v>
      </c>
      <c r="H53" s="59" t="str">
        <f t="shared" si="22"/>
        <v>GBP3L6L18Y_LCHQuote</v>
      </c>
      <c r="I53" s="127">
        <v>0</v>
      </c>
      <c r="J53" s="64" t="str">
        <f>_xll.qlSwapRateHelper2(,$H53,0,$B53,Calendar,$D53,$E53,$F53,$G53,$I53,$C53,Discounting1,PillarDate,,Permanent,Trigger,ObjectOverwrite)</f>
        <v>obj_004b3#0005</v>
      </c>
      <c r="K53" s="64" t="str">
        <f>_xll.qlSwapRateHelper2(,$H53,0,$B53,Calendar,$D53,$E53,$F53,$G53,$I53,$C53,Discounting2,PillarDate,,Permanent,Trigger,ObjectOverwrite)</f>
        <v>obj_00511#0005</v>
      </c>
      <c r="M53" s="71" t="str">
        <f t="shared" si="18"/>
        <v>BasSw</v>
      </c>
      <c r="N53" s="141" t="str">
        <f t="shared" si="19"/>
        <v>obj_0051b#0005</v>
      </c>
      <c r="O53" s="141" t="str">
        <f t="shared" si="20"/>
        <v>obj_004a7#0005</v>
      </c>
      <c r="P53" s="149" t="str">
        <f>IFERROR(_xll.qlRateHelperQuoteName(N53,Trigger),"--")</f>
        <v>GBP3L6L22Y_LCHQuote</v>
      </c>
      <c r="Q53" s="142" t="str">
        <f>IFERROR(_xll.qlRateHelperQuoteValue($N53,Trigger),"--")</f>
        <v>--</v>
      </c>
      <c r="R53" s="141" t="b">
        <v>0</v>
      </c>
      <c r="S53" s="141">
        <v>10</v>
      </c>
      <c r="T53" s="141">
        <v>1</v>
      </c>
      <c r="U53" s="143">
        <f>IFERROR(_xll.qlRateHelperEarliestDate(N53,Trigger),"--")</f>
        <v>42304</v>
      </c>
      <c r="V53" s="143">
        <f>IFERROR(_xll.qlRateHelperPillarDate(N53,Trigger),"--")</f>
        <v>50340</v>
      </c>
      <c r="X53" s="4" t="str">
        <f t="shared" si="23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169" t="e">
        <v>#N/A</v>
      </c>
      <c r="AI53" s="170" t="e">
        <v>#N/A</v>
      </c>
      <c r="AJ53" s="172" t="e">
        <f t="shared" si="1"/>
        <v>#N/A</v>
      </c>
      <c r="AK53" s="80" t="e">
        <v>#N/A</v>
      </c>
      <c r="AL53" s="161" t="e">
        <f t="shared" si="2"/>
        <v>#N/A</v>
      </c>
    </row>
    <row r="54" spans="1:38" ht="11.25" customHeight="1" x14ac:dyDescent="0.2">
      <c r="A54" s="59" t="s">
        <v>117</v>
      </c>
      <c r="B54" s="60" t="s">
        <v>103</v>
      </c>
      <c r="C54" s="61" t="s">
        <v>6</v>
      </c>
      <c r="D54" s="61" t="s">
        <v>158</v>
      </c>
      <c r="E54" s="61" t="s">
        <v>7</v>
      </c>
      <c r="F54" s="61" t="s">
        <v>159</v>
      </c>
      <c r="G54" s="61" t="str">
        <f t="shared" si="21"/>
        <v>GbpLibor3M</v>
      </c>
      <c r="H54" s="59" t="str">
        <f t="shared" si="22"/>
        <v>GBP3L6L19Y_LCHQuote</v>
      </c>
      <c r="I54" s="127">
        <v>0</v>
      </c>
      <c r="J54" s="64" t="str">
        <f>_xll.qlSwapRateHelper2(,$H54,0,$B54,Calendar,$D54,$E54,$F54,$G54,$I54,$C54,Discounting1,PillarDate,,Permanent,Trigger,ObjectOverwrite)</f>
        <v>obj_00523#0005</v>
      </c>
      <c r="K54" s="64" t="str">
        <f>_xll.qlSwapRateHelper2(,$H54,0,$B54,Calendar,$D54,$E54,$F54,$G54,$I54,$C54,Discounting2,PillarDate,,Permanent,Trigger,ObjectOverwrite)</f>
        <v>obj_004ce#0005</v>
      </c>
      <c r="M54" s="71" t="str">
        <f t="shared" si="18"/>
        <v>BasSw</v>
      </c>
      <c r="N54" s="141" t="str">
        <f t="shared" si="19"/>
        <v>obj_004a8#0005</v>
      </c>
      <c r="O54" s="141" t="str">
        <f t="shared" si="20"/>
        <v>obj_004fe#0005</v>
      </c>
      <c r="P54" s="149" t="str">
        <f>IFERROR(_xll.qlRateHelperQuoteName(N54,Trigger),"--")</f>
        <v>GBP3L6L23Y_LCHQuote</v>
      </c>
      <c r="Q54" s="142" t="str">
        <f>IFERROR(_xll.qlRateHelperQuoteValue($N54,Trigger),"--")</f>
        <v>--</v>
      </c>
      <c r="R54" s="141" t="b">
        <v>0</v>
      </c>
      <c r="S54" s="141">
        <v>10</v>
      </c>
      <c r="T54" s="141">
        <v>1</v>
      </c>
      <c r="U54" s="143">
        <f>IFERROR(_xll.qlRateHelperEarliestDate(N54,Trigger),"--")</f>
        <v>42304</v>
      </c>
      <c r="V54" s="143">
        <f>IFERROR(_xll.qlRateHelperPillarDate(N54,Trigger),"--")</f>
        <v>50705</v>
      </c>
      <c r="X54" s="4" t="str">
        <f t="shared" si="23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169" t="e">
        <v>#N/A</v>
      </c>
      <c r="AI54" s="170" t="e">
        <v>#N/A</v>
      </c>
      <c r="AJ54" s="172" t="e">
        <f t="shared" si="1"/>
        <v>#N/A</v>
      </c>
      <c r="AK54" s="80" t="e">
        <v>#N/A</v>
      </c>
      <c r="AL54" s="161" t="e">
        <f t="shared" si="2"/>
        <v>#N/A</v>
      </c>
    </row>
    <row r="55" spans="1:38" ht="11.25" customHeight="1" x14ac:dyDescent="0.2">
      <c r="A55" s="59" t="s">
        <v>117</v>
      </c>
      <c r="B55" s="60" t="s">
        <v>62</v>
      </c>
      <c r="C55" s="61" t="s">
        <v>6</v>
      </c>
      <c r="D55" s="61" t="s">
        <v>158</v>
      </c>
      <c r="E55" s="61" t="s">
        <v>7</v>
      </c>
      <c r="F55" s="61" t="s">
        <v>159</v>
      </c>
      <c r="G55" s="61" t="str">
        <f t="shared" si="21"/>
        <v>GbpLibor3M</v>
      </c>
      <c r="H55" s="59" t="str">
        <f t="shared" si="22"/>
        <v>GBP3L6L20Y_LCHQuote</v>
      </c>
      <c r="I55" s="127">
        <v>0</v>
      </c>
      <c r="J55" s="64" t="str">
        <f>_xll.qlSwapRateHelper2(,$H55,0,$B55,Calendar,$D55,$E55,$F55,$G55,$I55,$C55,Discounting1,PillarDate,,Permanent,Trigger,ObjectOverwrite)</f>
        <v>obj_0050b#0005</v>
      </c>
      <c r="K55" s="64" t="str">
        <f>_xll.qlSwapRateHelper2(,$H55,0,$B55,Calendar,$D55,$E55,$F55,$G55,$I55,$C55,Discounting2,PillarDate,,Permanent,Trigger,ObjectOverwrite)</f>
        <v>obj_004a0#0005</v>
      </c>
      <c r="M55" s="71" t="str">
        <f t="shared" si="18"/>
        <v>BasSw</v>
      </c>
      <c r="N55" s="141" t="str">
        <f t="shared" si="19"/>
        <v>obj_004be#0005</v>
      </c>
      <c r="O55" s="141" t="str">
        <f t="shared" si="20"/>
        <v>obj_00517#0005</v>
      </c>
      <c r="P55" s="149" t="str">
        <f>IFERROR(_xll.qlRateHelperQuoteName(N55,Trigger),"--")</f>
        <v>GBP3L6L24Y_LCHQuote</v>
      </c>
      <c r="Q55" s="142" t="str">
        <f>IFERROR(_xll.qlRateHelperQuoteValue($N55,Trigger),"--")</f>
        <v>--</v>
      </c>
      <c r="R55" s="141" t="b">
        <v>0</v>
      </c>
      <c r="S55" s="141">
        <v>10</v>
      </c>
      <c r="T55" s="141">
        <v>1</v>
      </c>
      <c r="U55" s="143">
        <f>IFERROR(_xll.qlRateHelperEarliestDate(N55,Trigger),"--")</f>
        <v>42304</v>
      </c>
      <c r="V55" s="143">
        <f>IFERROR(_xll.qlRateHelperPillarDate(N55,Trigger),"--")</f>
        <v>51070</v>
      </c>
      <c r="X55" s="4" t="str">
        <f t="shared" si="23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169" t="e">
        <v>#N/A</v>
      </c>
      <c r="AI55" s="170" t="e">
        <v>#N/A</v>
      </c>
      <c r="AJ55" s="172" t="e">
        <f t="shared" si="1"/>
        <v>#N/A</v>
      </c>
      <c r="AK55" s="80" t="e">
        <v>#N/A</v>
      </c>
      <c r="AL55" s="161" t="e">
        <f t="shared" si="2"/>
        <v>#N/A</v>
      </c>
    </row>
    <row r="56" spans="1:38" ht="11.25" customHeight="1" x14ac:dyDescent="0.2">
      <c r="A56" s="59" t="s">
        <v>117</v>
      </c>
      <c r="B56" s="60" t="s">
        <v>104</v>
      </c>
      <c r="C56" s="61" t="s">
        <v>6</v>
      </c>
      <c r="D56" s="61" t="s">
        <v>158</v>
      </c>
      <c r="E56" s="61" t="s">
        <v>7</v>
      </c>
      <c r="F56" s="61" t="s">
        <v>159</v>
      </c>
      <c r="G56" s="61" t="str">
        <f t="shared" si="21"/>
        <v>GbpLibor3M</v>
      </c>
      <c r="H56" s="59" t="str">
        <f t="shared" si="22"/>
        <v>GBP3L6L21Y_LCHQuote</v>
      </c>
      <c r="I56" s="127">
        <v>0</v>
      </c>
      <c r="J56" s="64" t="str">
        <f>_xll.qlSwapRateHelper2(,$H56,0,$B56,Calendar,$D56,$E56,$F56,$G56,$I56,$C56,Discounting1,PillarDate,,Permanent,Trigger,ObjectOverwrite)</f>
        <v>obj_00516#0005</v>
      </c>
      <c r="K56" s="64" t="str">
        <f>_xll.qlSwapRateHelper2(,$H56,0,$B56,Calendar,$D56,$E56,$F56,$G56,$I56,$C56,Discounting2,PillarDate,,Permanent,Trigger,ObjectOverwrite)</f>
        <v>obj_004d9#0005</v>
      </c>
      <c r="M56" s="71" t="str">
        <f t="shared" si="18"/>
        <v>BasSw</v>
      </c>
      <c r="N56" s="141" t="str">
        <f t="shared" si="19"/>
        <v>obj_004a2#0005</v>
      </c>
      <c r="O56" s="141" t="str">
        <f t="shared" si="20"/>
        <v>obj_004f0#0005</v>
      </c>
      <c r="P56" s="149" t="str">
        <f>IFERROR(_xll.qlRateHelperQuoteName(N56,Trigger),"--")</f>
        <v>GBP3L6L25Y_LCHQuote</v>
      </c>
      <c r="Q56" s="142">
        <f>IFERROR(_xll.qlRateHelperQuoteValue($N56,Trigger),"--")</f>
        <v>2.0050999999999999E-2</v>
      </c>
      <c r="R56" s="141" t="b">
        <v>1</v>
      </c>
      <c r="S56" s="141">
        <v>10</v>
      </c>
      <c r="T56" s="141">
        <v>1</v>
      </c>
      <c r="U56" s="143">
        <f>IFERROR(_xll.qlRateHelperEarliestDate(N56,Trigger),"--")</f>
        <v>42304</v>
      </c>
      <c r="V56" s="143">
        <f>IFERROR(_xll.qlRateHelperPillarDate(N56,Trigger),"--")</f>
        <v>51438</v>
      </c>
      <c r="X56" s="4" t="str">
        <f t="shared" si="23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169" t="e">
        <v>#N/A</v>
      </c>
      <c r="AI56" s="170" t="e">
        <v>#N/A</v>
      </c>
      <c r="AJ56" s="172" t="e">
        <f t="shared" si="1"/>
        <v>#N/A</v>
      </c>
      <c r="AK56" s="80" t="e">
        <v>#N/A</v>
      </c>
      <c r="AL56" s="161" t="e">
        <f t="shared" si="2"/>
        <v>#N/A</v>
      </c>
    </row>
    <row r="57" spans="1:38" ht="11.25" customHeight="1" x14ac:dyDescent="0.2">
      <c r="A57" s="59" t="s">
        <v>117</v>
      </c>
      <c r="B57" s="60" t="s">
        <v>105</v>
      </c>
      <c r="C57" s="61" t="s">
        <v>6</v>
      </c>
      <c r="D57" s="61" t="s">
        <v>158</v>
      </c>
      <c r="E57" s="61" t="s">
        <v>7</v>
      </c>
      <c r="F57" s="61" t="s">
        <v>159</v>
      </c>
      <c r="G57" s="61" t="str">
        <f t="shared" si="21"/>
        <v>GbpLibor3M</v>
      </c>
      <c r="H57" s="59" t="str">
        <f t="shared" si="22"/>
        <v>GBP3L6L22Y_LCHQuote</v>
      </c>
      <c r="I57" s="127">
        <v>0</v>
      </c>
      <c r="J57" s="64" t="str">
        <f>_xll.qlSwapRateHelper2(,$H57,0,$B57,Calendar,$D57,$E57,$F57,$G57,$I57,$C57,Discounting1,PillarDate,,Permanent,Trigger,ObjectOverwrite)</f>
        <v>obj_0051b#0005</v>
      </c>
      <c r="K57" s="64" t="str">
        <f>_xll.qlSwapRateHelper2(,$H57,0,$B57,Calendar,$D57,$E57,$F57,$G57,$I57,$C57,Discounting2,PillarDate,,Permanent,Trigger,ObjectOverwrite)</f>
        <v>obj_004a7#0005</v>
      </c>
      <c r="M57" s="71" t="str">
        <f t="shared" si="18"/>
        <v>BasSw</v>
      </c>
      <c r="N57" s="141" t="str">
        <f t="shared" si="19"/>
        <v>obj_004bc#0005</v>
      </c>
      <c r="O57" s="141" t="str">
        <f t="shared" si="20"/>
        <v>obj_00513#0005</v>
      </c>
      <c r="P57" s="149" t="str">
        <f>IFERROR(_xll.qlRateHelperQuoteName(N57,Trigger),"--")</f>
        <v>GBP3L6L26Y_LCHQuote</v>
      </c>
      <c r="Q57" s="142" t="str">
        <f>IFERROR(_xll.qlRateHelperQuoteValue($N57,Trigger),"--")</f>
        <v>--</v>
      </c>
      <c r="R57" s="141" t="b">
        <v>0</v>
      </c>
      <c r="S57" s="141">
        <v>10</v>
      </c>
      <c r="T57" s="141">
        <v>1</v>
      </c>
      <c r="U57" s="143">
        <f>IFERROR(_xll.qlRateHelperEarliestDate(N57,Trigger),"--")</f>
        <v>42304</v>
      </c>
      <c r="V57" s="143">
        <f>IFERROR(_xll.qlRateHelperPillarDate(N57,Trigger),"--")</f>
        <v>51802</v>
      </c>
      <c r="X57" s="4" t="str">
        <f t="shared" si="23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169" t="e">
        <v>#N/A</v>
      </c>
      <c r="AI57" s="170" t="e">
        <v>#N/A</v>
      </c>
      <c r="AJ57" s="172" t="e">
        <f t="shared" si="1"/>
        <v>#N/A</v>
      </c>
      <c r="AK57" s="80" t="e">
        <v>#N/A</v>
      </c>
      <c r="AL57" s="161" t="e">
        <f t="shared" si="2"/>
        <v>#N/A</v>
      </c>
    </row>
    <row r="58" spans="1:38" ht="11.25" customHeight="1" x14ac:dyDescent="0.2">
      <c r="A58" s="59" t="s">
        <v>117</v>
      </c>
      <c r="B58" s="60" t="s">
        <v>106</v>
      </c>
      <c r="C58" s="61" t="s">
        <v>6</v>
      </c>
      <c r="D58" s="61" t="s">
        <v>158</v>
      </c>
      <c r="E58" s="61" t="s">
        <v>7</v>
      </c>
      <c r="F58" s="61" t="s">
        <v>159</v>
      </c>
      <c r="G58" s="61" t="str">
        <f t="shared" si="21"/>
        <v>GbpLibor3M</v>
      </c>
      <c r="H58" s="59" t="str">
        <f t="shared" si="22"/>
        <v>GBP3L6L23Y_LCHQuote</v>
      </c>
      <c r="I58" s="127">
        <v>0</v>
      </c>
      <c r="J58" s="64" t="str">
        <f>_xll.qlSwapRateHelper2(,$H58,0,$B58,Calendar,$D58,$E58,$F58,$G58,$I58,$C58,Discounting1,PillarDate,,Permanent,Trigger,ObjectOverwrite)</f>
        <v>obj_004a8#0005</v>
      </c>
      <c r="K58" s="64" t="str">
        <f>_xll.qlSwapRateHelper2(,$H58,0,$B58,Calendar,$D58,$E58,$F58,$G58,$I58,$C58,Discounting2,PillarDate,,Permanent,Trigger,ObjectOverwrite)</f>
        <v>obj_004fe#0005</v>
      </c>
      <c r="M58" s="71" t="str">
        <f t="shared" si="18"/>
        <v>BasSw</v>
      </c>
      <c r="N58" s="141" t="str">
        <f t="shared" si="19"/>
        <v>obj_004d3#0005</v>
      </c>
      <c r="O58" s="141" t="str">
        <f t="shared" si="20"/>
        <v>obj_004da#0005</v>
      </c>
      <c r="P58" s="149" t="str">
        <f>IFERROR(_xll.qlRateHelperQuoteName(N58,Trigger),"--")</f>
        <v>GBP3L6L27Y_LCHQuote</v>
      </c>
      <c r="Q58" s="142" t="str">
        <f>IFERROR(_xll.qlRateHelperQuoteValue($N58,Trigger),"--")</f>
        <v>--</v>
      </c>
      <c r="R58" s="141" t="b">
        <v>0</v>
      </c>
      <c r="S58" s="141">
        <v>10</v>
      </c>
      <c r="T58" s="141">
        <v>1</v>
      </c>
      <c r="U58" s="143">
        <f>IFERROR(_xll.qlRateHelperEarliestDate(N58,Trigger),"--")</f>
        <v>42304</v>
      </c>
      <c r="V58" s="143">
        <f>IFERROR(_xll.qlRateHelperPillarDate(N58,Trigger),"--")</f>
        <v>52166</v>
      </c>
      <c r="X58" s="4" t="str">
        <f t="shared" si="23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169" t="e">
        <v>#N/A</v>
      </c>
      <c r="AI58" s="170" t="e">
        <v>#N/A</v>
      </c>
      <c r="AJ58" s="172" t="e">
        <f t="shared" si="1"/>
        <v>#N/A</v>
      </c>
      <c r="AK58" s="80" t="e">
        <v>#N/A</v>
      </c>
      <c r="AL58" s="161" t="e">
        <f t="shared" si="2"/>
        <v>#N/A</v>
      </c>
    </row>
    <row r="59" spans="1:38" ht="11.25" customHeight="1" x14ac:dyDescent="0.2">
      <c r="A59" s="59" t="s">
        <v>117</v>
      </c>
      <c r="B59" s="60" t="s">
        <v>107</v>
      </c>
      <c r="C59" s="61" t="s">
        <v>6</v>
      </c>
      <c r="D59" s="61" t="s">
        <v>158</v>
      </c>
      <c r="E59" s="61" t="s">
        <v>7</v>
      </c>
      <c r="F59" s="61" t="s">
        <v>159</v>
      </c>
      <c r="G59" s="61" t="str">
        <f t="shared" si="21"/>
        <v>GbpLibor3M</v>
      </c>
      <c r="H59" s="59" t="str">
        <f t="shared" si="22"/>
        <v>GBP3L6L24Y_LCHQuote</v>
      </c>
      <c r="I59" s="127">
        <v>0</v>
      </c>
      <c r="J59" s="64" t="str">
        <f>_xll.qlSwapRateHelper2(,$H59,0,$B59,Calendar,$D59,$E59,$F59,$G59,$I59,$C59,Discounting1,PillarDate,,Permanent,Trigger,ObjectOverwrite)</f>
        <v>obj_004be#0005</v>
      </c>
      <c r="K59" s="64" t="str">
        <f>_xll.qlSwapRateHelper2(,$H59,0,$B59,Calendar,$D59,$E59,$F59,$G59,$I59,$C59,Discounting2,PillarDate,,Permanent,Trigger,ObjectOverwrite)</f>
        <v>obj_00517#0005</v>
      </c>
      <c r="M59" s="71" t="str">
        <f t="shared" si="18"/>
        <v>BasSw</v>
      </c>
      <c r="N59" s="141" t="str">
        <f t="shared" si="19"/>
        <v>obj_004a6#0005</v>
      </c>
      <c r="O59" s="141" t="str">
        <f t="shared" si="20"/>
        <v>obj_004f8#0005</v>
      </c>
      <c r="P59" s="149" t="str">
        <f>IFERROR(_xll.qlRateHelperQuoteName(N59,Trigger),"--")</f>
        <v>GBP3L6L28Y_LCHQuote</v>
      </c>
      <c r="Q59" s="142" t="str">
        <f>IFERROR(_xll.qlRateHelperQuoteValue($N59,Trigger),"--")</f>
        <v>--</v>
      </c>
      <c r="R59" s="141" t="b">
        <v>0</v>
      </c>
      <c r="S59" s="141">
        <v>10</v>
      </c>
      <c r="T59" s="141">
        <v>1</v>
      </c>
      <c r="U59" s="143">
        <f>IFERROR(_xll.qlRateHelperEarliestDate(N59,Trigger),"--")</f>
        <v>42304</v>
      </c>
      <c r="V59" s="143">
        <f>IFERROR(_xll.qlRateHelperPillarDate(N59,Trigger),"--")</f>
        <v>52531</v>
      </c>
      <c r="X59" s="4" t="str">
        <f t="shared" si="23"/>
        <v/>
      </c>
      <c r="Y59" s="4" t="e">
        <v>#N/A</v>
      </c>
      <c r="Z59" s="4" t="e">
        <v>#N/A</v>
      </c>
      <c r="AA59" s="4" t="str">
        <f>IFERROR(_xll.qlRateHelperQuoteName(Y59,Trigger),"")</f>
        <v/>
      </c>
      <c r="AB59" s="70" t="str">
        <f>IFERROR(_xll.qlRateHelperRate(Y59,Trigger),"")</f>
        <v/>
      </c>
      <c r="AC59" s="104" t="str">
        <f>IF(ISERROR(_xll.qlSwapRateHelperSpread($Y59)),IF(ISERROR(_xll.qlFuturesRateHelperConvexityAdjustment($Y59)),"",_xll.qlFuturesRateHelperConvexityAdjustment($Y59)),_xll.qlSwapRateHelperSpread($Y59))</f>
        <v/>
      </c>
      <c r="AD59" s="5" t="str">
        <f>IFERROR(_xll.qlRateHelperEarliestDate(Y59,Trigger),"")</f>
        <v/>
      </c>
      <c r="AE59" s="5" t="str">
        <f>IFERROR(_xll.qlRateHelperPillarDate(Y59,Trigger),"")</f>
        <v/>
      </c>
      <c r="AF59" s="70" t="e">
        <v>#N/A</v>
      </c>
      <c r="AG59" s="77" t="e">
        <v>#N/A</v>
      </c>
      <c r="AH59" s="169" t="e">
        <v>#N/A</v>
      </c>
      <c r="AI59" s="170" t="e">
        <v>#N/A</v>
      </c>
      <c r="AJ59" s="172" t="e">
        <f t="shared" si="1"/>
        <v>#N/A</v>
      </c>
      <c r="AK59" s="80" t="e">
        <v>#N/A</v>
      </c>
      <c r="AL59" s="161" t="e">
        <f t="shared" si="2"/>
        <v>#N/A</v>
      </c>
    </row>
    <row r="60" spans="1:38" ht="11.25" customHeight="1" x14ac:dyDescent="0.2">
      <c r="A60" s="59" t="s">
        <v>117</v>
      </c>
      <c r="B60" s="60" t="s">
        <v>63</v>
      </c>
      <c r="C60" s="61" t="s">
        <v>6</v>
      </c>
      <c r="D60" s="61" t="s">
        <v>158</v>
      </c>
      <c r="E60" s="61" t="s">
        <v>7</v>
      </c>
      <c r="F60" s="61" t="s">
        <v>159</v>
      </c>
      <c r="G60" s="61" t="str">
        <f t="shared" si="21"/>
        <v>GbpLibor3M</v>
      </c>
      <c r="H60" s="59" t="str">
        <f t="shared" si="22"/>
        <v>GBP3L6L25Y_LCHQuote</v>
      </c>
      <c r="I60" s="127">
        <v>0</v>
      </c>
      <c r="J60" s="64" t="str">
        <f>_xll.qlSwapRateHelper2(,$H60,0,$B60,Calendar,$D60,$E60,$F60,$G60,$I60,$C60,Discounting1,PillarDate,,Permanent,Trigger,ObjectOverwrite)</f>
        <v>obj_004a2#0005</v>
      </c>
      <c r="K60" s="64" t="str">
        <f>_xll.qlSwapRateHelper2(,$H60,0,$B60,Calendar,$D60,$E60,$F60,$G60,$I60,$C60,Discounting2,PillarDate,,Permanent,Trigger,ObjectOverwrite)</f>
        <v>obj_004f0#0005</v>
      </c>
      <c r="M60" s="71" t="str">
        <f t="shared" si="18"/>
        <v>BasSw</v>
      </c>
      <c r="N60" s="141" t="str">
        <f t="shared" si="19"/>
        <v>obj_004b2#0005</v>
      </c>
      <c r="O60" s="141" t="str">
        <f t="shared" si="20"/>
        <v>obj_00521#0005</v>
      </c>
      <c r="P60" s="149" t="str">
        <f>IFERROR(_xll.qlRateHelperQuoteName(N60,Trigger),"--")</f>
        <v>GBP3L6L29Y_LCHQuote</v>
      </c>
      <c r="Q60" s="142" t="str">
        <f>IFERROR(_xll.qlRateHelperQuoteValue($N60,Trigger),"--")</f>
        <v>--</v>
      </c>
      <c r="R60" s="141" t="b">
        <v>0</v>
      </c>
      <c r="S60" s="141">
        <v>10</v>
      </c>
      <c r="T60" s="141">
        <v>1</v>
      </c>
      <c r="U60" s="143">
        <f>IFERROR(_xll.qlRateHelperEarliestDate(N60,Trigger),"--")</f>
        <v>42304</v>
      </c>
      <c r="V60" s="143">
        <f>IFERROR(_xll.qlRateHelperPillarDate(N60,Trigger),"--")</f>
        <v>52897</v>
      </c>
      <c r="X60" s="4" t="str">
        <f t="shared" si="23"/>
        <v/>
      </c>
      <c r="Y60" s="4" t="e">
        <v>#N/A</v>
      </c>
      <c r="Z60" s="4" t="e">
        <v>#N/A</v>
      </c>
      <c r="AA60" s="4" t="str">
        <f>IFERROR(_xll.qlRateHelperQuoteName(Y60,Trigger),"")</f>
        <v/>
      </c>
      <c r="AB60" s="70" t="str">
        <f>IFERROR(_xll.qlRateHelperRate(Y60,Trigger),"")</f>
        <v/>
      </c>
      <c r="AC60" s="104" t="str">
        <f>IF(ISERROR(_xll.qlSwapRateHelperSpread($Y60)),IF(ISERROR(_xll.qlFuturesRateHelperConvexityAdjustment($Y60)),"",_xll.qlFuturesRateHelperConvexityAdjustment($Y60)),_xll.qlSwapRateHelperSpread($Y60))</f>
        <v/>
      </c>
      <c r="AD60" s="5" t="str">
        <f>IFERROR(_xll.qlRateHelperEarliestDate(Y60,Trigger),"")</f>
        <v/>
      </c>
      <c r="AE60" s="5" t="str">
        <f>IFERROR(_xll.qlRateHelperPillarDate(Y60,Trigger),"")</f>
        <v/>
      </c>
      <c r="AF60" s="70" t="e">
        <v>#N/A</v>
      </c>
      <c r="AG60" s="77" t="e">
        <v>#N/A</v>
      </c>
      <c r="AH60" s="169" t="e">
        <v>#N/A</v>
      </c>
      <c r="AI60" s="170" t="e">
        <v>#N/A</v>
      </c>
      <c r="AJ60" s="172" t="e">
        <f t="shared" si="1"/>
        <v>#N/A</v>
      </c>
      <c r="AK60" s="80" t="e">
        <v>#N/A</v>
      </c>
      <c r="AL60" s="161" t="e">
        <f t="shared" si="2"/>
        <v>#N/A</v>
      </c>
    </row>
    <row r="61" spans="1:38" ht="11.25" customHeight="1" x14ac:dyDescent="0.2">
      <c r="A61" s="59" t="s">
        <v>117</v>
      </c>
      <c r="B61" s="60" t="s">
        <v>108</v>
      </c>
      <c r="C61" s="61" t="s">
        <v>6</v>
      </c>
      <c r="D61" s="61" t="s">
        <v>158</v>
      </c>
      <c r="E61" s="61" t="s">
        <v>7</v>
      </c>
      <c r="F61" s="61" t="s">
        <v>159</v>
      </c>
      <c r="G61" s="61" t="str">
        <f t="shared" si="21"/>
        <v>GbpLibor3M</v>
      </c>
      <c r="H61" s="59" t="str">
        <f t="shared" si="22"/>
        <v>GBP3L6L26Y_LCHQuote</v>
      </c>
      <c r="I61" s="127">
        <v>0</v>
      </c>
      <c r="J61" s="64" t="str">
        <f>_xll.qlSwapRateHelper2(,$H61,0,$B61,Calendar,$D61,$E61,$F61,$G61,$I61,$C61,Discounting1,PillarDate,,Permanent,Trigger,ObjectOverwrite)</f>
        <v>obj_004bc#0005</v>
      </c>
      <c r="K61" s="64" t="str">
        <f>_xll.qlSwapRateHelper2(,$H61,0,$B61,Calendar,$D61,$E61,$F61,$G61,$I61,$C61,Discounting2,PillarDate,,Permanent,Trigger,ObjectOverwrite)</f>
        <v>obj_00513#0005</v>
      </c>
      <c r="M61" s="71" t="str">
        <f t="shared" si="18"/>
        <v>BasSw</v>
      </c>
      <c r="N61" s="141" t="str">
        <f t="shared" si="19"/>
        <v>obj_004cd#0005</v>
      </c>
      <c r="O61" s="141" t="str">
        <f t="shared" si="20"/>
        <v>obj_004ff#0005</v>
      </c>
      <c r="P61" s="149" t="str">
        <f>IFERROR(_xll.qlRateHelperQuoteName(N61,Trigger),"--")</f>
        <v>GBP3L6L30Y_LCHQuote</v>
      </c>
      <c r="Q61" s="142">
        <f>IFERROR(_xll.qlRateHelperQuoteValue($N61,Trigger),"--")</f>
        <v>2.0063500000000001E-2</v>
      </c>
      <c r="R61" s="141" t="b">
        <v>1</v>
      </c>
      <c r="S61" s="141">
        <v>10</v>
      </c>
      <c r="T61" s="141">
        <v>1</v>
      </c>
      <c r="U61" s="143">
        <f>IFERROR(_xll.qlRateHelperEarliestDate(N61,Trigger),"--")</f>
        <v>42304</v>
      </c>
      <c r="V61" s="143">
        <f>IFERROR(_xll.qlRateHelperPillarDate(N61,Trigger),"--")</f>
        <v>53262</v>
      </c>
      <c r="X61" s="4" t="str">
        <f t="shared" si="23"/>
        <v/>
      </c>
      <c r="Y61" s="4" t="e">
        <v>#N/A</v>
      </c>
      <c r="Z61" s="4" t="e">
        <v>#N/A</v>
      </c>
      <c r="AA61" s="4" t="str">
        <f>IFERROR(_xll.qlRateHelperQuoteName(Y61,Trigger),"")</f>
        <v/>
      </c>
      <c r="AB61" s="70" t="str">
        <f>IFERROR(_xll.qlRateHelperRate(Y61,Trigger),"")</f>
        <v/>
      </c>
      <c r="AC61" s="104" t="str">
        <f>IF(ISERROR(_xll.qlSwapRateHelperSpread($Y61)),IF(ISERROR(_xll.qlFuturesRateHelperConvexityAdjustment($Y61)),"",_xll.qlFuturesRateHelperConvexityAdjustment($Y61)),_xll.qlSwapRateHelperSpread($Y61))</f>
        <v/>
      </c>
      <c r="AD61" s="5" t="str">
        <f>IFERROR(_xll.qlRateHelperEarliestDate(Y61,Trigger),"")</f>
        <v/>
      </c>
      <c r="AE61" s="5" t="str">
        <f>IFERROR(_xll.qlRateHelperPillarDate(Y61,Trigger),"")</f>
        <v/>
      </c>
      <c r="AF61" s="70" t="e">
        <v>#N/A</v>
      </c>
      <c r="AG61" s="77" t="e">
        <v>#N/A</v>
      </c>
      <c r="AH61" s="169" t="e">
        <v>#N/A</v>
      </c>
      <c r="AI61" s="170" t="e">
        <v>#N/A</v>
      </c>
      <c r="AJ61" s="172" t="e">
        <f t="shared" si="1"/>
        <v>#N/A</v>
      </c>
      <c r="AK61" s="80" t="e">
        <v>#N/A</v>
      </c>
      <c r="AL61" s="161" t="e">
        <f t="shared" si="2"/>
        <v>#N/A</v>
      </c>
    </row>
    <row r="62" spans="1:38" ht="11.25" customHeight="1" x14ac:dyDescent="0.2">
      <c r="A62" s="59" t="s">
        <v>117</v>
      </c>
      <c r="B62" s="60" t="s">
        <v>64</v>
      </c>
      <c r="C62" s="61" t="s">
        <v>6</v>
      </c>
      <c r="D62" s="61" t="s">
        <v>158</v>
      </c>
      <c r="E62" s="61" t="s">
        <v>7</v>
      </c>
      <c r="F62" s="61" t="s">
        <v>159</v>
      </c>
      <c r="G62" s="61" t="str">
        <f t="shared" si="21"/>
        <v>GbpLibor3M</v>
      </c>
      <c r="H62" s="59" t="str">
        <f t="shared" si="22"/>
        <v>GBP3L6L27Y_LCHQuote</v>
      </c>
      <c r="I62" s="127">
        <v>0</v>
      </c>
      <c r="J62" s="64" t="str">
        <f>_xll.qlSwapRateHelper2(,$H62,0,$B62,Calendar,$D62,$E62,$F62,$G62,$I62,$C62,Discounting1,PillarDate,,Permanent,Trigger,ObjectOverwrite)</f>
        <v>obj_004d3#0005</v>
      </c>
      <c r="K62" s="64" t="str">
        <f>_xll.qlSwapRateHelper2(,$H62,0,$B62,Calendar,$D62,$E62,$F62,$G62,$I62,$C62,Discounting2,PillarDate,,Permanent,Trigger,ObjectOverwrite)</f>
        <v>obj_004da#0005</v>
      </c>
      <c r="M62" s="71" t="str">
        <f t="shared" si="18"/>
        <v>BasSw</v>
      </c>
      <c r="N62" s="141" t="str">
        <f t="shared" si="19"/>
        <v>obj_004f7#0005</v>
      </c>
      <c r="O62" s="141" t="str">
        <f t="shared" si="20"/>
        <v>obj_004b1#0005</v>
      </c>
      <c r="P62" s="149" t="str">
        <f>IFERROR(_xll.qlRateHelperQuoteName(N62,Trigger),"--")</f>
        <v>GBP3L6L35Y_LCHQuote</v>
      </c>
      <c r="Q62" s="142" t="str">
        <f>IFERROR(_xll.qlRateHelperQuoteValue($N62,Trigger),"--")</f>
        <v>--</v>
      </c>
      <c r="R62" s="141" t="b">
        <v>0</v>
      </c>
      <c r="S62" s="141">
        <v>10</v>
      </c>
      <c r="T62" s="141">
        <v>1</v>
      </c>
      <c r="U62" s="143">
        <f>IFERROR(_xll.qlRateHelperEarliestDate(N62,Trigger),"--")</f>
        <v>42304</v>
      </c>
      <c r="V62" s="143">
        <f>IFERROR(_xll.qlRateHelperPillarDate(N62,Trigger),"--")</f>
        <v>55088</v>
      </c>
      <c r="X62" s="4" t="str">
        <f t="shared" si="23"/>
        <v/>
      </c>
      <c r="Y62" s="4" t="e">
        <v>#N/A</v>
      </c>
      <c r="Z62" s="4" t="e">
        <v>#N/A</v>
      </c>
      <c r="AA62" s="4" t="str">
        <f>IFERROR(_xll.qlRateHelperQuoteName(Y62,Trigger),"")</f>
        <v/>
      </c>
      <c r="AB62" s="70" t="str">
        <f>IFERROR(_xll.qlRateHelperRate(Y62,Trigger),"")</f>
        <v/>
      </c>
      <c r="AC62" s="104" t="str">
        <f>IF(ISERROR(_xll.qlSwapRateHelperSpread($Y62)),IF(ISERROR(_xll.qlFuturesRateHelperConvexityAdjustment($Y62)),"",_xll.qlFuturesRateHelperConvexityAdjustment($Y62)),_xll.qlSwapRateHelperSpread($Y62))</f>
        <v/>
      </c>
      <c r="AD62" s="5" t="str">
        <f>IFERROR(_xll.qlRateHelperEarliestDate(Y62,Trigger),"")</f>
        <v/>
      </c>
      <c r="AE62" s="5" t="str">
        <f>IFERROR(_xll.qlRateHelperPillarDate(Y62,Trigger),"")</f>
        <v/>
      </c>
      <c r="AF62" s="70" t="e">
        <v>#N/A</v>
      </c>
      <c r="AG62" s="77" t="e">
        <v>#N/A</v>
      </c>
      <c r="AH62" s="169" t="e">
        <v>#N/A</v>
      </c>
      <c r="AI62" s="170" t="e">
        <v>#N/A</v>
      </c>
      <c r="AJ62" s="172" t="e">
        <f t="shared" si="1"/>
        <v>#N/A</v>
      </c>
      <c r="AK62" s="80" t="e">
        <v>#N/A</v>
      </c>
      <c r="AL62" s="161" t="e">
        <f t="shared" si="2"/>
        <v>#N/A</v>
      </c>
    </row>
    <row r="63" spans="1:38" ht="11.25" customHeight="1" x14ac:dyDescent="0.2">
      <c r="A63" s="59" t="s">
        <v>117</v>
      </c>
      <c r="B63" s="60" t="s">
        <v>109</v>
      </c>
      <c r="C63" s="61" t="s">
        <v>6</v>
      </c>
      <c r="D63" s="61" t="s">
        <v>158</v>
      </c>
      <c r="E63" s="61" t="s">
        <v>7</v>
      </c>
      <c r="F63" s="61" t="s">
        <v>159</v>
      </c>
      <c r="G63" s="61" t="str">
        <f t="shared" si="21"/>
        <v>GbpLibor3M</v>
      </c>
      <c r="H63" s="59" t="str">
        <f t="shared" si="22"/>
        <v>GBP3L6L28Y_LCHQuote</v>
      </c>
      <c r="I63" s="127">
        <v>0</v>
      </c>
      <c r="J63" s="64" t="str">
        <f>_xll.qlSwapRateHelper2(,$H63,0,$B63,Calendar,$D63,$E63,$F63,$G63,$I63,$C63,Discounting1,PillarDate,,Permanent,Trigger,ObjectOverwrite)</f>
        <v>obj_004a6#0005</v>
      </c>
      <c r="K63" s="64" t="str">
        <f>_xll.qlSwapRateHelper2(,$H63,0,$B63,Calendar,$D63,$E63,$F63,$G63,$I63,$C63,Discounting2,PillarDate,,Permanent,Trigger,ObjectOverwrite)</f>
        <v>obj_004f8#0005</v>
      </c>
      <c r="M63" s="71" t="str">
        <f t="shared" si="18"/>
        <v>BasSw</v>
      </c>
      <c r="N63" s="141" t="str">
        <f t="shared" si="19"/>
        <v>obj_004f9#0005</v>
      </c>
      <c r="O63" s="141" t="str">
        <f t="shared" si="20"/>
        <v>obj_004a9#0005</v>
      </c>
      <c r="P63" s="149" t="str">
        <f>IFERROR(_xll.qlRateHelperQuoteName(N63,Trigger),"--")</f>
        <v>GBP3L6L40Y_LCHQuote</v>
      </c>
      <c r="Q63" s="142">
        <f>IFERROR(_xll.qlRateHelperQuoteValue($N63,Trigger),"--")</f>
        <v>1.9598999999999901E-2</v>
      </c>
      <c r="R63" s="141" t="b">
        <v>1</v>
      </c>
      <c r="S63" s="141">
        <v>10</v>
      </c>
      <c r="T63" s="141">
        <v>1</v>
      </c>
      <c r="U63" s="143">
        <f>IFERROR(_xll.qlRateHelperEarliestDate(N63,Trigger),"--")</f>
        <v>42304</v>
      </c>
      <c r="V63" s="143">
        <f>IFERROR(_xll.qlRateHelperPillarDate(N63,Trigger),"--")</f>
        <v>56914</v>
      </c>
      <c r="X63" s="4" t="str">
        <f t="shared" si="23"/>
        <v/>
      </c>
      <c r="Y63" s="4" t="e">
        <v>#N/A</v>
      </c>
      <c r="Z63" s="4" t="e">
        <v>#N/A</v>
      </c>
      <c r="AA63" s="4" t="str">
        <f>IFERROR(_xll.qlRateHelperQuoteName(Y63,Trigger),"")</f>
        <v/>
      </c>
      <c r="AB63" s="70" t="str">
        <f>IFERROR(_xll.qlRateHelperRate(Y63,Trigger),"")</f>
        <v/>
      </c>
      <c r="AC63" s="104" t="str">
        <f>IF(ISERROR(_xll.qlSwapRateHelperSpread($Y63)),IF(ISERROR(_xll.qlFuturesRateHelperConvexityAdjustment($Y63)),"",_xll.qlFuturesRateHelperConvexityAdjustment($Y63)),_xll.qlSwapRateHelperSpread($Y63))</f>
        <v/>
      </c>
      <c r="AD63" s="5" t="str">
        <f>IFERROR(_xll.qlRateHelperEarliestDate(Y63,Trigger),"")</f>
        <v/>
      </c>
      <c r="AE63" s="5" t="str">
        <f>IFERROR(_xll.qlRateHelperPillarDate(Y63,Trigger),"")</f>
        <v/>
      </c>
      <c r="AF63" s="70" t="e">
        <v>#N/A</v>
      </c>
      <c r="AG63" s="77" t="e">
        <v>#N/A</v>
      </c>
      <c r="AH63" s="169" t="e">
        <v>#N/A</v>
      </c>
      <c r="AI63" s="170" t="e">
        <v>#N/A</v>
      </c>
      <c r="AJ63" s="172" t="e">
        <f t="shared" si="1"/>
        <v>#N/A</v>
      </c>
      <c r="AK63" s="80" t="e">
        <v>#N/A</v>
      </c>
      <c r="AL63" s="161" t="e">
        <f t="shared" si="2"/>
        <v>#N/A</v>
      </c>
    </row>
    <row r="64" spans="1:38" ht="11.25" customHeight="1" x14ac:dyDescent="0.2">
      <c r="A64" s="59" t="s">
        <v>117</v>
      </c>
      <c r="B64" s="60" t="s">
        <v>110</v>
      </c>
      <c r="C64" s="61" t="s">
        <v>6</v>
      </c>
      <c r="D64" s="61" t="s">
        <v>158</v>
      </c>
      <c r="E64" s="61" t="s">
        <v>7</v>
      </c>
      <c r="F64" s="61" t="s">
        <v>159</v>
      </c>
      <c r="G64" s="61" t="str">
        <f t="shared" si="21"/>
        <v>GbpLibor3M</v>
      </c>
      <c r="H64" s="59" t="str">
        <f t="shared" si="22"/>
        <v>GBP3L6L29Y_LCHQuote</v>
      </c>
      <c r="I64" s="127">
        <v>0</v>
      </c>
      <c r="J64" s="64" t="str">
        <f>_xll.qlSwapRateHelper2(,$H64,0,$B64,Calendar,$D64,$E64,$F64,$G64,$I64,$C64,Discounting1,PillarDate,,Permanent,Trigger,ObjectOverwrite)</f>
        <v>obj_004b2#0005</v>
      </c>
      <c r="K64" s="64" t="str">
        <f>_xll.qlSwapRateHelper2(,$H64,0,$B64,Calendar,$D64,$E64,$F64,$G64,$I64,$C64,Discounting2,PillarDate,,Permanent,Trigger,ObjectOverwrite)</f>
        <v>obj_00521#0005</v>
      </c>
      <c r="M64" s="71" t="str">
        <f t="shared" si="18"/>
        <v>BasSw</v>
      </c>
      <c r="N64" s="141" t="str">
        <f t="shared" si="19"/>
        <v>obj_004bd#0005</v>
      </c>
      <c r="O64" s="141" t="str">
        <f t="shared" si="20"/>
        <v>obj_00506#0005</v>
      </c>
      <c r="P64" s="149" t="str">
        <f>IFERROR(_xll.qlRateHelperQuoteName(N64,Trigger),"--")</f>
        <v>GBP3L6L50Y_LCHQuote</v>
      </c>
      <c r="Q64" s="142">
        <f>IFERROR(_xll.qlRateHelperQuoteValue($N64,Trigger),"--")</f>
        <v>1.9333500000000101E-2</v>
      </c>
      <c r="R64" s="141" t="b">
        <v>1</v>
      </c>
      <c r="S64" s="141">
        <v>10</v>
      </c>
      <c r="T64" s="141">
        <v>1</v>
      </c>
      <c r="U64" s="143">
        <f>IFERROR(_xll.qlRateHelperEarliestDate(N64,Trigger),"--")</f>
        <v>42304</v>
      </c>
      <c r="V64" s="143">
        <f>IFERROR(_xll.qlRateHelperPillarDate(N64,Trigger),"--")</f>
        <v>60567</v>
      </c>
      <c r="X64" s="4" t="str">
        <f t="shared" si="23"/>
        <v/>
      </c>
      <c r="Y64" s="4" t="e">
        <v>#N/A</v>
      </c>
      <c r="Z64" s="4" t="e">
        <v>#N/A</v>
      </c>
      <c r="AA64" s="4" t="str">
        <f>IFERROR(_xll.qlRateHelperQuoteName(Y64,Trigger),"")</f>
        <v/>
      </c>
      <c r="AB64" s="70" t="str">
        <f>IFERROR(_xll.qlRateHelperRate(Y64,Trigger),"")</f>
        <v/>
      </c>
      <c r="AC64" s="104" t="str">
        <f>IF(ISERROR(_xll.qlSwapRateHelperSpread($Y64)),IF(ISERROR(_xll.qlFuturesRateHelperConvexityAdjustment($Y64)),"",_xll.qlFuturesRateHelperConvexityAdjustment($Y64)),_xll.qlSwapRateHelperSpread($Y64))</f>
        <v/>
      </c>
      <c r="AD64" s="5" t="str">
        <f>IFERROR(_xll.qlRateHelperEarliestDate(Y64,Trigger),"")</f>
        <v/>
      </c>
      <c r="AE64" s="5" t="str">
        <f>IFERROR(_xll.qlRateHelperPillarDate(Y64,Trigger),"")</f>
        <v/>
      </c>
      <c r="AF64" s="70" t="e">
        <v>#N/A</v>
      </c>
      <c r="AG64" s="77" t="e">
        <v>#N/A</v>
      </c>
      <c r="AH64" s="169" t="e">
        <v>#N/A</v>
      </c>
      <c r="AI64" s="170" t="e">
        <v>#N/A</v>
      </c>
      <c r="AJ64" s="172" t="e">
        <f t="shared" si="1"/>
        <v>#N/A</v>
      </c>
      <c r="AK64" s="80" t="e">
        <v>#N/A</v>
      </c>
      <c r="AL64" s="161" t="e">
        <f t="shared" si="2"/>
        <v>#N/A</v>
      </c>
    </row>
    <row r="65" spans="1:38" ht="11.25" customHeight="1" x14ac:dyDescent="0.2">
      <c r="A65" s="59" t="s">
        <v>117</v>
      </c>
      <c r="B65" s="60" t="s">
        <v>65</v>
      </c>
      <c r="C65" s="61" t="s">
        <v>6</v>
      </c>
      <c r="D65" s="61" t="s">
        <v>158</v>
      </c>
      <c r="E65" s="61" t="s">
        <v>7</v>
      </c>
      <c r="F65" s="61" t="s">
        <v>159</v>
      </c>
      <c r="G65" s="61" t="str">
        <f t="shared" si="21"/>
        <v>GbpLibor3M</v>
      </c>
      <c r="H65" s="59" t="str">
        <f t="shared" si="22"/>
        <v>GBP3L6L30Y_LCHQuote</v>
      </c>
      <c r="I65" s="127">
        <v>0</v>
      </c>
      <c r="J65" s="64" t="str">
        <f>_xll.qlSwapRateHelper2(,$H65,0,$B65,Calendar,$D65,$E65,$F65,$G65,$I65,$C65,Discounting1,PillarDate,,Permanent,Trigger,ObjectOverwrite)</f>
        <v>obj_004cd#0005</v>
      </c>
      <c r="K65" s="64" t="str">
        <f>_xll.qlSwapRateHelper2(,$H65,0,$B65,Calendar,$D65,$E65,$F65,$G65,$I65,$C65,Discounting2,PillarDate,,Permanent,Trigger,ObjectOverwrite)</f>
        <v>obj_004ff#0005</v>
      </c>
      <c r="M65" s="72" t="str">
        <f t="shared" si="18"/>
        <v>BasSw</v>
      </c>
      <c r="N65" s="144" t="str">
        <f t="shared" si="19"/>
        <v>obj_004cc#0005</v>
      </c>
      <c r="O65" s="144" t="str">
        <f t="shared" si="20"/>
        <v>obj_00515#0005</v>
      </c>
      <c r="P65" s="152" t="str">
        <f>IFERROR(_xll.qlRateHelperQuoteName(N65,Trigger),"--")</f>
        <v>GBP3L6L60Y_LCHQuote</v>
      </c>
      <c r="Q65" s="153">
        <f>IFERROR(_xll.qlRateHelperQuoteValue($N65,Trigger),"--")</f>
        <v>1.9380500000000099E-2</v>
      </c>
      <c r="R65" s="144" t="b">
        <v>1</v>
      </c>
      <c r="S65" s="144">
        <v>10</v>
      </c>
      <c r="T65" s="144">
        <v>1</v>
      </c>
      <c r="U65" s="151">
        <f>IFERROR(_xll.qlRateHelperEarliestDate(N65,Trigger),"--")</f>
        <v>42304</v>
      </c>
      <c r="V65" s="151">
        <f>IFERROR(_xll.qlRateHelperPillarDate(N65,Trigger),"--")</f>
        <v>64220</v>
      </c>
      <c r="X65" s="6" t="str">
        <f t="shared" si="23"/>
        <v/>
      </c>
      <c r="Y65" s="6" t="e">
        <v>#N/A</v>
      </c>
      <c r="Z65" s="6" t="e">
        <v>#N/A</v>
      </c>
      <c r="AA65" s="6" t="str">
        <f>IFERROR(_xll.qlRateHelperQuoteName(Y65,Trigger),"")</f>
        <v/>
      </c>
      <c r="AB65" s="79" t="str">
        <f>IFERROR(_xll.qlRateHelperRate(Y65,Trigger),"")</f>
        <v/>
      </c>
      <c r="AC65" s="105" t="str">
        <f>IF(ISERROR(_xll.qlSwapRateHelperSpread($Y65)),IF(ISERROR(_xll.qlFuturesRateHelperConvexityAdjustment($Y65)),"",_xll.qlFuturesRateHelperConvexityAdjustment($Y65)),_xll.qlSwapRateHelperSpread($Y65))</f>
        <v/>
      </c>
      <c r="AD65" s="12" t="str">
        <f>IFERROR(_xll.qlRateHelperEarliestDate(Y65,Trigger),"")</f>
        <v/>
      </c>
      <c r="AE65" s="12" t="str">
        <f>IFERROR(_xll.qlRateHelperPillarDate(Y65,Trigger),"")</f>
        <v/>
      </c>
      <c r="AF65" s="79" t="e">
        <v>#N/A</v>
      </c>
      <c r="AG65" s="78" t="e">
        <v>#N/A</v>
      </c>
      <c r="AH65" s="169" t="e">
        <v>#N/A</v>
      </c>
      <c r="AI65" s="170" t="e">
        <v>#N/A</v>
      </c>
      <c r="AJ65" s="172" t="e">
        <f t="shared" si="1"/>
        <v>#N/A</v>
      </c>
      <c r="AK65" s="80" t="e">
        <v>#N/A</v>
      </c>
      <c r="AL65" s="161" t="e">
        <f t="shared" si="2"/>
        <v>#N/A</v>
      </c>
    </row>
    <row r="66" spans="1:38" ht="11.25" customHeight="1" x14ac:dyDescent="0.2">
      <c r="A66" s="59" t="s">
        <v>117</v>
      </c>
      <c r="B66" s="60" t="s">
        <v>66</v>
      </c>
      <c r="C66" s="61" t="s">
        <v>6</v>
      </c>
      <c r="D66" s="61" t="s">
        <v>158</v>
      </c>
      <c r="E66" s="61" t="s">
        <v>7</v>
      </c>
      <c r="F66" s="61" t="s">
        <v>159</v>
      </c>
      <c r="G66" s="61" t="str">
        <f t="shared" si="21"/>
        <v>GbpLibor3M</v>
      </c>
      <c r="H66" s="59" t="str">
        <f t="shared" si="22"/>
        <v>GBP3L6L35Y_LCHQuote</v>
      </c>
      <c r="I66" s="125">
        <v>0</v>
      </c>
      <c r="J66" s="64" t="str">
        <f>_xll.qlSwapRateHelper2(,$H66,0,$B66,Calendar,$D66,$E66,$F66,$G66,$I66,$C66,Discounting1,PillarDate,,Permanent,Trigger,ObjectOverwrite)</f>
        <v>obj_004f7#0005</v>
      </c>
      <c r="K66" s="64" t="str">
        <f>_xll.qlSwapRateHelper2(,$H66,0,$B66,Calendar,$D66,$E66,$F66,$G66,$I66,$C66,Discounting2,PillarDate,,Permanent,Trigger,ObjectOverwrite)</f>
        <v>obj_004b1#0005</v>
      </c>
      <c r="M66" s="160"/>
      <c r="AH66" s="169" t="e">
        <v>#N/A</v>
      </c>
      <c r="AI66" s="170" t="e">
        <v>#N/A</v>
      </c>
      <c r="AJ66" s="172" t="e">
        <f t="shared" si="1"/>
        <v>#N/A</v>
      </c>
      <c r="AK66" s="80" t="e">
        <v>#N/A</v>
      </c>
      <c r="AL66" s="161" t="e">
        <f t="shared" si="2"/>
        <v>#N/A</v>
      </c>
    </row>
    <row r="67" spans="1:38" ht="11.25" customHeight="1" x14ac:dyDescent="0.2">
      <c r="A67" s="59" t="s">
        <v>117</v>
      </c>
      <c r="B67" s="60" t="s">
        <v>67</v>
      </c>
      <c r="C67" s="61" t="s">
        <v>6</v>
      </c>
      <c r="D67" s="61" t="s">
        <v>158</v>
      </c>
      <c r="E67" s="61" t="s">
        <v>7</v>
      </c>
      <c r="F67" s="61" t="s">
        <v>159</v>
      </c>
      <c r="G67" s="61" t="str">
        <f t="shared" si="21"/>
        <v>GbpLibor3M</v>
      </c>
      <c r="H67" s="59" t="str">
        <f t="shared" si="22"/>
        <v>GBP3L6L40Y_LCHQuote</v>
      </c>
      <c r="I67" s="125">
        <v>0</v>
      </c>
      <c r="J67" s="64" t="str">
        <f>_xll.qlSwapRateHelper2(,$H67,0,$B67,Calendar,$D67,$E67,$F67,$G67,$I67,$C67,Discounting1,PillarDate,,Permanent,Trigger,ObjectOverwrite)</f>
        <v>obj_004f9#0005</v>
      </c>
      <c r="K67" s="64" t="str">
        <f>_xll.qlSwapRateHelper2(,$H67,0,$B67,Calendar,$D67,$E67,$F67,$G67,$I67,$C67,Discounting2,PillarDate,,Permanent,Trigger,ObjectOverwrite)</f>
        <v>obj_004a9#0005</v>
      </c>
      <c r="M67" s="160"/>
      <c r="AH67" s="169" t="e">
        <v>#N/A</v>
      </c>
      <c r="AI67" s="170" t="e">
        <v>#N/A</v>
      </c>
      <c r="AJ67" s="172" t="e">
        <f t="shared" ref="AJ67:AJ103" si="24">AF67-AI67</f>
        <v>#N/A</v>
      </c>
      <c r="AK67" s="80" t="e">
        <v>#N/A</v>
      </c>
      <c r="AL67" s="161" t="e">
        <f t="shared" ref="AL67:AL103" si="25">AK67-AG67</f>
        <v>#N/A</v>
      </c>
    </row>
    <row r="68" spans="1:38" ht="11.25" customHeight="1" x14ac:dyDescent="0.2">
      <c r="A68" s="59" t="s">
        <v>117</v>
      </c>
      <c r="B68" s="60" t="s">
        <v>68</v>
      </c>
      <c r="C68" s="61" t="s">
        <v>6</v>
      </c>
      <c r="D68" s="61" t="s">
        <v>158</v>
      </c>
      <c r="E68" s="61" t="s">
        <v>7</v>
      </c>
      <c r="F68" s="61" t="s">
        <v>159</v>
      </c>
      <c r="G68" s="61" t="str">
        <f t="shared" si="21"/>
        <v>GbpLibor3M</v>
      </c>
      <c r="H68" s="59" t="str">
        <f t="shared" si="22"/>
        <v>GBP3L6L50Y_LCHQuote</v>
      </c>
      <c r="I68" s="125">
        <v>0</v>
      </c>
      <c r="J68" s="64" t="str">
        <f>_xll.qlSwapRateHelper2(,$H68,0,$B68,Calendar,$D68,$E68,$F68,$G68,$I68,$C68,Discounting1,PillarDate,,Permanent,Trigger,ObjectOverwrite)</f>
        <v>obj_004bd#0005</v>
      </c>
      <c r="K68" s="64" t="str">
        <f>_xll.qlSwapRateHelper2(,$H68,0,$B68,Calendar,$D68,$E68,$F68,$G68,$I68,$C68,Discounting2,PillarDate,,Permanent,Trigger,ObjectOverwrite)</f>
        <v>obj_00506#0005</v>
      </c>
      <c r="M68" s="160"/>
      <c r="AH68" s="169" t="e">
        <v>#N/A</v>
      </c>
      <c r="AI68" s="170" t="e">
        <v>#N/A</v>
      </c>
      <c r="AJ68" s="172" t="e">
        <f t="shared" si="24"/>
        <v>#N/A</v>
      </c>
      <c r="AK68" s="80" t="e">
        <v>#N/A</v>
      </c>
      <c r="AL68" s="161" t="e">
        <f t="shared" si="25"/>
        <v>#N/A</v>
      </c>
    </row>
    <row r="69" spans="1:38" ht="11.25" customHeight="1" x14ac:dyDescent="0.2">
      <c r="A69" s="1" t="s">
        <v>117</v>
      </c>
      <c r="B69" s="8" t="s">
        <v>111</v>
      </c>
      <c r="C69" s="7" t="s">
        <v>6</v>
      </c>
      <c r="D69" s="7" t="s">
        <v>158</v>
      </c>
      <c r="E69" s="7" t="s">
        <v>7</v>
      </c>
      <c r="F69" s="7" t="s">
        <v>159</v>
      </c>
      <c r="G69" s="7" t="str">
        <f t="shared" si="21"/>
        <v>GbpLibor3M</v>
      </c>
      <c r="H69" s="1" t="str">
        <f t="shared" si="22"/>
        <v>GBP3L6L60Y_LCHQuote</v>
      </c>
      <c r="I69" s="128">
        <v>0</v>
      </c>
      <c r="J69" s="3" t="str">
        <f>_xll.qlSwapRateHelper2(,$H69,0,$B69,Calendar,$D69,$E69,$F69,$G69,$I69,$C69,Discounting1,PillarDate,,Permanent,Trigger,ObjectOverwrite)</f>
        <v>obj_004cc#0005</v>
      </c>
      <c r="K69" s="3" t="str">
        <f>_xll.qlSwapRateHelper2(,$H69,0,$B69,Calendar,$D69,$E69,$F69,$G69,$I69,$C69,Discounting2,PillarDate,,Permanent,Trigger,ObjectOverwrite)</f>
        <v>obj_00515#0005</v>
      </c>
      <c r="M69" s="160"/>
      <c r="AH69" s="169" t="e">
        <v>#N/A</v>
      </c>
      <c r="AI69" s="170" t="e">
        <v>#N/A</v>
      </c>
      <c r="AJ69" s="172" t="e">
        <f t="shared" si="24"/>
        <v>#N/A</v>
      </c>
      <c r="AK69" s="80" t="e">
        <v>#N/A</v>
      </c>
      <c r="AL69" s="161" t="e">
        <f t="shared" si="25"/>
        <v>#N/A</v>
      </c>
    </row>
    <row r="70" spans="1:38" ht="11.25" customHeight="1" x14ac:dyDescent="0.2">
      <c r="AH70" s="169" t="e">
        <v>#N/A</v>
      </c>
      <c r="AI70" s="170" t="e">
        <v>#N/A</v>
      </c>
      <c r="AJ70" s="172" t="e">
        <f t="shared" si="24"/>
        <v>#N/A</v>
      </c>
      <c r="AK70" s="80" t="e">
        <v>#N/A</v>
      </c>
      <c r="AL70" s="161" t="e">
        <f t="shared" si="25"/>
        <v>#N/A</v>
      </c>
    </row>
    <row r="71" spans="1:38" ht="11.25" customHeight="1" x14ac:dyDescent="0.2">
      <c r="AH71" s="169" t="e">
        <v>#N/A</v>
      </c>
      <c r="AI71" s="170" t="e">
        <v>#N/A</v>
      </c>
      <c r="AJ71" s="172" t="e">
        <f t="shared" si="24"/>
        <v>#N/A</v>
      </c>
      <c r="AK71" s="80" t="e">
        <v>#N/A</v>
      </c>
      <c r="AL71" s="161" t="e">
        <f t="shared" si="25"/>
        <v>#N/A</v>
      </c>
    </row>
    <row r="72" spans="1:38" ht="11.25" customHeight="1" x14ac:dyDescent="0.2">
      <c r="AH72" s="169" t="e">
        <v>#N/A</v>
      </c>
      <c r="AI72" s="170" t="e">
        <v>#N/A</v>
      </c>
      <c r="AJ72" s="172" t="e">
        <f t="shared" si="24"/>
        <v>#N/A</v>
      </c>
      <c r="AK72" s="80" t="e">
        <v>#N/A</v>
      </c>
      <c r="AL72" s="161" t="e">
        <f t="shared" si="25"/>
        <v>#N/A</v>
      </c>
    </row>
    <row r="73" spans="1:38" ht="11.25" customHeight="1" x14ac:dyDescent="0.2">
      <c r="AH73" s="169" t="e">
        <v>#N/A</v>
      </c>
      <c r="AI73" s="170" t="e">
        <v>#N/A</v>
      </c>
      <c r="AJ73" s="172" t="e">
        <f t="shared" si="24"/>
        <v>#N/A</v>
      </c>
      <c r="AK73" s="80" t="e">
        <v>#N/A</v>
      </c>
      <c r="AL73" s="161" t="e">
        <f t="shared" si="25"/>
        <v>#N/A</v>
      </c>
    </row>
    <row r="74" spans="1:38" ht="11.25" customHeight="1" x14ac:dyDescent="0.2">
      <c r="AH74" s="169" t="e">
        <v>#N/A</v>
      </c>
      <c r="AI74" s="170" t="e">
        <v>#N/A</v>
      </c>
      <c r="AJ74" s="172" t="e">
        <f t="shared" si="24"/>
        <v>#N/A</v>
      </c>
      <c r="AK74" s="80" t="e">
        <v>#N/A</v>
      </c>
      <c r="AL74" s="161" t="e">
        <f t="shared" si="25"/>
        <v>#N/A</v>
      </c>
    </row>
    <row r="75" spans="1:38" ht="11.25" customHeight="1" x14ac:dyDescent="0.2">
      <c r="AH75" s="169" t="e">
        <v>#N/A</v>
      </c>
      <c r="AI75" s="170" t="e">
        <v>#N/A</v>
      </c>
      <c r="AJ75" s="172" t="e">
        <f t="shared" si="24"/>
        <v>#N/A</v>
      </c>
      <c r="AK75" s="80" t="e">
        <v>#N/A</v>
      </c>
      <c r="AL75" s="161" t="e">
        <f t="shared" si="25"/>
        <v>#N/A</v>
      </c>
    </row>
    <row r="76" spans="1:38" ht="11.25" customHeight="1" x14ac:dyDescent="0.2">
      <c r="AH76" s="169" t="e">
        <v>#N/A</v>
      </c>
      <c r="AI76" s="170" t="e">
        <v>#N/A</v>
      </c>
      <c r="AJ76" s="172" t="e">
        <f t="shared" si="24"/>
        <v>#N/A</v>
      </c>
      <c r="AK76" s="80" t="e">
        <v>#N/A</v>
      </c>
      <c r="AL76" s="161" t="e">
        <f t="shared" si="25"/>
        <v>#N/A</v>
      </c>
    </row>
    <row r="77" spans="1:38" ht="11.25" customHeight="1" x14ac:dyDescent="0.2">
      <c r="AH77" s="169" t="e">
        <v>#N/A</v>
      </c>
      <c r="AI77" s="170" t="e">
        <v>#N/A</v>
      </c>
      <c r="AJ77" s="172" t="e">
        <f t="shared" si="24"/>
        <v>#N/A</v>
      </c>
      <c r="AK77" s="80" t="e">
        <v>#N/A</v>
      </c>
      <c r="AL77" s="161" t="e">
        <f t="shared" si="25"/>
        <v>#N/A</v>
      </c>
    </row>
    <row r="78" spans="1:38" ht="11.25" customHeight="1" x14ac:dyDescent="0.2">
      <c r="AH78" s="169" t="e">
        <v>#N/A</v>
      </c>
      <c r="AI78" s="170" t="e">
        <v>#N/A</v>
      </c>
      <c r="AJ78" s="172" t="e">
        <f t="shared" si="24"/>
        <v>#N/A</v>
      </c>
      <c r="AK78" s="80" t="e">
        <v>#N/A</v>
      </c>
      <c r="AL78" s="161" t="e">
        <f t="shared" si="25"/>
        <v>#N/A</v>
      </c>
    </row>
    <row r="79" spans="1:38" ht="11.25" customHeight="1" x14ac:dyDescent="0.2">
      <c r="AH79" s="169" t="e">
        <v>#N/A</v>
      </c>
      <c r="AI79" s="170" t="e">
        <v>#N/A</v>
      </c>
      <c r="AJ79" s="172" t="e">
        <f t="shared" si="24"/>
        <v>#N/A</v>
      </c>
      <c r="AK79" s="80" t="e">
        <v>#N/A</v>
      </c>
      <c r="AL79" s="161" t="e">
        <f t="shared" si="25"/>
        <v>#N/A</v>
      </c>
    </row>
    <row r="80" spans="1:38" ht="11.25" customHeight="1" x14ac:dyDescent="0.2">
      <c r="AH80" s="169" t="e">
        <v>#N/A</v>
      </c>
      <c r="AI80" s="170" t="e">
        <v>#N/A</v>
      </c>
      <c r="AJ80" s="172" t="e">
        <f t="shared" si="24"/>
        <v>#N/A</v>
      </c>
      <c r="AK80" s="80" t="e">
        <v>#N/A</v>
      </c>
      <c r="AL80" s="161" t="e">
        <f t="shared" si="25"/>
        <v>#N/A</v>
      </c>
    </row>
    <row r="81" spans="12:38" x14ac:dyDescent="0.2">
      <c r="AH81" s="169" t="e">
        <v>#N/A</v>
      </c>
      <c r="AI81" s="170" t="e">
        <v>#N/A</v>
      </c>
      <c r="AJ81" s="172" t="e">
        <f t="shared" si="24"/>
        <v>#N/A</v>
      </c>
      <c r="AK81" s="80" t="e">
        <v>#N/A</v>
      </c>
      <c r="AL81" s="161" t="e">
        <f t="shared" si="25"/>
        <v>#N/A</v>
      </c>
    </row>
    <row r="82" spans="12:38" x14ac:dyDescent="0.2">
      <c r="AH82" s="169" t="e">
        <v>#N/A</v>
      </c>
      <c r="AI82" s="170" t="e">
        <v>#N/A</v>
      </c>
      <c r="AJ82" s="172" t="e">
        <f t="shared" si="24"/>
        <v>#N/A</v>
      </c>
      <c r="AK82" s="80" t="e">
        <v>#N/A</v>
      </c>
      <c r="AL82" s="161" t="e">
        <f t="shared" si="25"/>
        <v>#N/A</v>
      </c>
    </row>
    <row r="83" spans="12:38" x14ac:dyDescent="0.2">
      <c r="AH83" s="169" t="e">
        <v>#N/A</v>
      </c>
      <c r="AI83" s="170" t="e">
        <v>#N/A</v>
      </c>
      <c r="AJ83" s="172" t="e">
        <f t="shared" si="24"/>
        <v>#N/A</v>
      </c>
      <c r="AK83" s="80" t="e">
        <v>#N/A</v>
      </c>
      <c r="AL83" s="161" t="e">
        <f t="shared" si="25"/>
        <v>#N/A</v>
      </c>
    </row>
    <row r="84" spans="12:38" x14ac:dyDescent="0.2">
      <c r="AH84" s="169" t="e">
        <v>#N/A</v>
      </c>
      <c r="AI84" s="170" t="e">
        <v>#N/A</v>
      </c>
      <c r="AJ84" s="172" t="e">
        <f t="shared" si="24"/>
        <v>#N/A</v>
      </c>
      <c r="AK84" s="80" t="e">
        <v>#N/A</v>
      </c>
      <c r="AL84" s="161" t="e">
        <f t="shared" si="25"/>
        <v>#N/A</v>
      </c>
    </row>
    <row r="85" spans="12:38" x14ac:dyDescent="0.2">
      <c r="AH85" s="169" t="e">
        <v>#N/A</v>
      </c>
      <c r="AI85" s="170" t="e">
        <v>#N/A</v>
      </c>
      <c r="AJ85" s="172" t="e">
        <f t="shared" si="24"/>
        <v>#N/A</v>
      </c>
      <c r="AK85" s="80" t="e">
        <v>#N/A</v>
      </c>
      <c r="AL85" s="161" t="e">
        <f t="shared" si="25"/>
        <v>#N/A</v>
      </c>
    </row>
    <row r="86" spans="12:38" x14ac:dyDescent="0.2">
      <c r="AH86" s="169" t="e">
        <v>#N/A</v>
      </c>
      <c r="AI86" s="170" t="e">
        <v>#N/A</v>
      </c>
      <c r="AJ86" s="172" t="e">
        <f t="shared" si="24"/>
        <v>#N/A</v>
      </c>
      <c r="AK86" s="80" t="e">
        <v>#N/A</v>
      </c>
      <c r="AL86" s="161" t="e">
        <f t="shared" si="25"/>
        <v>#N/A</v>
      </c>
    </row>
    <row r="87" spans="12:38" x14ac:dyDescent="0.2">
      <c r="AH87" s="169" t="e">
        <v>#N/A</v>
      </c>
      <c r="AI87" s="170" t="e">
        <v>#N/A</v>
      </c>
      <c r="AJ87" s="172" t="e">
        <f t="shared" si="24"/>
        <v>#N/A</v>
      </c>
      <c r="AK87" s="80" t="e">
        <v>#N/A</v>
      </c>
      <c r="AL87" s="161" t="e">
        <f t="shared" si="25"/>
        <v>#N/A</v>
      </c>
    </row>
    <row r="88" spans="12:38" x14ac:dyDescent="0.2">
      <c r="AH88" s="169" t="e">
        <v>#N/A</v>
      </c>
      <c r="AI88" s="170" t="e">
        <v>#N/A</v>
      </c>
      <c r="AJ88" s="172" t="e">
        <f t="shared" si="24"/>
        <v>#N/A</v>
      </c>
      <c r="AK88" s="80" t="e">
        <v>#N/A</v>
      </c>
      <c r="AL88" s="161" t="e">
        <f t="shared" si="25"/>
        <v>#N/A</v>
      </c>
    </row>
    <row r="89" spans="12:38" x14ac:dyDescent="0.2">
      <c r="AH89" s="169" t="e">
        <v>#N/A</v>
      </c>
      <c r="AI89" s="170" t="e">
        <v>#N/A</v>
      </c>
      <c r="AJ89" s="172" t="e">
        <f t="shared" si="24"/>
        <v>#N/A</v>
      </c>
      <c r="AK89" s="80" t="e">
        <v>#N/A</v>
      </c>
      <c r="AL89" s="161" t="e">
        <f t="shared" si="25"/>
        <v>#N/A</v>
      </c>
    </row>
    <row r="90" spans="12:38" x14ac:dyDescent="0.2">
      <c r="L90" s="46" t="s">
        <v>35</v>
      </c>
      <c r="AH90" s="169" t="e">
        <v>#N/A</v>
      </c>
      <c r="AI90" s="170" t="e">
        <v>#N/A</v>
      </c>
      <c r="AJ90" s="172" t="e">
        <f t="shared" si="24"/>
        <v>#N/A</v>
      </c>
      <c r="AK90" s="80" t="e">
        <v>#N/A</v>
      </c>
      <c r="AL90" s="161" t="e">
        <f t="shared" si="25"/>
        <v>#N/A</v>
      </c>
    </row>
    <row r="91" spans="12:38" x14ac:dyDescent="0.2">
      <c r="AH91" s="46" t="e">
        <v>#N/A</v>
      </c>
      <c r="AI91" s="46" t="e">
        <v>#N/A</v>
      </c>
      <c r="AJ91" s="172" t="e">
        <f t="shared" si="24"/>
        <v>#N/A</v>
      </c>
      <c r="AK91" s="46" t="e">
        <v>#N/A</v>
      </c>
      <c r="AL91" s="161" t="e">
        <f t="shared" si="25"/>
        <v>#N/A</v>
      </c>
    </row>
    <row r="92" spans="12:38" x14ac:dyDescent="0.2">
      <c r="AH92" s="46" t="e">
        <v>#N/A</v>
      </c>
      <c r="AI92" s="46" t="e">
        <v>#N/A</v>
      </c>
      <c r="AJ92" s="172" t="e">
        <f t="shared" si="24"/>
        <v>#N/A</v>
      </c>
      <c r="AK92" s="46" t="e">
        <v>#N/A</v>
      </c>
      <c r="AL92" s="161" t="e">
        <f t="shared" si="25"/>
        <v>#N/A</v>
      </c>
    </row>
    <row r="93" spans="12:38" x14ac:dyDescent="0.2">
      <c r="AH93" s="46" t="e">
        <v>#N/A</v>
      </c>
      <c r="AI93" s="46" t="e">
        <v>#N/A</v>
      </c>
      <c r="AJ93" s="172" t="e">
        <f t="shared" si="24"/>
        <v>#N/A</v>
      </c>
      <c r="AK93" s="46" t="e">
        <v>#N/A</v>
      </c>
      <c r="AL93" s="161" t="e">
        <f t="shared" si="25"/>
        <v>#N/A</v>
      </c>
    </row>
    <row r="94" spans="12:38" x14ac:dyDescent="0.2">
      <c r="AH94" s="46" t="e">
        <v>#N/A</v>
      </c>
      <c r="AI94" s="46" t="e">
        <v>#N/A</v>
      </c>
      <c r="AJ94" s="172" t="e">
        <f t="shared" si="24"/>
        <v>#N/A</v>
      </c>
      <c r="AK94" s="46" t="e">
        <v>#N/A</v>
      </c>
      <c r="AL94" s="161" t="e">
        <f t="shared" si="25"/>
        <v>#N/A</v>
      </c>
    </row>
    <row r="95" spans="12:38" x14ac:dyDescent="0.2">
      <c r="AH95" s="46" t="e">
        <v>#N/A</v>
      </c>
      <c r="AI95" s="46" t="e">
        <v>#N/A</v>
      </c>
      <c r="AJ95" s="172" t="e">
        <f t="shared" si="24"/>
        <v>#N/A</v>
      </c>
      <c r="AK95" s="46" t="e">
        <v>#N/A</v>
      </c>
      <c r="AL95" s="161" t="e">
        <f t="shared" si="25"/>
        <v>#N/A</v>
      </c>
    </row>
    <row r="96" spans="12:38" x14ac:dyDescent="0.2">
      <c r="AH96" s="46" t="e">
        <v>#N/A</v>
      </c>
      <c r="AI96" s="46" t="e">
        <v>#N/A</v>
      </c>
      <c r="AJ96" s="172" t="e">
        <f t="shared" si="24"/>
        <v>#N/A</v>
      </c>
      <c r="AK96" s="46" t="e">
        <v>#N/A</v>
      </c>
      <c r="AL96" s="161" t="e">
        <f t="shared" si="25"/>
        <v>#N/A</v>
      </c>
    </row>
    <row r="97" spans="34:38" x14ac:dyDescent="0.2">
      <c r="AH97" s="46" t="e">
        <v>#N/A</v>
      </c>
      <c r="AI97" s="46" t="e">
        <v>#N/A</v>
      </c>
      <c r="AJ97" s="172" t="e">
        <f t="shared" si="24"/>
        <v>#N/A</v>
      </c>
      <c r="AK97" s="46" t="e">
        <v>#N/A</v>
      </c>
      <c r="AL97" s="161" t="e">
        <f t="shared" si="25"/>
        <v>#N/A</v>
      </c>
    </row>
    <row r="98" spans="34:38" x14ac:dyDescent="0.2">
      <c r="AH98" s="46" t="e">
        <v>#N/A</v>
      </c>
      <c r="AI98" s="46" t="e">
        <v>#N/A</v>
      </c>
      <c r="AJ98" s="172" t="e">
        <f t="shared" si="24"/>
        <v>#N/A</v>
      </c>
      <c r="AK98" s="46" t="e">
        <v>#N/A</v>
      </c>
      <c r="AL98" s="161" t="e">
        <f t="shared" si="25"/>
        <v>#N/A</v>
      </c>
    </row>
    <row r="99" spans="34:38" x14ac:dyDescent="0.2">
      <c r="AH99" s="46" t="e">
        <v>#N/A</v>
      </c>
      <c r="AI99" s="46" t="e">
        <v>#N/A</v>
      </c>
      <c r="AJ99" s="172" t="e">
        <f t="shared" si="24"/>
        <v>#N/A</v>
      </c>
      <c r="AK99" s="46" t="e">
        <v>#N/A</v>
      </c>
      <c r="AL99" s="161" t="e">
        <f t="shared" si="25"/>
        <v>#N/A</v>
      </c>
    </row>
    <row r="100" spans="34:38" x14ac:dyDescent="0.2">
      <c r="AH100" s="46" t="e">
        <v>#N/A</v>
      </c>
      <c r="AI100" s="46" t="e">
        <v>#N/A</v>
      </c>
      <c r="AJ100" s="172" t="e">
        <f t="shared" si="24"/>
        <v>#N/A</v>
      </c>
      <c r="AK100" s="46" t="e">
        <v>#N/A</v>
      </c>
      <c r="AL100" s="161" t="e">
        <f t="shared" si="25"/>
        <v>#N/A</v>
      </c>
    </row>
    <row r="101" spans="34:38" x14ac:dyDescent="0.2">
      <c r="AH101" s="46" t="e">
        <v>#N/A</v>
      </c>
      <c r="AI101" s="46" t="e">
        <v>#N/A</v>
      </c>
      <c r="AJ101" s="172" t="e">
        <f t="shared" si="24"/>
        <v>#N/A</v>
      </c>
      <c r="AK101" s="46" t="e">
        <v>#N/A</v>
      </c>
      <c r="AL101" s="161" t="e">
        <f t="shared" si="25"/>
        <v>#N/A</v>
      </c>
    </row>
    <row r="102" spans="34:38" x14ac:dyDescent="0.2">
      <c r="AH102" s="46" t="e">
        <v>#N/A</v>
      </c>
      <c r="AI102" s="46" t="e">
        <v>#N/A</v>
      </c>
      <c r="AJ102" s="172" t="e">
        <f t="shared" si="24"/>
        <v>#N/A</v>
      </c>
      <c r="AK102" s="46" t="e">
        <v>#N/A</v>
      </c>
      <c r="AL102" s="161" t="e">
        <f t="shared" si="25"/>
        <v>#N/A</v>
      </c>
    </row>
    <row r="103" spans="34:38" x14ac:dyDescent="0.2">
      <c r="AH103" s="46" t="e">
        <v>#N/A</v>
      </c>
      <c r="AI103" s="46" t="e">
        <v>#N/A</v>
      </c>
      <c r="AJ103" s="172" t="e">
        <f t="shared" si="24"/>
        <v>#N/A</v>
      </c>
      <c r="AK103" s="46" t="e">
        <v>#N/A</v>
      </c>
      <c r="AL103" s="161" t="e">
        <f t="shared" si="25"/>
        <v>#N/A</v>
      </c>
    </row>
  </sheetData>
  <mergeCells count="1">
    <mergeCell ref="AN2:AO2"/>
  </mergeCells>
  <dataValidations count="4">
    <dataValidation type="list" allowBlank="1" showInputMessage="1" showErrorMessage="1" sqref="D32:D69">
      <formula1>"Annual,Semiannual,EveryFourthMonth,Quarterly,Bimonthly,Monthly,Biweekly,Weekly,Daily,Once,NoFrequency"</formula1>
    </dataValidation>
    <dataValidation type="list" allowBlank="1" showInputMessage="1" showErrorMessage="1" sqref="E32:E69">
      <formula1>"Following,Modified Following,Preceding,Modified Preceding,Unadjusted,Half-Month Modified Following"</formula1>
    </dataValidation>
    <dataValidation type="list" allowBlank="1" showInputMessage="1" showErrorMessage="1" sqref="F32:F6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O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0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5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11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9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5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8" width="11.7109375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3" width="9.140625" style="46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3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GBP6M</v>
      </c>
      <c r="Y1" s="66"/>
      <c r="Z1" s="66"/>
      <c r="AA1" s="66"/>
      <c r="AB1" s="69"/>
      <c r="AC1" s="69"/>
      <c r="AD1" s="66"/>
      <c r="AE1" s="66"/>
      <c r="AF1" s="178" t="s">
        <v>131</v>
      </c>
      <c r="AG1" s="178" t="s">
        <v>139</v>
      </c>
      <c r="AN1" s="46" t="s">
        <v>119</v>
      </c>
    </row>
    <row r="2" spans="1:41" ht="21.75" customHeight="1" x14ac:dyDescent="0.2">
      <c r="A2" s="65" t="s">
        <v>9</v>
      </c>
      <c r="B2" s="65" t="s">
        <v>28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136</v>
      </c>
      <c r="K2" s="65" t="s">
        <v>138</v>
      </c>
      <c r="M2" s="73" t="s">
        <v>9</v>
      </c>
      <c r="N2" s="73" t="s">
        <v>136</v>
      </c>
      <c r="O2" s="73" t="s">
        <v>137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136</v>
      </c>
      <c r="Z2" s="73" t="s">
        <v>137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71">
        <f t="array" ref="AF2:AF59">_xll.qlPiecewiseYieldCurveData(YieldCurve1_6M,Trigger)</f>
        <v>7.3863063527451521E-3</v>
      </c>
      <c r="AG2" s="77">
        <f t="array" ref="AG2:AG59">_xll.qlPiecewiseYieldCurveData(YieldCurve2_6M,Trigger)</f>
        <v>1</v>
      </c>
      <c r="AJ2" s="46" t="s">
        <v>140</v>
      </c>
      <c r="AL2" s="46" t="s">
        <v>141</v>
      </c>
      <c r="AN2" s="213" t="s">
        <v>84</v>
      </c>
      <c r="AO2" s="214"/>
    </row>
    <row r="3" spans="1:41" ht="11.25" customHeight="1" x14ac:dyDescent="0.2">
      <c r="A3" s="1" t="s">
        <v>26</v>
      </c>
      <c r="B3" s="8" t="s">
        <v>3</v>
      </c>
      <c r="C3" s="124"/>
      <c r="D3" s="124"/>
      <c r="E3" s="124"/>
      <c r="F3" s="124"/>
      <c r="G3" s="7" t="str">
        <f>PROPER(Currency)&amp;FamilyName&amp;B3</f>
        <v>GbpLibor6M</v>
      </c>
      <c r="H3" s="121" t="str">
        <f>IF(LCHQuoteOverwrite,Currency&amp;$B3&amp;"D"&amp;LCHQuoteSuffix,Currency&amp;$B3&amp;"D"&amp;QuoteSuffix)</f>
        <v>GBP6MD_LCHQuote</v>
      </c>
      <c r="I3" s="124"/>
      <c r="J3" s="3" t="str">
        <f>_xll.qlDepositRateHelper(,H3,G3,Permanent,Trigger,ObjectOverwrite)</f>
        <v>obj_0067d#0005</v>
      </c>
      <c r="K3" s="3" t="str">
        <f>J3</f>
        <v>obj_0067d#0005</v>
      </c>
      <c r="L3" s="49"/>
      <c r="M3" s="11" t="str">
        <f>A3</f>
        <v>Dp</v>
      </c>
      <c r="N3" s="95" t="str">
        <f>IF(ISBLANK(J3),"--",J3)</f>
        <v>obj_0067d#0005</v>
      </c>
      <c r="O3" s="95" t="str">
        <f>IF(ISBLANK(K3),"--",K3)</f>
        <v>obj_0067d#0005</v>
      </c>
      <c r="P3" s="147" t="str">
        <f>IFERROR(_xll.qlRateHelperQuoteName(N3,Trigger),"--")</f>
        <v>GBP6MD_LCHQuote</v>
      </c>
      <c r="Q3" s="101">
        <f>IFERROR(_xll.qlRateHelperQuoteValue($N3,Trigger),"--")</f>
        <v>7.4000000000000003E-3</v>
      </c>
      <c r="R3" s="144" t="b">
        <v>1</v>
      </c>
      <c r="S3" s="95">
        <v>30</v>
      </c>
      <c r="T3" s="95">
        <v>1</v>
      </c>
      <c r="U3" s="102">
        <f>IFERROR(_xll.qlRateHelperEarliestDate(N3,Trigger),"--")</f>
        <v>42304</v>
      </c>
      <c r="V3" s="102">
        <f>IFERROR(_xll.qlRateHelperPillarDate(N3,Trigger),"--")</f>
        <v>42487</v>
      </c>
      <c r="X3" s="4" t="str">
        <f>IFERROR(INDEX($M$3:$M$59,MATCH(AA3,$P$3:$P$59,0),1),"")</f>
        <v>Dp</v>
      </c>
      <c r="Y3" s="4" t="str">
        <f t="array" ref="Y3:Y59">_xll.qlRateHelperSelection(_xll.ohFilter(RateHelpers1,IncludeFlag),_xll.ohFilter(Priority,IncludeFlag),$AO$3,$AO$4,$AO$5,$AO$6,_xll.ohFilter(MinDistance,IncludeFlag),Trigger)</f>
        <v>obj_0067d</v>
      </c>
      <c r="Z3" s="4" t="str">
        <f t="array" ref="Z3:Z59">_xll.qlRateHelperSelection(_xll.ohFilter(RateHelpers1,IncludeFlag),_xll.ohFilter(Priority,IncludeFlag),$AO$3,$AO$4,$AO$5,$AO$6,_xll.ohFilter(MinDistance,IncludeFlag),Trigger)</f>
        <v>obj_0067d</v>
      </c>
      <c r="AA3" s="4" t="str">
        <f>IFERROR(_xll.qlRateHelperQuoteName(Y3,Trigger),"")</f>
        <v>GBP6MD_LCHQuote</v>
      </c>
      <c r="AB3" s="70">
        <f>IFERROR(_xll.qlRateHelperRate(Y3,Trigger),"")</f>
        <v>7.4000000000000003E-3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42304</v>
      </c>
      <c r="AE3" s="5">
        <f>IFERROR(_xll.qlRateHelperPillarDate(Y3,Trigger),"")</f>
        <v>42487</v>
      </c>
      <c r="AF3" s="70">
        <v>7.3863063527451521E-3</v>
      </c>
      <c r="AG3" s="77">
        <v>0.99630357724846619</v>
      </c>
      <c r="AH3" s="169">
        <f t="array" ref="AH3:AH59">_xll.ohFilter([1]REP00100!$C$2:$C$2000,([1]REP00100!$A$2:$A$2000="GBP_LIBOR_6M_EOD"))</f>
        <v>42487</v>
      </c>
      <c r="AI3" s="170">
        <f t="array" ref="AI3:AI59">_xll.ohFilter([1]REP00100!$E$2:$E$2000,([1]REP00100!$A$2:$A$2000="GBP_LIBOR_6M_EOD"))</f>
        <v>7.3863063529035298E-3</v>
      </c>
      <c r="AJ3" s="172">
        <f>AF3-AI3</f>
        <v>-1.5837765127146852E-13</v>
      </c>
      <c r="AK3" s="80">
        <f t="array" ref="AK3:AK59">_xll.ohFilter([1]REP00101!$F$2:$F$2000,([1]REP00101!$A$2:$A$2000="GBP_LIBOR_6M_EOD"))</f>
        <v>0.99630357724846597</v>
      </c>
      <c r="AL3" s="161">
        <f>AG3-AK3</f>
        <v>0</v>
      </c>
      <c r="AN3" s="107" t="s">
        <v>85</v>
      </c>
      <c r="AO3" s="108">
        <v>0</v>
      </c>
    </row>
    <row r="4" spans="1:41" ht="11.25" customHeight="1" x14ac:dyDescent="0.2">
      <c r="B4" s="46"/>
      <c r="C4" s="46"/>
      <c r="D4" s="46"/>
      <c r="E4" s="46"/>
      <c r="F4" s="46"/>
      <c r="G4" s="46"/>
      <c r="H4" s="46"/>
      <c r="L4" s="48"/>
      <c r="M4" s="68" t="str">
        <f t="shared" ref="M4" si="0">A6</f>
        <v>FRA</v>
      </c>
      <c r="N4" s="131" t="str">
        <f t="shared" ref="N4:O4" si="1">IF(ISBLANK(J6),"--",J6)</f>
        <v>obj_00677#0005</v>
      </c>
      <c r="O4" s="131" t="str">
        <f t="shared" si="1"/>
        <v>obj_00677#0005</v>
      </c>
      <c r="P4" s="145" t="str">
        <f>IFERROR(_xll.qlRateHelperQuoteName(N4,Trigger),"--")</f>
        <v>GBP1x7F_LCHQuote</v>
      </c>
      <c r="Q4" s="133" t="str">
        <f>IFERROR(_xll.qlRateHelperQuoteValue($N4,Trigger),"--")</f>
        <v>--</v>
      </c>
      <c r="R4" s="137" t="b">
        <v>0</v>
      </c>
      <c r="S4" s="131">
        <v>20</v>
      </c>
      <c r="T4" s="131">
        <v>1</v>
      </c>
      <c r="U4" s="134">
        <f>IFERROR(_xll.qlRateHelperEarliestDate(N4,Trigger),"--")</f>
        <v>42335</v>
      </c>
      <c r="V4" s="134">
        <f>IFERROR(_xll.qlRateHelperPillarDate(N4,Trigger),"--")</f>
        <v>42517</v>
      </c>
      <c r="X4" s="4" t="str">
        <f t="shared" ref="X4:X59" si="2">IFERROR(INDEX($M$3:$M$59,MATCH(AA4,$P$3:$P$59,0),1),"")</f>
        <v>FRA</v>
      </c>
      <c r="Y4" s="4" t="str">
        <v>obj_005e1</v>
      </c>
      <c r="Z4" s="4" t="str">
        <v>obj_005e1</v>
      </c>
      <c r="AA4" s="4" t="str">
        <f>IFERROR(_xll.qlRateHelperQuoteName(Y4,Trigger),"")</f>
        <v>GBP6x12F_LCHQuote</v>
      </c>
      <c r="AB4" s="70">
        <f>IFERROR(_xll.qlRateHelperRate(Y4,Trigger),"")</f>
        <v>8.1550000000000008E-3</v>
      </c>
      <c r="AC4" s="104" t="str">
        <f>IF(ISERROR(_xll.qlSwapRateHelperSpread($Y4)),IF(ISERROR(_xll.qlFuturesRateHelperConvexityAdjustment($Y4)),"",_xll.qlFuturesRateHelperConvexityAdjustment($Y4)),_xll.qlSwapRateHelperSpread($Y4))</f>
        <v/>
      </c>
      <c r="AD4" s="5">
        <f>IFERROR(_xll.qlRateHelperEarliestDate(Y4,Trigger),"")</f>
        <v>42487</v>
      </c>
      <c r="AE4" s="5">
        <f>IFERROR(_xll.qlRateHelperPillarDate(Y4,Trigger),"")</f>
        <v>42670</v>
      </c>
      <c r="AF4" s="70">
        <v>7.7623400499532251E-3</v>
      </c>
      <c r="AG4" s="77">
        <v>0.99224660709013723</v>
      </c>
      <c r="AH4" s="169">
        <v>42670</v>
      </c>
      <c r="AI4" s="170">
        <v>7.7623400500323901E-3</v>
      </c>
      <c r="AJ4" s="172">
        <f t="shared" ref="AJ4:AJ59" si="3">AF4-AI4</f>
        <v>-7.916497318793958E-14</v>
      </c>
      <c r="AK4" s="80">
        <v>0.99224660709014001</v>
      </c>
      <c r="AL4" s="161">
        <f t="shared" ref="AL4:AL59" si="4">AG4-AK4</f>
        <v>-2.7755575615628914E-15</v>
      </c>
      <c r="AN4" s="107" t="s">
        <v>86</v>
      </c>
      <c r="AO4" s="108">
        <v>0</v>
      </c>
    </row>
    <row r="5" spans="1:41" ht="11.25" customHeight="1" x14ac:dyDescent="0.2">
      <c r="A5" s="65" t="s">
        <v>9</v>
      </c>
      <c r="B5" s="65" t="s">
        <v>90</v>
      </c>
      <c r="C5" s="65" t="s">
        <v>91</v>
      </c>
      <c r="D5" s="65"/>
      <c r="E5" s="65"/>
      <c r="F5" s="65"/>
      <c r="G5" s="65" t="s">
        <v>4</v>
      </c>
      <c r="H5" s="65" t="s">
        <v>1</v>
      </c>
      <c r="I5" s="65"/>
      <c r="J5" s="65" t="s">
        <v>136</v>
      </c>
      <c r="K5" s="65" t="s">
        <v>138</v>
      </c>
      <c r="L5" s="48"/>
      <c r="M5" s="10" t="str">
        <f t="shared" ref="M5:M21" si="5">A7</f>
        <v>FRA</v>
      </c>
      <c r="N5" s="94" t="str">
        <f t="shared" ref="N5:N21" si="6">IF(ISBLANK(J7),"--",J7)</f>
        <v>obj_005dd#0005</v>
      </c>
      <c r="O5" s="94" t="str">
        <f t="shared" ref="O5:O21" si="7">IF(ISBLANK(K7),"--",K7)</f>
        <v>obj_005dd#0005</v>
      </c>
      <c r="P5" s="146" t="str">
        <f>IFERROR(_xll.qlRateHelperQuoteName(N5,Trigger),"--")</f>
        <v>GBP2x8F_LCHQuote</v>
      </c>
      <c r="Q5" s="98" t="str">
        <f>IFERROR(_xll.qlRateHelperQuoteValue($N5,Trigger),"--")</f>
        <v>--</v>
      </c>
      <c r="R5" s="141" t="b">
        <v>0</v>
      </c>
      <c r="S5" s="94">
        <v>20</v>
      </c>
      <c r="T5" s="94">
        <v>1</v>
      </c>
      <c r="U5" s="99">
        <f>IFERROR(_xll.qlRateHelperEarliestDate(N5,Trigger),"--")</f>
        <v>42367</v>
      </c>
      <c r="V5" s="99">
        <f>IFERROR(_xll.qlRateHelperPillarDate(N5,Trigger),"--")</f>
        <v>42548</v>
      </c>
      <c r="X5" s="4" t="str">
        <f t="shared" si="2"/>
        <v>FRA</v>
      </c>
      <c r="Y5" s="4" t="str">
        <v>obj_005e2</v>
      </c>
      <c r="Z5" s="4" t="str">
        <v>obj_005e2</v>
      </c>
      <c r="AA5" s="4" t="str">
        <f>IFERROR(_xll.qlRateHelperQuoteName(Y5,Trigger),"")</f>
        <v>GBP12x18F_LCHQuote</v>
      </c>
      <c r="AB5" s="70">
        <f>IFERROR(_xll.qlRateHelperRate(Y5,Trigger),"")</f>
        <v>9.6450000000000008E-3</v>
      </c>
      <c r="AC5" s="104" t="str">
        <f>IF(ISERROR(_xll.qlSwapRateHelperSpread($Y5)),IF(ISERROR(_xll.qlFuturesRateHelperConvexityAdjustment($Y5)),"",_xll.qlFuturesRateHelperConvexityAdjustment($Y5)),_xll.qlSwapRateHelperSpread($Y5))</f>
        <v/>
      </c>
      <c r="AD5" s="5">
        <f>IFERROR(_xll.qlRateHelperEarliestDate(Y5,Trigger),"")</f>
        <v>42670</v>
      </c>
      <c r="AE5" s="5">
        <f>IFERROR(_xll.qlRateHelperPillarDate(Y5,Trigger),"")</f>
        <v>42852</v>
      </c>
      <c r="AF5" s="70">
        <v>8.3799249188483346E-3</v>
      </c>
      <c r="AG5" s="77">
        <v>0.98749744778911108</v>
      </c>
      <c r="AH5" s="169">
        <v>42852</v>
      </c>
      <c r="AI5" s="170">
        <v>8.3799249189011292E-3</v>
      </c>
      <c r="AJ5" s="172">
        <f t="shared" si="3"/>
        <v>-5.2794574267878147E-14</v>
      </c>
      <c r="AK5" s="80">
        <v>0.98749744778974902</v>
      </c>
      <c r="AL5" s="161">
        <f t="shared" si="4"/>
        <v>-6.3793414994961495E-13</v>
      </c>
      <c r="AM5" s="80"/>
      <c r="AN5" s="107" t="s">
        <v>87</v>
      </c>
      <c r="AO5" s="108">
        <v>0</v>
      </c>
    </row>
    <row r="6" spans="1:41" ht="11.25" customHeight="1" x14ac:dyDescent="0.2">
      <c r="A6" s="53" t="s">
        <v>92</v>
      </c>
      <c r="B6" s="115">
        <v>1</v>
      </c>
      <c r="C6" s="56" t="str">
        <f t="shared" ref="C6" si="8">"x"&amp;B6+SUBSTITUTE($G$1,"M","")&amp;"F"</f>
        <v>x7F</v>
      </c>
      <c r="D6" s="129"/>
      <c r="E6" s="129"/>
      <c r="F6" s="129"/>
      <c r="G6" s="55" t="str">
        <f t="shared" ref="G6:G23" si="9">PROPER(Currency)&amp;FamilyName&amp;$G$1</f>
        <v>GbpLibor6M</v>
      </c>
      <c r="H6" s="118" t="str">
        <f t="shared" ref="H6" si="10">IF(LCHQuoteOverwrite,Currency&amp;B6&amp;C6&amp;LCHQuoteSuffix,Currency&amp;B6&amp;C6&amp;QuoteSuffix)</f>
        <v>GBP1x7F_LCHQuote</v>
      </c>
      <c r="I6" s="129"/>
      <c r="J6" s="58" t="str">
        <f>_xll.qlFraRateHelper(,H6,B6&amp;"M",G6,PillarDate,,Permanent,Trigger,ObjectOverwrite)</f>
        <v>obj_00677#0005</v>
      </c>
      <c r="K6" s="58" t="str">
        <f>J6</f>
        <v>obj_00677#0005</v>
      </c>
      <c r="L6" s="48"/>
      <c r="M6" s="10" t="str">
        <f t="shared" si="5"/>
        <v>FRA</v>
      </c>
      <c r="N6" s="94" t="str">
        <f t="shared" si="6"/>
        <v>obj_005e7#0005</v>
      </c>
      <c r="O6" s="94" t="str">
        <f t="shared" si="7"/>
        <v>obj_005e7#0005</v>
      </c>
      <c r="P6" s="146" t="str">
        <f>IFERROR(_xll.qlRateHelperQuoteName(N6,Trigger),"--")</f>
        <v>GBP3x9F_LCHQuote</v>
      </c>
      <c r="Q6" s="98" t="str">
        <f>IFERROR(_xll.qlRateHelperQuoteValue($N6,Trigger),"--")</f>
        <v>--</v>
      </c>
      <c r="R6" s="141" t="b">
        <v>0</v>
      </c>
      <c r="S6" s="94">
        <v>20</v>
      </c>
      <c r="T6" s="94">
        <v>1</v>
      </c>
      <c r="U6" s="99">
        <f>IFERROR(_xll.qlRateHelperEarliestDate(N6,Trigger),"--")</f>
        <v>42396</v>
      </c>
      <c r="V6" s="99">
        <f>IFERROR(_xll.qlRateHelperPillarDate(N6,Trigger),"--")</f>
        <v>42578</v>
      </c>
      <c r="X6" s="4" t="str">
        <f t="shared" si="2"/>
        <v>Sw</v>
      </c>
      <c r="Y6" s="4" t="str">
        <v>obj_00644</v>
      </c>
      <c r="Z6" s="4" t="str">
        <v>obj_00644</v>
      </c>
      <c r="AA6" s="4" t="str">
        <f>IFERROR(_xll.qlRateHelperQuoteName(Y6,Trigger),"")</f>
        <v>GBPSB6L2Y_LCHQuote</v>
      </c>
      <c r="AB6" s="70">
        <f>IFERROR(_xll.qlRateHelperRate(Y6,Trigger),"")</f>
        <v>9.1795000000000002E-3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42304</v>
      </c>
      <c r="AE6" s="5">
        <f>IFERROR(_xll.qlRateHelperPillarDate(Y6,Trigger),"")</f>
        <v>43035</v>
      </c>
      <c r="AF6" s="70">
        <v>9.1639005281140291E-3</v>
      </c>
      <c r="AG6" s="77">
        <v>0.98181448138696814</v>
      </c>
      <c r="AH6" s="169">
        <v>43035</v>
      </c>
      <c r="AI6" s="170">
        <v>9.1639005281135208E-3</v>
      </c>
      <c r="AJ6" s="172">
        <f t="shared" si="3"/>
        <v>5.0827397846120448E-16</v>
      </c>
      <c r="AK6" s="80">
        <v>0.98181448137775795</v>
      </c>
      <c r="AL6" s="161">
        <f t="shared" si="4"/>
        <v>9.2101881676853736E-12</v>
      </c>
      <c r="AN6" s="107" t="s">
        <v>88</v>
      </c>
      <c r="AO6" s="109" t="s">
        <v>89</v>
      </c>
    </row>
    <row r="7" spans="1:41" ht="11.25" customHeight="1" x14ac:dyDescent="0.2">
      <c r="A7" s="59" t="s">
        <v>92</v>
      </c>
      <c r="B7" s="116">
        <v>2</v>
      </c>
      <c r="C7" s="62" t="str">
        <f t="shared" ref="C7:C23" si="11">"x"&amp;B7+SUBSTITUTE($G$1,"M","")&amp;"F"</f>
        <v>x8F</v>
      </c>
      <c r="D7" s="123"/>
      <c r="E7" s="123"/>
      <c r="F7" s="123"/>
      <c r="G7" s="61" t="str">
        <f t="shared" si="9"/>
        <v>GbpLibor6M</v>
      </c>
      <c r="H7" s="119" t="str">
        <f t="shared" ref="H7:H23" si="12">IF(LCHQuoteOverwrite,Currency&amp;B7&amp;C7&amp;LCHQuoteSuffix,Currency&amp;B7&amp;C7&amp;QuoteSuffix)</f>
        <v>GBP2x8F_LCHQuote</v>
      </c>
      <c r="I7" s="123"/>
      <c r="J7" s="64" t="str">
        <f>_xll.qlFraRateHelper(,H7,B7&amp;"M",G7,PillarDate,,Permanent,Trigger,ObjectOverwrite)</f>
        <v>obj_005dd#0005</v>
      </c>
      <c r="K7" s="64" t="str">
        <f t="shared" ref="K7:K23" si="13">J7</f>
        <v>obj_005dd#0005</v>
      </c>
      <c r="L7" s="48"/>
      <c r="M7" s="10" t="str">
        <f t="shared" si="5"/>
        <v>FRA</v>
      </c>
      <c r="N7" s="94" t="str">
        <f t="shared" si="6"/>
        <v>obj_005e6#0005</v>
      </c>
      <c r="O7" s="94" t="str">
        <f t="shared" si="7"/>
        <v>obj_005e6#0005</v>
      </c>
      <c r="P7" s="146" t="str">
        <f>IFERROR(_xll.qlRateHelperQuoteName(N7,Trigger),"--")</f>
        <v>GBP4x10F_LCHQuote</v>
      </c>
      <c r="Q7" s="98" t="str">
        <f>IFERROR(_xll.qlRateHelperQuoteValue($N7,Trigger),"--")</f>
        <v>--</v>
      </c>
      <c r="R7" s="141" t="b">
        <v>0</v>
      </c>
      <c r="S7" s="94">
        <v>20</v>
      </c>
      <c r="T7" s="94">
        <v>1</v>
      </c>
      <c r="U7" s="99">
        <f>IFERROR(_xll.qlRateHelperEarliestDate(N7,Trigger),"--")</f>
        <v>42429</v>
      </c>
      <c r="V7" s="99">
        <f>IFERROR(_xll.qlRateHelperPillarDate(N7,Trigger),"--")</f>
        <v>42612</v>
      </c>
      <c r="X7" s="4" t="str">
        <f t="shared" si="2"/>
        <v>Sw</v>
      </c>
      <c r="Y7" s="4" t="str">
        <v>obj_0065a</v>
      </c>
      <c r="Z7" s="4" t="str">
        <v>obj_0065a</v>
      </c>
      <c r="AA7" s="4" t="str">
        <f>IFERROR(_xll.qlRateHelperQuoteName(Y7,Trigger),"")</f>
        <v>GBPSB6L3Y_LCHQuote</v>
      </c>
      <c r="AB7" s="70">
        <f>IFERROR(_xll.qlRateHelperRate(Y7,Trigger),"")</f>
        <v>1.0783249999999999E-2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42304</v>
      </c>
      <c r="AE7" s="5">
        <f>IFERROR(_xll.qlRateHelperPillarDate(Y7,Trigger),"")</f>
        <v>43402</v>
      </c>
      <c r="AF7" s="70">
        <v>1.0771390168366533E-2</v>
      </c>
      <c r="AG7" s="77">
        <v>0.96811666713808786</v>
      </c>
      <c r="AH7" s="169">
        <v>43402</v>
      </c>
      <c r="AI7" s="170">
        <v>1.0771390168372299E-2</v>
      </c>
      <c r="AJ7" s="172">
        <f t="shared" si="3"/>
        <v>-5.7662208341469068E-15</v>
      </c>
      <c r="AK7" s="80">
        <v>0.96811666246956796</v>
      </c>
      <c r="AL7" s="161">
        <f t="shared" si="4"/>
        <v>4.6685199039941949E-9</v>
      </c>
    </row>
    <row r="8" spans="1:41" ht="11.25" customHeight="1" x14ac:dyDescent="0.2">
      <c r="A8" s="59" t="s">
        <v>92</v>
      </c>
      <c r="B8" s="116">
        <v>3</v>
      </c>
      <c r="C8" s="62" t="str">
        <f t="shared" si="11"/>
        <v>x9F</v>
      </c>
      <c r="D8" s="123"/>
      <c r="E8" s="123"/>
      <c r="F8" s="123"/>
      <c r="G8" s="61" t="str">
        <f t="shared" si="9"/>
        <v>GbpLibor6M</v>
      </c>
      <c r="H8" s="119" t="str">
        <f t="shared" si="12"/>
        <v>GBP3x9F_LCHQuote</v>
      </c>
      <c r="I8" s="123"/>
      <c r="J8" s="64" t="str">
        <f>_xll.qlFraRateHelper(,H8,B8&amp;"M",G8,PillarDate,,Permanent,Trigger,ObjectOverwrite)</f>
        <v>obj_005e7#0005</v>
      </c>
      <c r="K8" s="64" t="str">
        <f t="shared" si="13"/>
        <v>obj_005e7#0005</v>
      </c>
      <c r="L8" s="48"/>
      <c r="M8" s="10" t="str">
        <f t="shared" si="5"/>
        <v>FRA</v>
      </c>
      <c r="N8" s="94" t="str">
        <f t="shared" si="6"/>
        <v>obj_005e4#0005</v>
      </c>
      <c r="O8" s="94" t="str">
        <f t="shared" si="7"/>
        <v>obj_005e4#0005</v>
      </c>
      <c r="P8" s="146" t="str">
        <f>IFERROR(_xll.qlRateHelperQuoteName(N8,Trigger),"--")</f>
        <v>GBP5x11F_LCHQuote</v>
      </c>
      <c r="Q8" s="98" t="str">
        <f>IFERROR(_xll.qlRateHelperQuoteValue($N8,Trigger),"--")</f>
        <v>--</v>
      </c>
      <c r="R8" s="141" t="b">
        <v>0</v>
      </c>
      <c r="S8" s="94">
        <v>20</v>
      </c>
      <c r="T8" s="94">
        <v>1</v>
      </c>
      <c r="U8" s="99">
        <f>IFERROR(_xll.qlRateHelperEarliestDate(N8,Trigger),"--")</f>
        <v>42458</v>
      </c>
      <c r="V8" s="99">
        <f>IFERROR(_xll.qlRateHelperPillarDate(N8,Trigger),"--")</f>
        <v>42640</v>
      </c>
      <c r="X8" s="4" t="str">
        <f t="shared" si="2"/>
        <v>Sw</v>
      </c>
      <c r="Y8" s="4" t="str">
        <v>obj_00647</v>
      </c>
      <c r="Z8" s="4" t="str">
        <v>obj_00647</v>
      </c>
      <c r="AA8" s="4" t="str">
        <f>IFERROR(_xll.qlRateHelperQuoteName(Y8,Trigger),"")</f>
        <v>GBPSB6L4Y_LCHQuote</v>
      </c>
      <c r="AB8" s="70">
        <f>IFERROR(_xll.qlRateHelperRate(Y8,Trigger),"")</f>
        <v>1.2314E-2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42304</v>
      </c>
      <c r="AE8" s="5">
        <f>IFERROR(_xll.qlRateHelperPillarDate(Y8,Trigger),"")</f>
        <v>43766</v>
      </c>
      <c r="AF8" s="70">
        <v>1.2312615283920216E-2</v>
      </c>
      <c r="AG8" s="77">
        <v>0.95187992531042642</v>
      </c>
      <c r="AH8" s="169">
        <v>43766</v>
      </c>
      <c r="AI8" s="170">
        <v>1.23126152838514E-2</v>
      </c>
      <c r="AJ8" s="172">
        <f t="shared" si="3"/>
        <v>6.8816480291999937E-14</v>
      </c>
      <c r="AK8" s="80">
        <v>0.95187989940869999</v>
      </c>
      <c r="AL8" s="161">
        <f t="shared" si="4"/>
        <v>2.5901726430355154E-8</v>
      </c>
    </row>
    <row r="9" spans="1:41" ht="11.25" customHeight="1" x14ac:dyDescent="0.2">
      <c r="A9" s="59" t="s">
        <v>92</v>
      </c>
      <c r="B9" s="116">
        <v>4</v>
      </c>
      <c r="C9" s="62" t="str">
        <f t="shared" si="11"/>
        <v>x10F</v>
      </c>
      <c r="D9" s="123"/>
      <c r="E9" s="123"/>
      <c r="F9" s="123"/>
      <c r="G9" s="61" t="str">
        <f t="shared" si="9"/>
        <v>GbpLibor6M</v>
      </c>
      <c r="H9" s="119" t="str">
        <f t="shared" si="12"/>
        <v>GBP4x10F_LCHQuote</v>
      </c>
      <c r="I9" s="123"/>
      <c r="J9" s="64" t="str">
        <f>_xll.qlFraRateHelper(,H9,B9&amp;"M",G9,PillarDate,,Permanent,Trigger,ObjectOverwrite)</f>
        <v>obj_005e6#0005</v>
      </c>
      <c r="K9" s="64" t="str">
        <f t="shared" si="13"/>
        <v>obj_005e6#0005</v>
      </c>
      <c r="L9" s="48"/>
      <c r="M9" s="10" t="str">
        <f t="shared" si="5"/>
        <v>FRA</v>
      </c>
      <c r="N9" s="94" t="str">
        <f t="shared" si="6"/>
        <v>obj_005e1#0005</v>
      </c>
      <c r="O9" s="94" t="str">
        <f t="shared" si="7"/>
        <v>obj_005e1#0005</v>
      </c>
      <c r="P9" s="146" t="str">
        <f>IFERROR(_xll.qlRateHelperQuoteName(N9,Trigger),"--")</f>
        <v>GBP6x12F_LCHQuote</v>
      </c>
      <c r="Q9" s="98">
        <f>IFERROR(_xll.qlRateHelperQuoteValue($N9,Trigger),"--")</f>
        <v>8.1550000000000008E-3</v>
      </c>
      <c r="R9" s="141" t="b">
        <v>1</v>
      </c>
      <c r="S9" s="94">
        <v>20</v>
      </c>
      <c r="T9" s="94">
        <v>1</v>
      </c>
      <c r="U9" s="99">
        <f>IFERROR(_xll.qlRateHelperEarliestDate(N9,Trigger),"--")</f>
        <v>42487</v>
      </c>
      <c r="V9" s="99">
        <f>IFERROR(_xll.qlRateHelperPillarDate(N9,Trigger),"--")</f>
        <v>42670</v>
      </c>
      <c r="X9" s="4" t="str">
        <f t="shared" si="2"/>
        <v>Sw</v>
      </c>
      <c r="Y9" s="4" t="str">
        <v>obj_00655</v>
      </c>
      <c r="Z9" s="4" t="str">
        <v>obj_00655</v>
      </c>
      <c r="AA9" s="4" t="str">
        <f>IFERROR(_xll.qlRateHelperQuoteName(Y9,Trigger),"")</f>
        <v>GBPSB6L5Y_LCHQuote</v>
      </c>
      <c r="AB9" s="70">
        <f>IFERROR(_xll.qlRateHelperRate(Y9,Trigger),"")</f>
        <v>1.368925E-2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42304</v>
      </c>
      <c r="AE9" s="5">
        <f>IFERROR(_xll.qlRateHelperPillarDate(Y9,Trigger),"")</f>
        <v>44131</v>
      </c>
      <c r="AF9" s="70">
        <v>1.3704621151883556E-2</v>
      </c>
      <c r="AG9" s="77">
        <v>0.93370346111155833</v>
      </c>
      <c r="AH9" s="169">
        <v>44131</v>
      </c>
      <c r="AI9" s="170">
        <v>1.37046211518303E-2</v>
      </c>
      <c r="AJ9" s="172">
        <f t="shared" si="3"/>
        <v>5.3256010712487978E-14</v>
      </c>
      <c r="AK9" s="80">
        <v>0.93370329160163201</v>
      </c>
      <c r="AL9" s="161">
        <f t="shared" si="4"/>
        <v>1.6950992631770134E-7</v>
      </c>
    </row>
    <row r="10" spans="1:41" ht="11.25" customHeight="1" x14ac:dyDescent="0.2">
      <c r="A10" s="59" t="s">
        <v>92</v>
      </c>
      <c r="B10" s="116">
        <v>5</v>
      </c>
      <c r="C10" s="62" t="str">
        <f t="shared" si="11"/>
        <v>x11F</v>
      </c>
      <c r="D10" s="123"/>
      <c r="E10" s="123"/>
      <c r="F10" s="123"/>
      <c r="G10" s="61" t="str">
        <f t="shared" si="9"/>
        <v>GbpLibor6M</v>
      </c>
      <c r="H10" s="119" t="str">
        <f t="shared" si="12"/>
        <v>GBP5x11F_LCHQuote</v>
      </c>
      <c r="I10" s="123"/>
      <c r="J10" s="64" t="str">
        <f>_xll.qlFraRateHelper(,H10,B10&amp;"M",G10,PillarDate,,Permanent,Trigger,ObjectOverwrite)</f>
        <v>obj_005e4#0005</v>
      </c>
      <c r="K10" s="64" t="str">
        <f t="shared" si="13"/>
        <v>obj_005e4#0005</v>
      </c>
      <c r="L10" s="48"/>
      <c r="M10" s="10" t="str">
        <f t="shared" si="5"/>
        <v>FRA</v>
      </c>
      <c r="N10" s="94" t="str">
        <f t="shared" si="6"/>
        <v>obj_005e3#0005</v>
      </c>
      <c r="O10" s="94" t="str">
        <f t="shared" si="7"/>
        <v>obj_005e3#0005</v>
      </c>
      <c r="P10" s="146" t="str">
        <f>IFERROR(_xll.qlRateHelperQuoteName(N10,Trigger),"--")</f>
        <v>GBP7x13F_LCHQuote</v>
      </c>
      <c r="Q10" s="98" t="str">
        <f>IFERROR(_xll.qlRateHelperQuoteValue($N10,Trigger),"--")</f>
        <v>--</v>
      </c>
      <c r="R10" s="141" t="b">
        <v>0</v>
      </c>
      <c r="S10" s="94">
        <v>20</v>
      </c>
      <c r="T10" s="94">
        <v>1</v>
      </c>
      <c r="U10" s="99">
        <f>IFERROR(_xll.qlRateHelperEarliestDate(N10,Trigger),"--")</f>
        <v>42517</v>
      </c>
      <c r="V10" s="99">
        <f>IFERROR(_xll.qlRateHelperPillarDate(N10,Trigger),"--")</f>
        <v>42702</v>
      </c>
      <c r="X10" s="4" t="str">
        <f t="shared" si="2"/>
        <v>Sw</v>
      </c>
      <c r="Y10" s="4" t="str">
        <v>obj_0063b</v>
      </c>
      <c r="Z10" s="4" t="str">
        <v>obj_0063b</v>
      </c>
      <c r="AA10" s="4" t="str">
        <f>IFERROR(_xll.qlRateHelperQuoteName(Y10,Trigger),"")</f>
        <v>GBPSB6L6Y_LCHQuote</v>
      </c>
      <c r="AB10" s="70">
        <f>IFERROR(_xll.qlRateHelperRate(Y10,Trigger),"")</f>
        <v>1.4872E-2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42304</v>
      </c>
      <c r="AE10" s="5">
        <f>IFERROR(_xll.qlRateHelperPillarDate(Y10,Trigger),"")</f>
        <v>44496</v>
      </c>
      <c r="AF10" s="70">
        <v>1.490945653705745E-2</v>
      </c>
      <c r="AG10" s="77">
        <v>0.91435593345281019</v>
      </c>
      <c r="AH10" s="169">
        <v>44496</v>
      </c>
      <c r="AI10" s="170">
        <v>1.49094565370133E-2</v>
      </c>
      <c r="AJ10" s="172">
        <f t="shared" si="3"/>
        <v>4.4150447187085717E-14</v>
      </c>
      <c r="AK10" s="80">
        <v>0.914355522755253</v>
      </c>
      <c r="AL10" s="161">
        <f t="shared" si="4"/>
        <v>4.1069755718492473E-7</v>
      </c>
    </row>
    <row r="11" spans="1:41" ht="11.25" customHeight="1" x14ac:dyDescent="0.2">
      <c r="A11" s="59" t="s">
        <v>92</v>
      </c>
      <c r="B11" s="116">
        <v>6</v>
      </c>
      <c r="C11" s="62" t="str">
        <f t="shared" si="11"/>
        <v>x12F</v>
      </c>
      <c r="D11" s="123"/>
      <c r="E11" s="123"/>
      <c r="F11" s="123"/>
      <c r="G11" s="61" t="str">
        <f t="shared" si="9"/>
        <v>GbpLibor6M</v>
      </c>
      <c r="H11" s="119" t="str">
        <f t="shared" si="12"/>
        <v>GBP6x12F_LCHQuote</v>
      </c>
      <c r="I11" s="123"/>
      <c r="J11" s="64" t="str">
        <f>_xll.qlFraRateHelper(,H11,B11&amp;"M",G11,PillarDate,,Permanent,Trigger,ObjectOverwrite)</f>
        <v>obj_005e1#0005</v>
      </c>
      <c r="K11" s="64" t="str">
        <f t="shared" si="13"/>
        <v>obj_005e1#0005</v>
      </c>
      <c r="L11" s="48"/>
      <c r="M11" s="10" t="str">
        <f t="shared" si="5"/>
        <v>FRA</v>
      </c>
      <c r="N11" s="94" t="str">
        <f t="shared" si="6"/>
        <v>obj_005df#0005</v>
      </c>
      <c r="O11" s="94" t="str">
        <f t="shared" si="7"/>
        <v>obj_005df#0005</v>
      </c>
      <c r="P11" s="146" t="str">
        <f>IFERROR(_xll.qlRateHelperQuoteName(N11,Trigger),"--")</f>
        <v>GBP8x14F_LCHQuote</v>
      </c>
      <c r="Q11" s="98" t="str">
        <f>IFERROR(_xll.qlRateHelperQuoteValue($N11,Trigger),"--")</f>
        <v>--</v>
      </c>
      <c r="R11" s="141" t="b">
        <v>0</v>
      </c>
      <c r="S11" s="94">
        <v>20</v>
      </c>
      <c r="T11" s="94">
        <v>1</v>
      </c>
      <c r="U11" s="99">
        <f>IFERROR(_xll.qlRateHelperEarliestDate(N11,Trigger),"--")</f>
        <v>42548</v>
      </c>
      <c r="V11" s="99">
        <f>IFERROR(_xll.qlRateHelperPillarDate(N11,Trigger),"--")</f>
        <v>42732</v>
      </c>
      <c r="X11" s="4" t="str">
        <f t="shared" si="2"/>
        <v>Sw</v>
      </c>
      <c r="Y11" s="4" t="str">
        <v>obj_00664</v>
      </c>
      <c r="Z11" s="4" t="str">
        <v>obj_00664</v>
      </c>
      <c r="AA11" s="4" t="str">
        <f>IFERROR(_xll.qlRateHelperQuoteName(Y11,Trigger),"")</f>
        <v>GBPSB6L7Y_LCHQuote</v>
      </c>
      <c r="AB11" s="70">
        <f>IFERROR(_xll.qlRateHelperRate(Y11,Trigger),"")</f>
        <v>1.5837750000000001E-2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42304</v>
      </c>
      <c r="AE11" s="5">
        <f>IFERROR(_xll.qlRateHelperPillarDate(Y11,Trigger),"")</f>
        <v>44861</v>
      </c>
      <c r="AF11" s="70">
        <v>1.5898801445249824E-2</v>
      </c>
      <c r="AG11" s="77">
        <v>0.89460390672001588</v>
      </c>
      <c r="AH11" s="169">
        <v>44861</v>
      </c>
      <c r="AI11" s="170">
        <v>1.5898801445211799E-2</v>
      </c>
      <c r="AJ11" s="172">
        <f t="shared" si="3"/>
        <v>3.8025138593411612E-14</v>
      </c>
      <c r="AK11" s="80">
        <v>0.89460319582255099</v>
      </c>
      <c r="AL11" s="161">
        <f t="shared" si="4"/>
        <v>7.1089746489505501E-7</v>
      </c>
    </row>
    <row r="12" spans="1:41" ht="11.25" customHeight="1" x14ac:dyDescent="0.2">
      <c r="A12" s="59" t="s">
        <v>92</v>
      </c>
      <c r="B12" s="116">
        <v>7</v>
      </c>
      <c r="C12" s="62" t="str">
        <f t="shared" si="11"/>
        <v>x13F</v>
      </c>
      <c r="D12" s="123"/>
      <c r="E12" s="123"/>
      <c r="F12" s="123"/>
      <c r="G12" s="61" t="str">
        <f t="shared" si="9"/>
        <v>GbpLibor6M</v>
      </c>
      <c r="H12" s="119" t="str">
        <f t="shared" si="12"/>
        <v>GBP7x13F_LCHQuote</v>
      </c>
      <c r="I12" s="123"/>
      <c r="J12" s="64" t="str">
        <f>_xll.qlFraRateHelper(,H12,B12&amp;"M",G12,PillarDate,,Permanent,Trigger,ObjectOverwrite)</f>
        <v>obj_005e3#0005</v>
      </c>
      <c r="K12" s="64" t="str">
        <f t="shared" si="13"/>
        <v>obj_005e3#0005</v>
      </c>
      <c r="L12" s="48" t="s">
        <v>35</v>
      </c>
      <c r="M12" s="10" t="str">
        <f t="shared" si="5"/>
        <v>FRA</v>
      </c>
      <c r="N12" s="94" t="str">
        <f t="shared" si="6"/>
        <v>obj_005e0#0005</v>
      </c>
      <c r="O12" s="94" t="str">
        <f t="shared" si="7"/>
        <v>obj_005e0#0005</v>
      </c>
      <c r="P12" s="146" t="str">
        <f>IFERROR(_xll.qlRateHelperQuoteName(N12,Trigger),"--")</f>
        <v>GBP9x15F_LCHQuote</v>
      </c>
      <c r="Q12" s="98" t="str">
        <f>IFERROR(_xll.qlRateHelperQuoteValue($N12,Trigger),"--")</f>
        <v>--</v>
      </c>
      <c r="R12" s="141" t="b">
        <v>0</v>
      </c>
      <c r="S12" s="94">
        <v>20</v>
      </c>
      <c r="T12" s="94">
        <v>1</v>
      </c>
      <c r="U12" s="99">
        <f>IFERROR(_xll.qlRateHelperEarliestDate(N12,Trigger),"--")</f>
        <v>42578</v>
      </c>
      <c r="V12" s="99">
        <f>IFERROR(_xll.qlRateHelperPillarDate(N12,Trigger),"--")</f>
        <v>42762</v>
      </c>
      <c r="X12" s="4" t="str">
        <f t="shared" si="2"/>
        <v>Sw</v>
      </c>
      <c r="Y12" s="4" t="str">
        <v>obj_0065f</v>
      </c>
      <c r="Z12" s="4" t="str">
        <v>obj_0065f</v>
      </c>
      <c r="AA12" s="4" t="str">
        <f>IFERROR(_xll.qlRateHelperQuoteName(Y12,Trigger),"")</f>
        <v>GBPSB6L8Y_LCHQuote</v>
      </c>
      <c r="AB12" s="70">
        <f>IFERROR(_xll.qlRateHelperRate(Y12,Trigger),"")</f>
        <v>1.66415E-2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42304</v>
      </c>
      <c r="AE12" s="5">
        <f>IFERROR(_xll.qlRateHelperPillarDate(Y12,Trigger),"")</f>
        <v>45226</v>
      </c>
      <c r="AF12" s="70">
        <v>1.6726843443292783E-2</v>
      </c>
      <c r="AG12" s="77">
        <v>0.87467699340355343</v>
      </c>
      <c r="AH12" s="169">
        <v>45226</v>
      </c>
      <c r="AI12" s="170">
        <v>1.6726843443259299E-2</v>
      </c>
      <c r="AJ12" s="172">
        <f t="shared" si="3"/>
        <v>3.3483632533304331E-14</v>
      </c>
      <c r="AK12" s="80">
        <v>0.87467618684169202</v>
      </c>
      <c r="AL12" s="161">
        <f t="shared" si="4"/>
        <v>8.0656186141059294E-7</v>
      </c>
    </row>
    <row r="13" spans="1:41" ht="11.25" customHeight="1" x14ac:dyDescent="0.2">
      <c r="A13" s="59" t="s">
        <v>92</v>
      </c>
      <c r="B13" s="116">
        <v>8</v>
      </c>
      <c r="C13" s="62" t="str">
        <f t="shared" si="11"/>
        <v>x14F</v>
      </c>
      <c r="D13" s="123"/>
      <c r="E13" s="123"/>
      <c r="F13" s="123"/>
      <c r="G13" s="61" t="str">
        <f t="shared" si="9"/>
        <v>GbpLibor6M</v>
      </c>
      <c r="H13" s="119" t="str">
        <f t="shared" si="12"/>
        <v>GBP8x14F_LCHQuote</v>
      </c>
      <c r="I13" s="123"/>
      <c r="J13" s="64" t="str">
        <f>_xll.qlFraRateHelper(,H13,B13&amp;"M",G13,PillarDate,,Permanent,Trigger,ObjectOverwrite)</f>
        <v>obj_005df#0005</v>
      </c>
      <c r="K13" s="64" t="str">
        <f t="shared" si="13"/>
        <v>obj_005df#0005</v>
      </c>
      <c r="L13" s="48"/>
      <c r="M13" s="10" t="str">
        <f t="shared" si="5"/>
        <v>FRA</v>
      </c>
      <c r="N13" s="94" t="str">
        <f t="shared" si="6"/>
        <v>obj_005eb#0005</v>
      </c>
      <c r="O13" s="94" t="str">
        <f t="shared" si="7"/>
        <v>obj_005eb#0005</v>
      </c>
      <c r="P13" s="146" t="str">
        <f>IFERROR(_xll.qlRateHelperQuoteName(N13,Trigger),"--")</f>
        <v>GBP10x16F_LCHQuote</v>
      </c>
      <c r="Q13" s="98" t="str">
        <f>IFERROR(_xll.qlRateHelperQuoteValue($N13,Trigger),"--")</f>
        <v>--</v>
      </c>
      <c r="R13" s="141" t="b">
        <v>0</v>
      </c>
      <c r="S13" s="94">
        <v>20</v>
      </c>
      <c r="T13" s="94">
        <v>1</v>
      </c>
      <c r="U13" s="99">
        <f>IFERROR(_xll.qlRateHelperEarliestDate(N13,Trigger),"--")</f>
        <v>42612</v>
      </c>
      <c r="V13" s="99">
        <f>IFERROR(_xll.qlRateHelperPillarDate(N13,Trigger),"--")</f>
        <v>42793</v>
      </c>
      <c r="X13" s="4" t="str">
        <f t="shared" si="2"/>
        <v>Sw</v>
      </c>
      <c r="Y13" s="4" t="str">
        <v>obj_00659</v>
      </c>
      <c r="Z13" s="4" t="str">
        <v>obj_00659</v>
      </c>
      <c r="AA13" s="4" t="str">
        <f>IFERROR(_xll.qlRateHelperQuoteName(Y13,Trigger),"")</f>
        <v>GBPSB6L9Y_LCHQuote</v>
      </c>
      <c r="AB13" s="70">
        <f>IFERROR(_xll.qlRateHelperRate(Y13,Trigger),"")</f>
        <v>1.7323499999999999E-2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42304</v>
      </c>
      <c r="AE13" s="5">
        <f>IFERROR(_xll.qlRateHelperPillarDate(Y13,Trigger),"")</f>
        <v>45593</v>
      </c>
      <c r="AF13" s="70">
        <v>1.743359526388415E-2</v>
      </c>
      <c r="AG13" s="77">
        <v>0.85463121820677834</v>
      </c>
      <c r="AH13" s="169">
        <v>45593</v>
      </c>
      <c r="AI13" s="170">
        <v>1.7433595263814401E-2</v>
      </c>
      <c r="AJ13" s="172">
        <f t="shared" si="3"/>
        <v>6.974976152207546E-14</v>
      </c>
      <c r="AK13" s="80">
        <v>0.85463036269363801</v>
      </c>
      <c r="AL13" s="161">
        <f t="shared" si="4"/>
        <v>8.5551314032983328E-7</v>
      </c>
    </row>
    <row r="14" spans="1:41" ht="11.25" customHeight="1" x14ac:dyDescent="0.2">
      <c r="A14" s="59" t="s">
        <v>92</v>
      </c>
      <c r="B14" s="116">
        <v>9</v>
      </c>
      <c r="C14" s="62" t="str">
        <f t="shared" si="11"/>
        <v>x15F</v>
      </c>
      <c r="D14" s="123"/>
      <c r="E14" s="123"/>
      <c r="F14" s="123"/>
      <c r="G14" s="61" t="str">
        <f t="shared" si="9"/>
        <v>GbpLibor6M</v>
      </c>
      <c r="H14" s="119" t="str">
        <f t="shared" si="12"/>
        <v>GBP9x15F_LCHQuote</v>
      </c>
      <c r="I14" s="123"/>
      <c r="J14" s="64" t="str">
        <f>_xll.qlFraRateHelper(,H14,B14&amp;"M",G14,PillarDate,,Permanent,Trigger,ObjectOverwrite)</f>
        <v>obj_005e0#0005</v>
      </c>
      <c r="K14" s="64" t="str">
        <f t="shared" si="13"/>
        <v>obj_005e0#0005</v>
      </c>
      <c r="L14" s="48"/>
      <c r="M14" s="10" t="str">
        <f t="shared" si="5"/>
        <v>FRA</v>
      </c>
      <c r="N14" s="94" t="str">
        <f t="shared" si="6"/>
        <v>obj_005de#0005</v>
      </c>
      <c r="O14" s="94" t="str">
        <f t="shared" si="7"/>
        <v>obj_005de#0005</v>
      </c>
      <c r="P14" s="146" t="str">
        <f>IFERROR(_xll.qlRateHelperQuoteName(N14,Trigger),"--")</f>
        <v>GBP11x17F_LCHQuote</v>
      </c>
      <c r="Q14" s="98" t="str">
        <f>IFERROR(_xll.qlRateHelperQuoteValue($N14,Trigger),"--")</f>
        <v>--</v>
      </c>
      <c r="R14" s="141" t="b">
        <v>0</v>
      </c>
      <c r="S14" s="94">
        <v>20</v>
      </c>
      <c r="T14" s="94">
        <v>1</v>
      </c>
      <c r="U14" s="99">
        <f>IFERROR(_xll.qlRateHelperEarliestDate(N14,Trigger),"--")</f>
        <v>42640</v>
      </c>
      <c r="V14" s="99">
        <f>IFERROR(_xll.qlRateHelperPillarDate(N14,Trigger),"--")</f>
        <v>42821</v>
      </c>
      <c r="X14" s="4" t="str">
        <f t="shared" si="2"/>
        <v>Sw</v>
      </c>
      <c r="Y14" s="4" t="str">
        <v>obj_0062f</v>
      </c>
      <c r="Z14" s="4" t="str">
        <v>obj_0062f</v>
      </c>
      <c r="AA14" s="4" t="str">
        <f>IFERROR(_xll.qlRateHelperQuoteName(Y14,Trigger),"")</f>
        <v>GBPSB6L10Y_LCHQuote</v>
      </c>
      <c r="AB14" s="70">
        <f>IFERROR(_xll.qlRateHelperRate(Y14,Trigger),"")</f>
        <v>1.7923999999999999E-2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42304</v>
      </c>
      <c r="AE14" s="5">
        <f>IFERROR(_xll.qlRateHelperPillarDate(Y14,Trigger),"")</f>
        <v>45957</v>
      </c>
      <c r="AF14" s="70">
        <v>1.8060473158928742E-2</v>
      </c>
      <c r="AG14" s="77">
        <v>0.83465061660420736</v>
      </c>
      <c r="AH14" s="169">
        <v>45957</v>
      </c>
      <c r="AI14" s="170">
        <v>1.80604731589682E-2</v>
      </c>
      <c r="AJ14" s="172">
        <f t="shared" si="3"/>
        <v>-3.9458020184568454E-14</v>
      </c>
      <c r="AK14" s="80">
        <v>0.834649774119258</v>
      </c>
      <c r="AL14" s="161">
        <f t="shared" si="4"/>
        <v>8.4248494935934559E-7</v>
      </c>
    </row>
    <row r="15" spans="1:41" ht="11.25" customHeight="1" x14ac:dyDescent="0.2">
      <c r="A15" s="59" t="s">
        <v>92</v>
      </c>
      <c r="B15" s="116">
        <v>10</v>
      </c>
      <c r="C15" s="62" t="str">
        <f t="shared" si="11"/>
        <v>x16F</v>
      </c>
      <c r="D15" s="123"/>
      <c r="E15" s="123"/>
      <c r="F15" s="123"/>
      <c r="G15" s="61" t="str">
        <f t="shared" si="9"/>
        <v>GbpLibor6M</v>
      </c>
      <c r="H15" s="119" t="str">
        <f t="shared" si="12"/>
        <v>GBP10x16F_LCHQuote</v>
      </c>
      <c r="I15" s="123"/>
      <c r="J15" s="64" t="str">
        <f>_xll.qlFraRateHelper(,H15,B15&amp;"M",G15,PillarDate,,Permanent,Trigger,ObjectOverwrite)</f>
        <v>obj_005eb#0005</v>
      </c>
      <c r="K15" s="64" t="str">
        <f t="shared" si="13"/>
        <v>obj_005eb#0005</v>
      </c>
      <c r="L15" s="48"/>
      <c r="M15" s="10" t="str">
        <f t="shared" si="5"/>
        <v>FRA</v>
      </c>
      <c r="N15" s="94" t="str">
        <f t="shared" si="6"/>
        <v>obj_005e2#0005</v>
      </c>
      <c r="O15" s="94" t="str">
        <f t="shared" si="7"/>
        <v>obj_005e2#0005</v>
      </c>
      <c r="P15" s="146" t="str">
        <f>IFERROR(_xll.qlRateHelperQuoteName(N15,Trigger),"--")</f>
        <v>GBP12x18F_LCHQuote</v>
      </c>
      <c r="Q15" s="98">
        <f>IFERROR(_xll.qlRateHelperQuoteValue($N15,Trigger),"--")</f>
        <v>9.6450000000000008E-3</v>
      </c>
      <c r="R15" s="141" t="b">
        <v>1</v>
      </c>
      <c r="S15" s="94">
        <v>20</v>
      </c>
      <c r="T15" s="94">
        <v>1</v>
      </c>
      <c r="U15" s="99">
        <f>IFERROR(_xll.qlRateHelperEarliestDate(N15,Trigger),"--")</f>
        <v>42670</v>
      </c>
      <c r="V15" s="99">
        <f>IFERROR(_xll.qlRateHelperPillarDate(N15,Trigger),"--")</f>
        <v>42852</v>
      </c>
      <c r="X15" s="4" t="str">
        <f t="shared" si="2"/>
        <v>Sw</v>
      </c>
      <c r="Y15" s="4" t="str">
        <v>obj_00662</v>
      </c>
      <c r="Z15" s="4" t="str">
        <v>obj_00662</v>
      </c>
      <c r="AA15" s="4" t="str">
        <f>IFERROR(_xll.qlRateHelperQuoteName(Y15,Trigger),"")</f>
        <v>GBPSB6L12Y_LCHQuote</v>
      </c>
      <c r="AB15" s="70">
        <f>IFERROR(_xll.qlRateHelperRate(Y15,Trigger),"")</f>
        <v>1.8933999999999999E-2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42304</v>
      </c>
      <c r="AE15" s="5">
        <f>IFERROR(_xll.qlRateHelperPillarDate(Y15,Trigger),"")</f>
        <v>46687</v>
      </c>
      <c r="AF15" s="70">
        <v>1.9126230342251676E-2</v>
      </c>
      <c r="AG15" s="77">
        <v>0.79481143055186154</v>
      </c>
      <c r="AH15" s="169">
        <v>46687</v>
      </c>
      <c r="AI15" s="170">
        <v>1.9126230342066401E-2</v>
      </c>
      <c r="AJ15" s="172">
        <f t="shared" si="3"/>
        <v>1.852754061282269E-13</v>
      </c>
      <c r="AK15" s="80">
        <v>0.79480945915783596</v>
      </c>
      <c r="AL15" s="161">
        <f t="shared" si="4"/>
        <v>1.9713940255794427E-6</v>
      </c>
    </row>
    <row r="16" spans="1:41" ht="11.25" customHeight="1" x14ac:dyDescent="0.2">
      <c r="A16" s="59" t="s">
        <v>92</v>
      </c>
      <c r="B16" s="116">
        <v>11</v>
      </c>
      <c r="C16" s="62" t="str">
        <f t="shared" si="11"/>
        <v>x17F</v>
      </c>
      <c r="D16" s="123"/>
      <c r="E16" s="123"/>
      <c r="F16" s="123"/>
      <c r="G16" s="61" t="str">
        <f t="shared" si="9"/>
        <v>GbpLibor6M</v>
      </c>
      <c r="H16" s="119" t="str">
        <f t="shared" si="12"/>
        <v>GBP11x17F_LCHQuote</v>
      </c>
      <c r="I16" s="123"/>
      <c r="J16" s="64" t="str">
        <f>_xll.qlFraRateHelper(,H16,B16&amp;"M",G16,PillarDate,,Permanent,Trigger,ObjectOverwrite)</f>
        <v>obj_005de#0005</v>
      </c>
      <c r="K16" s="64" t="str">
        <f t="shared" si="13"/>
        <v>obj_005de#0005</v>
      </c>
      <c r="L16" s="48"/>
      <c r="M16" s="10" t="str">
        <f t="shared" si="5"/>
        <v>FRA</v>
      </c>
      <c r="N16" s="94" t="str">
        <f t="shared" si="6"/>
        <v>obj_005db#0005</v>
      </c>
      <c r="O16" s="94" t="str">
        <f t="shared" si="7"/>
        <v>obj_005db#0005</v>
      </c>
      <c r="P16" s="146" t="str">
        <f>IFERROR(_xll.qlRateHelperQuoteName(N16,Trigger),"--")</f>
        <v>GBP13x19F_LCHQuote</v>
      </c>
      <c r="Q16" s="98" t="str">
        <f>IFERROR(_xll.qlRateHelperQuoteValue($N16,Trigger),"--")</f>
        <v>--</v>
      </c>
      <c r="R16" s="141" t="b">
        <v>0</v>
      </c>
      <c r="S16" s="94">
        <v>20</v>
      </c>
      <c r="T16" s="94">
        <v>1</v>
      </c>
      <c r="U16" s="99">
        <f>IFERROR(_xll.qlRateHelperEarliestDate(N16,Trigger),"--")</f>
        <v>42702</v>
      </c>
      <c r="V16" s="99">
        <f>IFERROR(_xll.qlRateHelperPillarDate(N16,Trigger),"--")</f>
        <v>42885</v>
      </c>
      <c r="X16" s="4" t="str">
        <f t="shared" si="2"/>
        <v>Sw</v>
      </c>
      <c r="Y16" s="4" t="str">
        <v>obj_0064b</v>
      </c>
      <c r="Z16" s="4" t="str">
        <v>obj_0064b</v>
      </c>
      <c r="AA16" s="4" t="str">
        <f>IFERROR(_xll.qlRateHelperQuoteName(Y16,Trigger),"")</f>
        <v>GBPSB6L15Y_LCHQuote</v>
      </c>
      <c r="AB16" s="70">
        <f>IFERROR(_xll.qlRateHelperRate(Y16,Trigger),"")</f>
        <v>1.9953249999999999E-2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42304</v>
      </c>
      <c r="AE16" s="5">
        <f>IFERROR(_xll.qlRateHelperPillarDate(Y16,Trigger),"")</f>
        <v>47784</v>
      </c>
      <c r="AF16" s="70">
        <v>2.0214722801984591E-2</v>
      </c>
      <c r="AG16" s="77">
        <v>0.73828634247723501</v>
      </c>
      <c r="AH16" s="169">
        <v>47784</v>
      </c>
      <c r="AI16" s="170">
        <v>2.0214722801331301E-2</v>
      </c>
      <c r="AJ16" s="172">
        <f t="shared" si="3"/>
        <v>6.5328992215896164E-13</v>
      </c>
      <c r="AK16" s="80">
        <v>0.73827798713553305</v>
      </c>
      <c r="AL16" s="161">
        <f t="shared" si="4"/>
        <v>8.3553417019599507E-6</v>
      </c>
    </row>
    <row r="17" spans="1:38" ht="11.25" customHeight="1" x14ac:dyDescent="0.2">
      <c r="A17" s="59" t="s">
        <v>92</v>
      </c>
      <c r="B17" s="116">
        <v>12</v>
      </c>
      <c r="C17" s="62" t="str">
        <f t="shared" si="11"/>
        <v>x18F</v>
      </c>
      <c r="D17" s="123"/>
      <c r="E17" s="123"/>
      <c r="F17" s="123"/>
      <c r="G17" s="61" t="str">
        <f t="shared" si="9"/>
        <v>GbpLibor6M</v>
      </c>
      <c r="H17" s="119" t="str">
        <f t="shared" si="12"/>
        <v>GBP12x18F_LCHQuote</v>
      </c>
      <c r="I17" s="123"/>
      <c r="J17" s="64" t="str">
        <f>_xll.qlFraRateHelper(,H17,B17&amp;"M",G17,PillarDate,,Permanent,Trigger,ObjectOverwrite)</f>
        <v>obj_005e2#0005</v>
      </c>
      <c r="K17" s="64" t="str">
        <f t="shared" si="13"/>
        <v>obj_005e2#0005</v>
      </c>
      <c r="L17" s="48"/>
      <c r="M17" s="10" t="str">
        <f t="shared" si="5"/>
        <v>FRA</v>
      </c>
      <c r="N17" s="94" t="str">
        <f t="shared" si="6"/>
        <v>obj_005e8#0005</v>
      </c>
      <c r="O17" s="94" t="str">
        <f t="shared" si="7"/>
        <v>obj_005e8#0005</v>
      </c>
      <c r="P17" s="146" t="str">
        <f>IFERROR(_xll.qlRateHelperQuoteName(N17,Trigger),"--")</f>
        <v>GBP14x20F_LCHQuote</v>
      </c>
      <c r="Q17" s="98" t="str">
        <f>IFERROR(_xll.qlRateHelperQuoteValue($N17,Trigger),"--")</f>
        <v>--</v>
      </c>
      <c r="R17" s="141" t="b">
        <v>0</v>
      </c>
      <c r="S17" s="94">
        <v>20</v>
      </c>
      <c r="T17" s="94">
        <v>1</v>
      </c>
      <c r="U17" s="99">
        <f>IFERROR(_xll.qlRateHelperEarliestDate(N17,Trigger),"--")</f>
        <v>42732</v>
      </c>
      <c r="V17" s="99">
        <f>IFERROR(_xll.qlRateHelperPillarDate(N17,Trigger),"--")</f>
        <v>42913</v>
      </c>
      <c r="X17" s="4" t="str">
        <f t="shared" si="2"/>
        <v>Sw</v>
      </c>
      <c r="Y17" s="4" t="str">
        <v>obj_00624</v>
      </c>
      <c r="Z17" s="4" t="str">
        <v>obj_00624</v>
      </c>
      <c r="AA17" s="4" t="str">
        <f>IFERROR(_xll.qlRateHelperQuoteName(Y17,Trigger),"")</f>
        <v>GBPSB6L20Y_LCHQuote</v>
      </c>
      <c r="AB17" s="70">
        <f>IFERROR(_xll.qlRateHelperRate(Y17,Trigger),"")</f>
        <v>2.0664999999999999E-2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42304</v>
      </c>
      <c r="AE17" s="5">
        <f>IFERROR(_xll.qlRateHelperPillarDate(Y17,Trigger),"")</f>
        <v>49611</v>
      </c>
      <c r="AF17" s="70">
        <v>2.0957923461780673E-2</v>
      </c>
      <c r="AG17" s="77">
        <v>0.65749840945378768</v>
      </c>
      <c r="AH17" s="169">
        <v>49611</v>
      </c>
      <c r="AI17" s="170">
        <v>2.0957923461792899E-2</v>
      </c>
      <c r="AJ17" s="172">
        <f t="shared" si="3"/>
        <v>-1.2226331058684536E-14</v>
      </c>
      <c r="AK17" s="80">
        <v>0.65747768704097498</v>
      </c>
      <c r="AL17" s="161">
        <f t="shared" si="4"/>
        <v>2.0722412812701485E-5</v>
      </c>
    </row>
    <row r="18" spans="1:38" ht="11.25" customHeight="1" x14ac:dyDescent="0.2">
      <c r="A18" s="59" t="s">
        <v>92</v>
      </c>
      <c r="B18" s="116">
        <v>13</v>
      </c>
      <c r="C18" s="62" t="str">
        <f t="shared" si="11"/>
        <v>x19F</v>
      </c>
      <c r="D18" s="123"/>
      <c r="E18" s="123"/>
      <c r="F18" s="123"/>
      <c r="G18" s="61" t="str">
        <f t="shared" si="9"/>
        <v>GbpLibor6M</v>
      </c>
      <c r="H18" s="119" t="str">
        <f t="shared" si="12"/>
        <v>GBP13x19F_LCHQuote</v>
      </c>
      <c r="I18" s="123"/>
      <c r="J18" s="64" t="str">
        <f>_xll.qlFraRateHelper(,H18,B18&amp;"M",G18,PillarDate,,Permanent,Trigger,ObjectOverwrite)</f>
        <v>obj_005db#0005</v>
      </c>
      <c r="K18" s="64" t="str">
        <f t="shared" si="13"/>
        <v>obj_005db#0005</v>
      </c>
      <c r="L18" s="48"/>
      <c r="M18" s="10" t="str">
        <f t="shared" si="5"/>
        <v>FRA</v>
      </c>
      <c r="N18" s="94" t="str">
        <f t="shared" si="6"/>
        <v>obj_005ea#0005</v>
      </c>
      <c r="O18" s="94" t="str">
        <f t="shared" si="7"/>
        <v>obj_005ea#0005</v>
      </c>
      <c r="P18" s="146" t="str">
        <f>IFERROR(_xll.qlRateHelperQuoteName(N18,Trigger),"--")</f>
        <v>GBP15x21F_LCHQuote</v>
      </c>
      <c r="Q18" s="98" t="str">
        <f>IFERROR(_xll.qlRateHelperQuoteValue($N18,Trigger),"--")</f>
        <v>--</v>
      </c>
      <c r="R18" s="141" t="b">
        <v>0</v>
      </c>
      <c r="S18" s="94">
        <v>20</v>
      </c>
      <c r="T18" s="94">
        <v>1</v>
      </c>
      <c r="U18" s="99">
        <f>IFERROR(_xll.qlRateHelperEarliestDate(N18,Trigger),"--")</f>
        <v>42762</v>
      </c>
      <c r="V18" s="99">
        <f>IFERROR(_xll.qlRateHelperPillarDate(N18,Trigger),"--")</f>
        <v>42943</v>
      </c>
      <c r="X18" s="4" t="str">
        <f t="shared" si="2"/>
        <v>Sw</v>
      </c>
      <c r="Y18" s="4" t="str">
        <v>obj_00627</v>
      </c>
      <c r="Z18" s="4" t="str">
        <v>obj_00627</v>
      </c>
      <c r="AA18" s="4" t="str">
        <f>IFERROR(_xll.qlRateHelperQuoteName(Y18,Trigger),"")</f>
        <v>GBPSB6L25Y_LCHQuote</v>
      </c>
      <c r="AB18" s="70">
        <f>IFERROR(_xll.qlRateHelperRate(Y18,Trigger),"")</f>
        <v>2.07385E-2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42304</v>
      </c>
      <c r="AE18" s="5">
        <f>IFERROR(_xll.qlRateHelperPillarDate(Y18,Trigger),"")</f>
        <v>51438</v>
      </c>
      <c r="AF18" s="70">
        <v>2.0968912080485267E-2</v>
      </c>
      <c r="AG18" s="77">
        <v>0.59188965914648928</v>
      </c>
      <c r="AH18" s="169">
        <v>51438</v>
      </c>
      <c r="AI18" s="170">
        <v>2.09689120804884E-2</v>
      </c>
      <c r="AJ18" s="172">
        <f t="shared" si="3"/>
        <v>-3.1329105976141136E-15</v>
      </c>
      <c r="AK18" s="80">
        <v>0.59187082343959196</v>
      </c>
      <c r="AL18" s="161">
        <f t="shared" si="4"/>
        <v>1.8835706897313287E-5</v>
      </c>
    </row>
    <row r="19" spans="1:38" ht="11.25" customHeight="1" x14ac:dyDescent="0.2">
      <c r="A19" s="59" t="s">
        <v>92</v>
      </c>
      <c r="B19" s="116">
        <v>14</v>
      </c>
      <c r="C19" s="62" t="str">
        <f t="shared" si="11"/>
        <v>x20F</v>
      </c>
      <c r="D19" s="123"/>
      <c r="E19" s="123"/>
      <c r="F19" s="123"/>
      <c r="G19" s="61" t="str">
        <f t="shared" si="9"/>
        <v>GbpLibor6M</v>
      </c>
      <c r="H19" s="119" t="str">
        <f t="shared" si="12"/>
        <v>GBP14x20F_LCHQuote</v>
      </c>
      <c r="I19" s="123"/>
      <c r="J19" s="64" t="str">
        <f>_xll.qlFraRateHelper(,H19,B19&amp;"M",G19,PillarDate,,Permanent,Trigger,ObjectOverwrite)</f>
        <v>obj_005e8#0005</v>
      </c>
      <c r="K19" s="64" t="str">
        <f t="shared" si="13"/>
        <v>obj_005e8#0005</v>
      </c>
      <c r="L19" s="48"/>
      <c r="M19" s="10" t="str">
        <f t="shared" si="5"/>
        <v>FRA</v>
      </c>
      <c r="N19" s="94" t="str">
        <f t="shared" si="6"/>
        <v>obj_005e5#0005</v>
      </c>
      <c r="O19" s="94" t="str">
        <f t="shared" si="7"/>
        <v>obj_005e5#0005</v>
      </c>
      <c r="P19" s="146" t="str">
        <f>IFERROR(_xll.qlRateHelperQuoteName(N19,Trigger),"--")</f>
        <v>GBP16x22F_LCHQuote</v>
      </c>
      <c r="Q19" s="98" t="str">
        <f>IFERROR(_xll.qlRateHelperQuoteValue($N19,Trigger),"--")</f>
        <v>--</v>
      </c>
      <c r="R19" s="141" t="b">
        <v>0</v>
      </c>
      <c r="S19" s="94">
        <v>20</v>
      </c>
      <c r="T19" s="94">
        <v>1</v>
      </c>
      <c r="U19" s="99">
        <f>IFERROR(_xll.qlRateHelperEarliestDate(N19,Trigger),"--")</f>
        <v>42793</v>
      </c>
      <c r="V19" s="99">
        <f>IFERROR(_xll.qlRateHelperPillarDate(N19,Trigger),"--")</f>
        <v>42976</v>
      </c>
      <c r="X19" s="4" t="str">
        <f t="shared" si="2"/>
        <v>Sw</v>
      </c>
      <c r="Y19" s="4" t="str">
        <v>obj_00661</v>
      </c>
      <c r="Z19" s="4" t="str">
        <v>obj_00661</v>
      </c>
      <c r="AA19" s="4" t="str">
        <f>IFERROR(_xll.qlRateHelperQuoteName(Y19,Trigger),"")</f>
        <v>GBPSB6L30Y_LCHQuote</v>
      </c>
      <c r="AB19" s="70">
        <f>IFERROR(_xll.qlRateHelperRate(Y19,Trigger),"")</f>
        <v>2.0673500000000001E-2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42304</v>
      </c>
      <c r="AE19" s="5">
        <f>IFERROR(_xll.qlRateHelperPillarDate(Y19,Trigger),"")</f>
        <v>53262</v>
      </c>
      <c r="AF19" s="70">
        <v>2.0827846572201249E-2</v>
      </c>
      <c r="AG19" s="77">
        <v>0.53529108626236788</v>
      </c>
      <c r="AH19" s="169">
        <v>53262</v>
      </c>
      <c r="AI19" s="170">
        <v>2.08278465721995E-2</v>
      </c>
      <c r="AJ19" s="172">
        <f t="shared" si="3"/>
        <v>1.7486012637846216E-15</v>
      </c>
      <c r="AK19" s="80">
        <v>0.53527365522681802</v>
      </c>
      <c r="AL19" s="161">
        <f t="shared" si="4"/>
        <v>1.7431035549853036E-5</v>
      </c>
    </row>
    <row r="20" spans="1:38" ht="11.25" customHeight="1" x14ac:dyDescent="0.2">
      <c r="A20" s="59" t="s">
        <v>92</v>
      </c>
      <c r="B20" s="116">
        <v>15</v>
      </c>
      <c r="C20" s="62" t="str">
        <f t="shared" si="11"/>
        <v>x21F</v>
      </c>
      <c r="D20" s="123"/>
      <c r="E20" s="123"/>
      <c r="F20" s="123"/>
      <c r="G20" s="61" t="str">
        <f t="shared" si="9"/>
        <v>GbpLibor6M</v>
      </c>
      <c r="H20" s="119" t="str">
        <f t="shared" si="12"/>
        <v>GBP15x21F_LCHQuote</v>
      </c>
      <c r="I20" s="123"/>
      <c r="J20" s="64" t="str">
        <f>_xll.qlFraRateHelper(,H20,B20&amp;"M",G20,PillarDate,,Permanent,Trigger,ObjectOverwrite)</f>
        <v>obj_005ea#0005</v>
      </c>
      <c r="K20" s="64" t="str">
        <f t="shared" si="13"/>
        <v>obj_005ea#0005</v>
      </c>
      <c r="L20" s="48"/>
      <c r="M20" s="10" t="str">
        <f t="shared" si="5"/>
        <v>FRA</v>
      </c>
      <c r="N20" s="94" t="str">
        <f t="shared" si="6"/>
        <v>obj_005ec#0005</v>
      </c>
      <c r="O20" s="94" t="str">
        <f t="shared" si="7"/>
        <v>obj_005ec#0005</v>
      </c>
      <c r="P20" s="146" t="str">
        <f>IFERROR(_xll.qlRateHelperQuoteName(N20,Trigger),"--")</f>
        <v>GBP17x23F_LCHQuote</v>
      </c>
      <c r="Q20" s="98" t="str">
        <f>IFERROR(_xll.qlRateHelperQuoteValue($N20,Trigger),"--")</f>
        <v>--</v>
      </c>
      <c r="R20" s="141" t="b">
        <v>0</v>
      </c>
      <c r="S20" s="94">
        <v>20</v>
      </c>
      <c r="T20" s="94">
        <v>1</v>
      </c>
      <c r="U20" s="99">
        <f>IFERROR(_xll.qlRateHelperEarliestDate(N20,Trigger),"--")</f>
        <v>42821</v>
      </c>
      <c r="V20" s="99">
        <f>IFERROR(_xll.qlRateHelperPillarDate(N20,Trigger),"--")</f>
        <v>43005</v>
      </c>
      <c r="X20" s="4" t="str">
        <f t="shared" si="2"/>
        <v>Sw</v>
      </c>
      <c r="Y20" s="4" t="str">
        <v>obj_00633</v>
      </c>
      <c r="Z20" s="4" t="str">
        <v>obj_00633</v>
      </c>
      <c r="AA20" s="4" t="str">
        <f>IFERROR(_xll.qlRateHelperQuoteName(Y20,Trigger),"")</f>
        <v>GBPSB6L40Y_LCHQuote</v>
      </c>
      <c r="AB20" s="70">
        <f>IFERROR(_xll.qlRateHelperRate(Y20,Trigger),"")</f>
        <v>2.0111500000000001E-2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42304</v>
      </c>
      <c r="AE20" s="5">
        <f>IFERROR(_xll.qlRateHelperPillarDate(Y20,Trigger),"")</f>
        <v>56914</v>
      </c>
      <c r="AF20" s="70">
        <v>1.9992319308228226E-2</v>
      </c>
      <c r="AG20" s="77">
        <v>0.44942276120313179</v>
      </c>
      <c r="AH20" s="169">
        <v>56914</v>
      </c>
      <c r="AI20" s="170">
        <v>1.9992319308250999E-2</v>
      </c>
      <c r="AJ20" s="172">
        <f t="shared" si="3"/>
        <v>-2.2773449792623524E-14</v>
      </c>
      <c r="AK20" s="80">
        <v>0.44940732784041199</v>
      </c>
      <c r="AL20" s="161">
        <f t="shared" si="4"/>
        <v>1.5433362719807775E-5</v>
      </c>
    </row>
    <row r="21" spans="1:38" ht="11.25" customHeight="1" x14ac:dyDescent="0.2">
      <c r="A21" s="59" t="s">
        <v>92</v>
      </c>
      <c r="B21" s="116">
        <v>16</v>
      </c>
      <c r="C21" s="62" t="str">
        <f t="shared" si="11"/>
        <v>x22F</v>
      </c>
      <c r="D21" s="123"/>
      <c r="E21" s="123"/>
      <c r="F21" s="123"/>
      <c r="G21" s="61" t="str">
        <f t="shared" si="9"/>
        <v>GbpLibor6M</v>
      </c>
      <c r="H21" s="119" t="str">
        <f t="shared" si="12"/>
        <v>GBP16x22F_LCHQuote</v>
      </c>
      <c r="I21" s="123"/>
      <c r="J21" s="64" t="str">
        <f>_xll.qlFraRateHelper(,H21,B21&amp;"M",G21,PillarDate,,Permanent,Trigger,ObjectOverwrite)</f>
        <v>obj_005e5#0005</v>
      </c>
      <c r="K21" s="64" t="str">
        <f t="shared" si="13"/>
        <v>obj_005e5#0005</v>
      </c>
      <c r="L21" s="48"/>
      <c r="M21" s="10" t="str">
        <f t="shared" si="5"/>
        <v>FRA</v>
      </c>
      <c r="N21" s="94" t="str">
        <f t="shared" si="6"/>
        <v>obj_005ed#0005</v>
      </c>
      <c r="O21" s="94" t="str">
        <f t="shared" si="7"/>
        <v>obj_005ed#0005</v>
      </c>
      <c r="P21" s="146" t="str">
        <f>IFERROR(_xll.qlRateHelperQuoteName(N21,Trigger),"--")</f>
        <v>GBP18x24F_LCHQuote</v>
      </c>
      <c r="Q21" s="98" t="str">
        <f>IFERROR(_xll.qlRateHelperQuoteValue($N21,Trigger),"--")</f>
        <v>--</v>
      </c>
      <c r="R21" s="141" t="b">
        <v>0</v>
      </c>
      <c r="S21" s="94">
        <v>20</v>
      </c>
      <c r="T21" s="94">
        <v>1</v>
      </c>
      <c r="U21" s="99">
        <f>IFERROR(_xll.qlRateHelperEarliestDate(N21,Trigger),"--")</f>
        <v>42852</v>
      </c>
      <c r="V21" s="99">
        <f>IFERROR(_xll.qlRateHelperPillarDate(N21,Trigger),"--")</f>
        <v>43035</v>
      </c>
      <c r="X21" s="4" t="str">
        <f t="shared" si="2"/>
        <v>Sw</v>
      </c>
      <c r="Y21" s="4" t="str">
        <v>obj_0065e</v>
      </c>
      <c r="Z21" s="4" t="str">
        <v>obj_0065e</v>
      </c>
      <c r="AA21" s="4" t="str">
        <f>IFERROR(_xll.qlRateHelperQuoteName(Y21,Trigger),"")</f>
        <v>GBPSB6L50Y_LCHQuote</v>
      </c>
      <c r="AB21" s="70">
        <f>IFERROR(_xll.qlRateHelperRate(Y21,Trigger),"")</f>
        <v>1.9783499999999999E-2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42304</v>
      </c>
      <c r="AE21" s="5">
        <f>IFERROR(_xll.qlRateHelperPillarDate(Y21,Trigger),"")</f>
        <v>60567</v>
      </c>
      <c r="AF21" s="70">
        <v>1.9506382890953938E-2</v>
      </c>
      <c r="AG21" s="77">
        <v>0.37682614405038506</v>
      </c>
      <c r="AH21" s="169">
        <v>60567</v>
      </c>
      <c r="AI21" s="170">
        <v>1.9506382890971501E-2</v>
      </c>
      <c r="AJ21" s="172">
        <f t="shared" si="3"/>
        <v>-1.7562340470789195E-14</v>
      </c>
      <c r="AK21" s="80">
        <v>0.376789240119562</v>
      </c>
      <c r="AL21" s="161">
        <f t="shared" si="4"/>
        <v>3.6903930823062314E-5</v>
      </c>
    </row>
    <row r="22" spans="1:38" ht="11.25" customHeight="1" x14ac:dyDescent="0.2">
      <c r="A22" s="59" t="s">
        <v>92</v>
      </c>
      <c r="B22" s="116">
        <v>17</v>
      </c>
      <c r="C22" s="62" t="str">
        <f t="shared" si="11"/>
        <v>x23F</v>
      </c>
      <c r="D22" s="123"/>
      <c r="E22" s="123"/>
      <c r="F22" s="123"/>
      <c r="G22" s="61" t="str">
        <f t="shared" si="9"/>
        <v>GbpLibor6M</v>
      </c>
      <c r="H22" s="119" t="str">
        <f t="shared" si="12"/>
        <v>GBP17x23F_LCHQuote</v>
      </c>
      <c r="I22" s="123"/>
      <c r="J22" s="64" t="str">
        <f>_xll.qlFraRateHelper(,H22,B22&amp;"M",G22,PillarDate,,Permanent,Trigger,ObjectOverwrite)</f>
        <v>obj_005ec#0005</v>
      </c>
      <c r="K22" s="64" t="str">
        <f t="shared" si="13"/>
        <v>obj_005ec#0005</v>
      </c>
      <c r="L22" s="48"/>
      <c r="M22" s="68" t="str">
        <f>A26</f>
        <v>Sw</v>
      </c>
      <c r="N22" s="131" t="str">
        <f>IF(ISBLANK(J26),"--",J26)</f>
        <v>obj_00669#0005</v>
      </c>
      <c r="O22" s="131" t="str">
        <f>IF(ISBLANK(K26),"--",K26)</f>
        <v>obj_00620#0005</v>
      </c>
      <c r="P22" s="145" t="str">
        <f>IFERROR(_xll.qlRateHelperQuoteName(N22,Trigger),"--")</f>
        <v>GBPSB6L6M_LCHQuote</v>
      </c>
      <c r="Q22" s="133" t="str">
        <f>IFERROR(_xll.qlRateHelperQuoteValue($N22,Trigger),"--")</f>
        <v>--</v>
      </c>
      <c r="R22" s="137" t="b">
        <v>0</v>
      </c>
      <c r="S22" s="131">
        <v>10</v>
      </c>
      <c r="T22" s="131">
        <v>1</v>
      </c>
      <c r="U22" s="134">
        <f>IFERROR(_xll.qlRateHelperEarliestDate(N22,Trigger),"--")</f>
        <v>42304</v>
      </c>
      <c r="V22" s="134">
        <f>IFERROR(_xll.qlRateHelperPillarDate(N22,Trigger),"--")</f>
        <v>42487</v>
      </c>
      <c r="X22" s="4" t="str">
        <f t="shared" si="2"/>
        <v>Sw</v>
      </c>
      <c r="Y22" s="4" t="str">
        <v>obj_0064a</v>
      </c>
      <c r="Z22" s="4" t="str">
        <v>obj_0064a</v>
      </c>
      <c r="AA22" s="4" t="str">
        <f>IFERROR(_xll.qlRateHelperQuoteName(Y22,Trigger),"")</f>
        <v>GBPSB6L60Y_LCHQuote</v>
      </c>
      <c r="AB22" s="70">
        <f>IFERROR(_xll.qlRateHelperRate(Y22,Trigger),"")</f>
        <v>1.9793000000000002E-2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42304</v>
      </c>
      <c r="AE22" s="5">
        <f>IFERROR(_xll.qlRateHelperPillarDate(Y22,Trigger),"")</f>
        <v>64220</v>
      </c>
      <c r="AF22" s="70">
        <v>1.9552199157250816E-2</v>
      </c>
      <c r="AG22" s="77">
        <v>0.30907298917040649</v>
      </c>
      <c r="AH22" s="169">
        <v>64220</v>
      </c>
      <c r="AI22" s="170">
        <v>1.9552210596212101E-2</v>
      </c>
      <c r="AJ22" s="172">
        <f t="shared" si="3"/>
        <v>-1.1438961285137328E-8</v>
      </c>
      <c r="AK22" s="80">
        <v>0.30904251746856898</v>
      </c>
      <c r="AL22" s="161">
        <f t="shared" si="4"/>
        <v>3.0471701837508913E-5</v>
      </c>
    </row>
    <row r="23" spans="1:38" ht="11.25" customHeight="1" x14ac:dyDescent="0.2">
      <c r="A23" s="1" t="s">
        <v>92</v>
      </c>
      <c r="B23" s="117">
        <v>18</v>
      </c>
      <c r="C23" s="9" t="str">
        <f t="shared" si="11"/>
        <v>x24F</v>
      </c>
      <c r="D23" s="124"/>
      <c r="E23" s="124"/>
      <c r="F23" s="124"/>
      <c r="G23" s="7" t="str">
        <f t="shared" si="9"/>
        <v>GbpLibor6M</v>
      </c>
      <c r="H23" s="120" t="str">
        <f t="shared" si="12"/>
        <v>GBP18x24F_LCHQuote</v>
      </c>
      <c r="I23" s="124"/>
      <c r="J23" s="3" t="str">
        <f>_xll.qlFraRateHelper(,H23,B23&amp;"M",G23,PillarDate,,Permanent,Trigger,ObjectOverwrite)</f>
        <v>obj_005ed#0005</v>
      </c>
      <c r="K23" s="3" t="str">
        <f t="shared" si="13"/>
        <v>obj_005ed#0005</v>
      </c>
      <c r="L23" s="48"/>
      <c r="M23" s="10" t="str">
        <f t="shared" ref="M23:M59" si="14">A27</f>
        <v>Sw</v>
      </c>
      <c r="N23" s="94" t="str">
        <f t="shared" ref="N23:O23" si="15">IF(ISBLANK(J27),"--",J27)</f>
        <v>obj_005e9#0005</v>
      </c>
      <c r="O23" s="94" t="str">
        <f t="shared" si="15"/>
        <v>obj_005dc#0005</v>
      </c>
      <c r="P23" s="146" t="str">
        <f>IFERROR(_xll.qlRateHelperQuoteName(N23,Trigger),"--")</f>
        <v>GBPSB6L1Y_LCHQuote</v>
      </c>
      <c r="Q23" s="98" t="str">
        <f>IFERROR(_xll.qlRateHelperQuoteValue($N23,Trigger),"--")</f>
        <v>--</v>
      </c>
      <c r="R23" s="141" t="b">
        <v>0</v>
      </c>
      <c r="S23" s="94">
        <v>10</v>
      </c>
      <c r="T23" s="94">
        <v>1</v>
      </c>
      <c r="U23" s="99">
        <f>IFERROR(_xll.qlRateHelperEarliestDate(N23,Trigger),"--")</f>
        <v>42304</v>
      </c>
      <c r="V23" s="99">
        <f>IFERROR(_xll.qlRateHelperPillarDate(N23,Trigger),"--")</f>
        <v>42670</v>
      </c>
      <c r="X23" s="4" t="str">
        <f t="shared" si="2"/>
        <v/>
      </c>
      <c r="Y23" s="4" t="e">
        <v>#N/A</v>
      </c>
      <c r="Z23" s="4" t="e">
        <v>#N/A</v>
      </c>
      <c r="AA23" s="4" t="str">
        <f>IFERROR(_xll.qlRateHelperQuoteName(Y23,Trigger),"")</f>
        <v/>
      </c>
      <c r="AB23" s="70" t="str">
        <f>IFERROR(_xll.qlRateHelperRate(Y23,Trigger),"")</f>
        <v/>
      </c>
      <c r="AC23" s="104" t="str">
        <f>IF(ISERROR(_xll.qlSwapRateHelperSpread($Y23)),IF(ISERROR(_xll.qlFuturesRateHelperConvexityAdjustment($Y23)),"",_xll.qlFuturesRateHelperConvexityAdjustment($Y23)),_xll.qlSwapRateHelperSpread($Y23))</f>
        <v/>
      </c>
      <c r="AD23" s="5" t="str">
        <f>IFERROR(_xll.qlRateHelperEarliestDate(Y23,Trigger),"")</f>
        <v/>
      </c>
      <c r="AE23" s="5" t="str">
        <f>IFERROR(_xll.qlRateHelperPillarDate(Y23,Trigger),"")</f>
        <v/>
      </c>
      <c r="AF23" s="70" t="e">
        <v>#N/A</v>
      </c>
      <c r="AG23" s="77" t="e">
        <v>#N/A</v>
      </c>
      <c r="AH23" s="169" t="e">
        <v>#N/A</v>
      </c>
      <c r="AI23" s="170" t="e">
        <v>#N/A</v>
      </c>
      <c r="AJ23" s="172" t="e">
        <f t="shared" si="3"/>
        <v>#N/A</v>
      </c>
      <c r="AK23" s="80" t="e">
        <v>#N/A</v>
      </c>
      <c r="AL23" s="161" t="e">
        <f t="shared" si="4"/>
        <v>#N/A</v>
      </c>
    </row>
    <row r="24" spans="1:38" ht="11.25" customHeight="1" x14ac:dyDescent="0.2">
      <c r="B24" s="46"/>
      <c r="C24" s="46"/>
      <c r="D24" s="46"/>
      <c r="E24" s="46"/>
      <c r="F24" s="46"/>
      <c r="G24" s="46" t="s">
        <v>160</v>
      </c>
      <c r="H24" s="46" t="s">
        <v>152</v>
      </c>
      <c r="L24" s="48"/>
      <c r="M24" s="10" t="str">
        <f t="shared" si="14"/>
        <v>Sw</v>
      </c>
      <c r="N24" s="94" t="str">
        <f t="shared" ref="N24:O24" si="16">IF(ISBLANK(J28),"--",J28)</f>
        <v>obj_0064c#0005</v>
      </c>
      <c r="O24" s="94" t="str">
        <f t="shared" si="16"/>
        <v>obj_0063f#0005</v>
      </c>
      <c r="P24" s="146" t="str">
        <f>IFERROR(_xll.qlRateHelperQuoteName(N24,Trigger),"--")</f>
        <v>GBPSB6L15M_LCHQuote</v>
      </c>
      <c r="Q24" s="98" t="str">
        <f>IFERROR(_xll.qlRateHelperQuoteValue($N24,Trigger),"--")</f>
        <v>--</v>
      </c>
      <c r="R24" s="141" t="b">
        <v>0</v>
      </c>
      <c r="S24" s="94">
        <v>10</v>
      </c>
      <c r="T24" s="94">
        <v>1</v>
      </c>
      <c r="U24" s="99">
        <f>IFERROR(_xll.qlRateHelperEarliestDate(N24,Trigger),"--")</f>
        <v>42304</v>
      </c>
      <c r="V24" s="99">
        <f>IFERROR(_xll.qlRateHelperPillarDate(N24,Trigger),"--")</f>
        <v>42762</v>
      </c>
      <c r="X24" s="4" t="str">
        <f t="shared" si="2"/>
        <v/>
      </c>
      <c r="Y24" s="4" t="e">
        <v>#N/A</v>
      </c>
      <c r="Z24" s="4" t="e">
        <v>#N/A</v>
      </c>
      <c r="AA24" s="4" t="str">
        <f>IFERROR(_xll.qlRateHelperQuoteName(Y24,Trigger),"")</f>
        <v/>
      </c>
      <c r="AB24" s="70" t="str">
        <f>IFERROR(_xll.qlRateHelperRate(Y24,Trigger),"")</f>
        <v/>
      </c>
      <c r="AC24" s="104" t="str">
        <f>IF(ISERROR(_xll.qlSwapRateHelperSpread($Y24)),IF(ISERROR(_xll.qlFuturesRateHelperConvexityAdjustment($Y24)),"",_xll.qlFuturesRateHelperConvexityAdjustment($Y24)),_xll.qlSwapRateHelperSpread($Y24))</f>
        <v/>
      </c>
      <c r="AD24" s="5" t="str">
        <f>IFERROR(_xll.qlRateHelperEarliestDate(Y24,Trigger),"")</f>
        <v/>
      </c>
      <c r="AE24" s="5" t="str">
        <f>IFERROR(_xll.qlRateHelperPillarDate(Y24,Trigger),"")</f>
        <v/>
      </c>
      <c r="AF24" s="70" t="e">
        <v>#N/A</v>
      </c>
      <c r="AG24" s="77" t="e">
        <v>#N/A</v>
      </c>
      <c r="AH24" s="169" t="e">
        <v>#N/A</v>
      </c>
      <c r="AI24" s="170" t="e">
        <v>#N/A</v>
      </c>
      <c r="AJ24" s="172" t="e">
        <f t="shared" si="3"/>
        <v>#N/A</v>
      </c>
      <c r="AK24" s="80" t="e">
        <v>#N/A</v>
      </c>
      <c r="AL24" s="161" t="e">
        <f t="shared" si="4"/>
        <v>#N/A</v>
      </c>
    </row>
    <row r="25" spans="1:38" ht="11.25" customHeight="1" x14ac:dyDescent="0.2">
      <c r="A25" s="65" t="s">
        <v>9</v>
      </c>
      <c r="B25" s="65" t="s">
        <v>28</v>
      </c>
      <c r="C25" s="65" t="s">
        <v>113</v>
      </c>
      <c r="D25" s="65" t="s">
        <v>5</v>
      </c>
      <c r="E25" s="65" t="s">
        <v>33</v>
      </c>
      <c r="F25" s="65" t="s">
        <v>114</v>
      </c>
      <c r="G25" s="65" t="s">
        <v>4</v>
      </c>
      <c r="H25" s="65" t="s">
        <v>1</v>
      </c>
      <c r="I25" s="65" t="s">
        <v>112</v>
      </c>
      <c r="J25" s="65" t="s">
        <v>136</v>
      </c>
      <c r="K25" s="65" t="s">
        <v>138</v>
      </c>
      <c r="L25" s="48"/>
      <c r="M25" s="10" t="str">
        <f t="shared" si="14"/>
        <v>Sw</v>
      </c>
      <c r="N25" s="94" t="str">
        <f t="shared" ref="N25:O25" si="17">IF(ISBLANK(J29),"--",J29)</f>
        <v>obj_00626#0005</v>
      </c>
      <c r="O25" s="94" t="str">
        <f t="shared" si="17"/>
        <v>obj_00665#0005</v>
      </c>
      <c r="P25" s="146" t="str">
        <f>IFERROR(_xll.qlRateHelperQuoteName(N25,Trigger),"--")</f>
        <v>GBPSB6L18M_LCHQuote</v>
      </c>
      <c r="Q25" s="98" t="str">
        <f>IFERROR(_xll.qlRateHelperQuoteValue($N25,Trigger),"--")</f>
        <v>--</v>
      </c>
      <c r="R25" s="141" t="b">
        <v>0</v>
      </c>
      <c r="S25" s="94">
        <v>10</v>
      </c>
      <c r="T25" s="94">
        <v>1</v>
      </c>
      <c r="U25" s="99">
        <f>IFERROR(_xll.qlRateHelperEarliestDate(N25,Trigger),"--")</f>
        <v>42304</v>
      </c>
      <c r="V25" s="99">
        <f>IFERROR(_xll.qlRateHelperPillarDate(N25,Trigger),"--")</f>
        <v>42852</v>
      </c>
      <c r="X25" s="4" t="str">
        <f t="shared" si="2"/>
        <v/>
      </c>
      <c r="Y25" s="4" t="e">
        <v>#N/A</v>
      </c>
      <c r="Z25" s="4" t="e">
        <v>#N/A</v>
      </c>
      <c r="AA25" s="4" t="str">
        <f>IFERROR(_xll.qlRateHelperQuoteName(Y25,Trigger),"")</f>
        <v/>
      </c>
      <c r="AB25" s="70" t="str">
        <f>IFERROR(_xll.qlRateHelperRate(Y25,Trigger),"")</f>
        <v/>
      </c>
      <c r="AC25" s="104" t="str">
        <f>IF(ISERROR(_xll.qlSwapRateHelperSpread($Y25)),IF(ISERROR(_xll.qlFuturesRateHelperConvexityAdjustment($Y25)),"",_xll.qlFuturesRateHelperConvexityAdjustment($Y25)),_xll.qlSwapRateHelperSpread($Y25))</f>
        <v/>
      </c>
      <c r="AD25" s="5" t="str">
        <f>IFERROR(_xll.qlRateHelperEarliestDate(Y25,Trigger),"")</f>
        <v/>
      </c>
      <c r="AE25" s="5" t="str">
        <f>IFERROR(_xll.qlRateHelperPillarDate(Y25,Trigger),"")</f>
        <v/>
      </c>
      <c r="AF25" s="70" t="e">
        <v>#N/A</v>
      </c>
      <c r="AG25" s="77" t="e">
        <v>#N/A</v>
      </c>
      <c r="AH25" s="169" t="e">
        <v>#N/A</v>
      </c>
      <c r="AI25" s="170" t="e">
        <v>#N/A</v>
      </c>
      <c r="AJ25" s="172" t="e">
        <f t="shared" si="3"/>
        <v>#N/A</v>
      </c>
      <c r="AK25" s="80" t="e">
        <v>#N/A</v>
      </c>
      <c r="AL25" s="161" t="e">
        <f t="shared" si="4"/>
        <v>#N/A</v>
      </c>
    </row>
    <row r="26" spans="1:38" ht="11.25" customHeight="1" x14ac:dyDescent="0.2">
      <c r="A26" s="53" t="s">
        <v>25</v>
      </c>
      <c r="B26" s="54" t="s">
        <v>3</v>
      </c>
      <c r="C26" s="55" t="s">
        <v>6</v>
      </c>
      <c r="D26" s="55" t="s">
        <v>158</v>
      </c>
      <c r="E26" s="55" t="s">
        <v>7</v>
      </c>
      <c r="F26" s="55" t="s">
        <v>159</v>
      </c>
      <c r="G26" s="55" t="str">
        <f t="shared" ref="G26:G63" si="18">PROPER(Currency)&amp;FamilyName&amp;$G$1</f>
        <v>GbpLibor6M</v>
      </c>
      <c r="H26" s="53" t="str">
        <f t="shared" ref="H26:H63" si="19">IF(LCHQuoteOverwrite,Currency&amp;$G$24&amp;$H$24&amp;$B26&amp;LCHQuoteSuffix,Currency&amp;$G$24&amp;$H$24&amp;$B26&amp;QuoteSuffix)</f>
        <v>GBPSB6L6M_LCHQuote</v>
      </c>
      <c r="I26" s="126">
        <v>0</v>
      </c>
      <c r="J26" s="64" t="str">
        <f>_xll.qlSwapRateHelper2(,$H26,0,$B26,Calendar,$D26,$E26,$F26,$G26,$I26,$C26,Discounting1,PillarDate,,Permanent,Trigger,ObjectOverwrite)</f>
        <v>obj_00669#0005</v>
      </c>
      <c r="K26" s="64" t="str">
        <f>_xll.qlSwapRateHelper2(,$H26,0,$B26,Calendar,$D26,$E26,$F26,$G26,$I26,$C26,Discounting2,PillarDate,,Permanent,Trigger,ObjectOverwrite)</f>
        <v>obj_00620#0005</v>
      </c>
      <c r="L26" s="48"/>
      <c r="M26" s="10" t="str">
        <f t="shared" si="14"/>
        <v>Sw</v>
      </c>
      <c r="N26" s="94" t="str">
        <f t="shared" ref="N26:O26" si="20">IF(ISBLANK(J30),"--",J30)</f>
        <v>obj_0062a#0005</v>
      </c>
      <c r="O26" s="94" t="str">
        <f t="shared" si="20"/>
        <v>obj_00621#0005</v>
      </c>
      <c r="P26" s="146" t="str">
        <f>IFERROR(_xll.qlRateHelperQuoteName(N26,Trigger),"--")</f>
        <v>GBPSB6L21M_LCHQuote</v>
      </c>
      <c r="Q26" s="98" t="str">
        <f>IFERROR(_xll.qlRateHelperQuoteValue($N26,Trigger),"--")</f>
        <v>--</v>
      </c>
      <c r="R26" s="141" t="b">
        <v>0</v>
      </c>
      <c r="S26" s="94">
        <v>10</v>
      </c>
      <c r="T26" s="94">
        <v>1</v>
      </c>
      <c r="U26" s="99">
        <f>IFERROR(_xll.qlRateHelperEarliestDate(N26,Trigger),"--")</f>
        <v>42304</v>
      </c>
      <c r="V26" s="99">
        <f>IFERROR(_xll.qlRateHelperPillarDate(N26,Trigger),"--")</f>
        <v>42943</v>
      </c>
      <c r="X26" s="4" t="str">
        <f t="shared" si="2"/>
        <v/>
      </c>
      <c r="Y26" s="4" t="e">
        <v>#N/A</v>
      </c>
      <c r="Z26" s="4" t="e">
        <v>#N/A</v>
      </c>
      <c r="AA26" s="4" t="str">
        <f>IFERROR(_xll.qlRateHelperQuoteName(Y26,Trigger),"")</f>
        <v/>
      </c>
      <c r="AB26" s="70" t="str">
        <f>IFERROR(_xll.qlRateHelperRate(Y26,Trigger),"")</f>
        <v/>
      </c>
      <c r="AC26" s="104" t="str">
        <f>IF(ISERROR(_xll.qlSwapRateHelperSpread($Y26)),IF(ISERROR(_xll.qlFuturesRateHelperConvexityAdjustment($Y26)),"",_xll.qlFuturesRateHelperConvexityAdjustment($Y26)),_xll.qlSwapRateHelperSpread($Y26))</f>
        <v/>
      </c>
      <c r="AD26" s="5" t="str">
        <f>IFERROR(_xll.qlRateHelperEarliestDate(Y26,Trigger),"")</f>
        <v/>
      </c>
      <c r="AE26" s="5" t="str">
        <f>IFERROR(_xll.qlRateHelperPillarDate(Y26,Trigger),"")</f>
        <v/>
      </c>
      <c r="AF26" s="70" t="e">
        <v>#N/A</v>
      </c>
      <c r="AG26" s="77" t="e">
        <v>#N/A</v>
      </c>
      <c r="AH26" s="169" t="e">
        <v>#N/A</v>
      </c>
      <c r="AI26" s="170" t="e">
        <v>#N/A</v>
      </c>
      <c r="AJ26" s="172" t="e">
        <f t="shared" si="3"/>
        <v>#N/A</v>
      </c>
      <c r="AK26" s="80" t="e">
        <v>#N/A</v>
      </c>
      <c r="AL26" s="161" t="e">
        <f t="shared" si="4"/>
        <v>#N/A</v>
      </c>
    </row>
    <row r="27" spans="1:38" ht="11.25" customHeight="1" x14ac:dyDescent="0.2">
      <c r="A27" s="59" t="s">
        <v>25</v>
      </c>
      <c r="B27" s="60" t="s">
        <v>27</v>
      </c>
      <c r="C27" s="61" t="s">
        <v>6</v>
      </c>
      <c r="D27" s="61" t="s">
        <v>158</v>
      </c>
      <c r="E27" s="61" t="s">
        <v>7</v>
      </c>
      <c r="F27" s="61" t="s">
        <v>159</v>
      </c>
      <c r="G27" s="61" t="str">
        <f t="shared" si="18"/>
        <v>GbpLibor6M</v>
      </c>
      <c r="H27" s="59" t="str">
        <f t="shared" si="19"/>
        <v>GBPSB6L1Y_LCHQuote</v>
      </c>
      <c r="I27" s="127">
        <v>0</v>
      </c>
      <c r="J27" s="64" t="str">
        <f>_xll.qlSwapRateHelper2(,$H27,0,$B27,Calendar,$D27,$E27,$F27,$G27,$I27,$C27,Discounting1,PillarDate,,Permanent,Trigger,ObjectOverwrite)</f>
        <v>obj_005e9#0005</v>
      </c>
      <c r="K27" s="64" t="str">
        <f>_xll.qlSwapRateHelper2(,$H27,0,$B27,Calendar,$D27,$E27,$F27,$G27,$I27,$C27,Discounting2,PillarDate,,Permanent,Trigger,ObjectOverwrite)</f>
        <v>obj_005dc#0005</v>
      </c>
      <c r="L27" s="48"/>
      <c r="M27" s="10" t="str">
        <f t="shared" si="14"/>
        <v>Sw</v>
      </c>
      <c r="N27" s="94" t="str">
        <f t="shared" ref="N27:O27" si="21">IF(ISBLANK(J31),"--",J31)</f>
        <v>obj_00644#0005</v>
      </c>
      <c r="O27" s="94" t="str">
        <f t="shared" si="21"/>
        <v>obj_0065c#0005</v>
      </c>
      <c r="P27" s="146" t="str">
        <f>IFERROR(_xll.qlRateHelperQuoteName(N27,Trigger),"--")</f>
        <v>GBPSB6L2Y_LCHQuote</v>
      </c>
      <c r="Q27" s="98">
        <f>IFERROR(_xll.qlRateHelperQuoteValue($N27,Trigger),"--")</f>
        <v>9.1795000000000002E-3</v>
      </c>
      <c r="R27" s="141" t="b">
        <v>1</v>
      </c>
      <c r="S27" s="94">
        <v>10</v>
      </c>
      <c r="T27" s="94">
        <v>1</v>
      </c>
      <c r="U27" s="99">
        <f>IFERROR(_xll.qlRateHelperEarliestDate(N27,Trigger),"--")</f>
        <v>42304</v>
      </c>
      <c r="V27" s="99">
        <f>IFERROR(_xll.qlRateHelperPillarDate(N27,Trigger),"--")</f>
        <v>43035</v>
      </c>
      <c r="X27" s="4" t="str">
        <f t="shared" si="2"/>
        <v/>
      </c>
      <c r="Y27" s="4" t="e">
        <v>#N/A</v>
      </c>
      <c r="Z27" s="4" t="e">
        <v>#N/A</v>
      </c>
      <c r="AA27" s="4" t="str">
        <f>IFERROR(_xll.qlRateHelperQuoteName(Y27,Trigger),"")</f>
        <v/>
      </c>
      <c r="AB27" s="70" t="str">
        <f>IFERROR(_xll.qlRateHelperRate(Y27,Trigger),"")</f>
        <v/>
      </c>
      <c r="AC27" s="104" t="str">
        <f>IF(ISERROR(_xll.qlSwapRateHelperSpread($Y27)),IF(ISERROR(_xll.qlFuturesRateHelperConvexityAdjustment($Y27)),"",_xll.qlFuturesRateHelperConvexityAdjustment($Y27)),_xll.qlSwapRateHelperSpread($Y27))</f>
        <v/>
      </c>
      <c r="AD27" s="5" t="str">
        <f>IFERROR(_xll.qlRateHelperEarliestDate(Y27,Trigger),"")</f>
        <v/>
      </c>
      <c r="AE27" s="5" t="str">
        <f>IFERROR(_xll.qlRateHelperPillarDate(Y27,Trigger),"")</f>
        <v/>
      </c>
      <c r="AF27" s="70" t="e">
        <v>#N/A</v>
      </c>
      <c r="AG27" s="77" t="e">
        <v>#N/A</v>
      </c>
      <c r="AH27" s="169" t="e">
        <v>#N/A</v>
      </c>
      <c r="AI27" s="170" t="e">
        <v>#N/A</v>
      </c>
      <c r="AJ27" s="172" t="e">
        <f t="shared" si="3"/>
        <v>#N/A</v>
      </c>
      <c r="AK27" s="80" t="e">
        <v>#N/A</v>
      </c>
      <c r="AL27" s="161" t="e">
        <f t="shared" si="4"/>
        <v>#N/A</v>
      </c>
    </row>
    <row r="28" spans="1:38" ht="11.25" customHeight="1" x14ac:dyDescent="0.2">
      <c r="A28" s="59" t="s">
        <v>25</v>
      </c>
      <c r="B28" s="60" t="s">
        <v>48</v>
      </c>
      <c r="C28" s="61" t="s">
        <v>6</v>
      </c>
      <c r="D28" s="61" t="s">
        <v>158</v>
      </c>
      <c r="E28" s="61" t="s">
        <v>7</v>
      </c>
      <c r="F28" s="61" t="s">
        <v>159</v>
      </c>
      <c r="G28" s="61" t="str">
        <f t="shared" si="18"/>
        <v>GbpLibor6M</v>
      </c>
      <c r="H28" s="59" t="str">
        <f t="shared" si="19"/>
        <v>GBPSB6L15M_LCHQuote</v>
      </c>
      <c r="I28" s="127">
        <v>0</v>
      </c>
      <c r="J28" s="64" t="str">
        <f>_xll.qlSwapRateHelper2(,$H28,0,$B28,Calendar,$D28,$E28,$F28,$G28,$I28,$C28,Discounting1,PillarDate,,Permanent,Trigger,ObjectOverwrite)</f>
        <v>obj_0064c#0005</v>
      </c>
      <c r="K28" s="64" t="str">
        <f>_xll.qlSwapRateHelper2(,$H28,0,$B28,Calendar,$D28,$E28,$F28,$G28,$I28,$C28,Discounting2,PillarDate,,Permanent,Trigger,ObjectOverwrite)</f>
        <v>obj_0063f#0005</v>
      </c>
      <c r="L28" s="48"/>
      <c r="M28" s="10" t="str">
        <f t="shared" si="14"/>
        <v>Sw</v>
      </c>
      <c r="N28" s="94" t="str">
        <f t="shared" ref="N28:O28" si="22">IF(ISBLANK(J32),"--",J32)</f>
        <v>obj_0065a#0005</v>
      </c>
      <c r="O28" s="94" t="str">
        <f t="shared" si="22"/>
        <v>obj_00639#0005</v>
      </c>
      <c r="P28" s="146" t="str">
        <f>IFERROR(_xll.qlRateHelperQuoteName(N28,Trigger),"--")</f>
        <v>GBPSB6L3Y_LCHQuote</v>
      </c>
      <c r="Q28" s="98">
        <f>IFERROR(_xll.qlRateHelperQuoteValue($N28,Trigger),"--")</f>
        <v>1.0783249999999999E-2</v>
      </c>
      <c r="R28" s="141" t="b">
        <v>1</v>
      </c>
      <c r="S28" s="94">
        <v>10</v>
      </c>
      <c r="T28" s="94">
        <v>1</v>
      </c>
      <c r="U28" s="99">
        <f>IFERROR(_xll.qlRateHelperEarliestDate(N28,Trigger),"--")</f>
        <v>42304</v>
      </c>
      <c r="V28" s="99">
        <f>IFERROR(_xll.qlRateHelperPillarDate(N28,Trigger),"--")</f>
        <v>43402</v>
      </c>
      <c r="X28" s="4" t="str">
        <f t="shared" si="2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3"/>
        <v>#N/A</v>
      </c>
      <c r="AK28" s="80" t="e">
        <v>#N/A</v>
      </c>
      <c r="AL28" s="161" t="e">
        <f t="shared" si="4"/>
        <v>#N/A</v>
      </c>
    </row>
    <row r="29" spans="1:38" ht="11.25" customHeight="1" x14ac:dyDescent="0.2">
      <c r="A29" s="59" t="s">
        <v>25</v>
      </c>
      <c r="B29" s="60" t="s">
        <v>49</v>
      </c>
      <c r="C29" s="61" t="s">
        <v>6</v>
      </c>
      <c r="D29" s="61" t="s">
        <v>158</v>
      </c>
      <c r="E29" s="61" t="s">
        <v>7</v>
      </c>
      <c r="F29" s="61" t="s">
        <v>159</v>
      </c>
      <c r="G29" s="61" t="str">
        <f t="shared" si="18"/>
        <v>GbpLibor6M</v>
      </c>
      <c r="H29" s="59" t="str">
        <f t="shared" si="19"/>
        <v>GBPSB6L18M_LCHQuote</v>
      </c>
      <c r="I29" s="127">
        <v>0</v>
      </c>
      <c r="J29" s="64" t="str">
        <f>_xll.qlSwapRateHelper2(,$H29,0,$B29,Calendar,$D29,$E29,$F29,$G29,$I29,$C29,Discounting1,PillarDate,,Permanent,Trigger,ObjectOverwrite)</f>
        <v>obj_00626#0005</v>
      </c>
      <c r="K29" s="64" t="str">
        <f>_xll.qlSwapRateHelper2(,$H29,0,$B29,Calendar,$D29,$E29,$F29,$G29,$I29,$C29,Discounting2,PillarDate,,Permanent,Trigger,ObjectOverwrite)</f>
        <v>obj_00665#0005</v>
      </c>
      <c r="L29" s="48"/>
      <c r="M29" s="10" t="str">
        <f t="shared" si="14"/>
        <v>Sw</v>
      </c>
      <c r="N29" s="94" t="str">
        <f t="shared" ref="N29:O29" si="23">IF(ISBLANK(J33),"--",J33)</f>
        <v>obj_00647#0005</v>
      </c>
      <c r="O29" s="94" t="str">
        <f t="shared" si="23"/>
        <v>obj_0064d#0005</v>
      </c>
      <c r="P29" s="146" t="str">
        <f>IFERROR(_xll.qlRateHelperQuoteName(N29,Trigger),"--")</f>
        <v>GBPSB6L4Y_LCHQuote</v>
      </c>
      <c r="Q29" s="98">
        <f>IFERROR(_xll.qlRateHelperQuoteValue($N29,Trigger),"--")</f>
        <v>1.2314E-2</v>
      </c>
      <c r="R29" s="141" t="b">
        <v>1</v>
      </c>
      <c r="S29" s="94">
        <v>10</v>
      </c>
      <c r="T29" s="94">
        <v>1</v>
      </c>
      <c r="U29" s="99">
        <f>IFERROR(_xll.qlRateHelperEarliestDate(N29,Trigger),"--")</f>
        <v>42304</v>
      </c>
      <c r="V29" s="99">
        <f>IFERROR(_xll.qlRateHelperPillarDate(N29,Trigger),"--")</f>
        <v>43766</v>
      </c>
      <c r="X29" s="4" t="str">
        <f t="shared" si="2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3"/>
        <v>#N/A</v>
      </c>
      <c r="AK29" s="80" t="e">
        <v>#N/A</v>
      </c>
      <c r="AL29" s="161" t="e">
        <f t="shared" si="4"/>
        <v>#N/A</v>
      </c>
    </row>
    <row r="30" spans="1:38" ht="11.25" customHeight="1" x14ac:dyDescent="0.2">
      <c r="A30" s="59" t="s">
        <v>25</v>
      </c>
      <c r="B30" s="60" t="s">
        <v>50</v>
      </c>
      <c r="C30" s="61" t="s">
        <v>6</v>
      </c>
      <c r="D30" s="61" t="s">
        <v>158</v>
      </c>
      <c r="E30" s="61" t="s">
        <v>7</v>
      </c>
      <c r="F30" s="61" t="s">
        <v>159</v>
      </c>
      <c r="G30" s="61" t="str">
        <f t="shared" si="18"/>
        <v>GbpLibor6M</v>
      </c>
      <c r="H30" s="59" t="str">
        <f t="shared" si="19"/>
        <v>GBPSB6L21M_LCHQuote</v>
      </c>
      <c r="I30" s="127">
        <v>0</v>
      </c>
      <c r="J30" s="64" t="str">
        <f>_xll.qlSwapRateHelper2(,$H30,0,$B30,Calendar,$D30,$E30,$F30,$G30,$I30,$C30,Discounting1,PillarDate,,Permanent,Trigger,ObjectOverwrite)</f>
        <v>obj_0062a#0005</v>
      </c>
      <c r="K30" s="64" t="str">
        <f>_xll.qlSwapRateHelper2(,$H30,0,$B30,Calendar,$D30,$E30,$F30,$G30,$I30,$C30,Discounting2,PillarDate,,Permanent,Trigger,ObjectOverwrite)</f>
        <v>obj_00621#0005</v>
      </c>
      <c r="L30" s="48"/>
      <c r="M30" s="10" t="str">
        <f t="shared" si="14"/>
        <v>Sw</v>
      </c>
      <c r="N30" s="94" t="str">
        <f t="shared" ref="N30:O30" si="24">IF(ISBLANK(J34),"--",J34)</f>
        <v>obj_00655#0005</v>
      </c>
      <c r="O30" s="94" t="str">
        <f t="shared" si="24"/>
        <v>obj_0063a#0005</v>
      </c>
      <c r="P30" s="146" t="str">
        <f>IFERROR(_xll.qlRateHelperQuoteName(N30,Trigger),"--")</f>
        <v>GBPSB6L5Y_LCHQuote</v>
      </c>
      <c r="Q30" s="98">
        <f>IFERROR(_xll.qlRateHelperQuoteValue($N30,Trigger),"--")</f>
        <v>1.368925E-2</v>
      </c>
      <c r="R30" s="141" t="b">
        <v>1</v>
      </c>
      <c r="S30" s="94">
        <v>10</v>
      </c>
      <c r="T30" s="94">
        <v>1</v>
      </c>
      <c r="U30" s="99">
        <f>IFERROR(_xll.qlRateHelperEarliestDate(N30,Trigger),"--")</f>
        <v>42304</v>
      </c>
      <c r="V30" s="99">
        <f>IFERROR(_xll.qlRateHelperPillarDate(N30,Trigger),"--")</f>
        <v>44131</v>
      </c>
      <c r="X30" s="4" t="str">
        <f t="shared" si="2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3"/>
        <v>#N/A</v>
      </c>
      <c r="AK30" s="80" t="e">
        <v>#N/A</v>
      </c>
      <c r="AL30" s="161" t="e">
        <f t="shared" si="4"/>
        <v>#N/A</v>
      </c>
    </row>
    <row r="31" spans="1:38" ht="11.25" customHeight="1" x14ac:dyDescent="0.2">
      <c r="A31" s="59" t="s">
        <v>25</v>
      </c>
      <c r="B31" s="60" t="s">
        <v>51</v>
      </c>
      <c r="C31" s="61" t="s">
        <v>6</v>
      </c>
      <c r="D31" s="61" t="s">
        <v>158</v>
      </c>
      <c r="E31" s="61" t="s">
        <v>7</v>
      </c>
      <c r="F31" s="61" t="s">
        <v>159</v>
      </c>
      <c r="G31" s="61" t="str">
        <f t="shared" si="18"/>
        <v>GbpLibor6M</v>
      </c>
      <c r="H31" s="59" t="str">
        <f t="shared" si="19"/>
        <v>GBPSB6L2Y_LCHQuote</v>
      </c>
      <c r="I31" s="127">
        <v>0</v>
      </c>
      <c r="J31" s="64" t="str">
        <f>_xll.qlSwapRateHelper2(,$H31,0,$B31,Calendar,$D31,$E31,$F31,$G31,$I31,$C31,Discounting1,PillarDate,,Permanent,Trigger,ObjectOverwrite)</f>
        <v>obj_00644#0005</v>
      </c>
      <c r="K31" s="64" t="str">
        <f>_xll.qlSwapRateHelper2(,$H31,0,$B31,Calendar,$D31,$E31,$F31,$G31,$I31,$C31,Discounting2,PillarDate,,Permanent,Trigger,ObjectOverwrite)</f>
        <v>obj_0065c#0005</v>
      </c>
      <c r="L31" s="48"/>
      <c r="M31" s="10" t="str">
        <f t="shared" si="14"/>
        <v>Sw</v>
      </c>
      <c r="N31" s="94" t="str">
        <f t="shared" ref="N31:O31" si="25">IF(ISBLANK(J35),"--",J35)</f>
        <v>obj_0063b#0005</v>
      </c>
      <c r="O31" s="94" t="str">
        <f t="shared" si="25"/>
        <v>obj_0062c#0005</v>
      </c>
      <c r="P31" s="146" t="str">
        <f>IFERROR(_xll.qlRateHelperQuoteName(N31,Trigger),"--")</f>
        <v>GBPSB6L6Y_LCHQuote</v>
      </c>
      <c r="Q31" s="98">
        <f>IFERROR(_xll.qlRateHelperQuoteValue($N31,Trigger),"--")</f>
        <v>1.4872E-2</v>
      </c>
      <c r="R31" s="141" t="b">
        <v>1</v>
      </c>
      <c r="S31" s="94">
        <v>10</v>
      </c>
      <c r="T31" s="94">
        <v>1</v>
      </c>
      <c r="U31" s="99">
        <f>IFERROR(_xll.qlRateHelperEarliestDate(N31,Trigger),"--")</f>
        <v>42304</v>
      </c>
      <c r="V31" s="99">
        <f>IFERROR(_xll.qlRateHelperPillarDate(N31,Trigger),"--")</f>
        <v>44496</v>
      </c>
      <c r="X31" s="4" t="str">
        <f t="shared" si="2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3"/>
        <v>#N/A</v>
      </c>
      <c r="AK31" s="80" t="e">
        <v>#N/A</v>
      </c>
      <c r="AL31" s="161" t="e">
        <f t="shared" si="4"/>
        <v>#N/A</v>
      </c>
    </row>
    <row r="32" spans="1:38" ht="11.25" customHeight="1" x14ac:dyDescent="0.2">
      <c r="A32" s="59" t="s">
        <v>25</v>
      </c>
      <c r="B32" s="60" t="s">
        <v>52</v>
      </c>
      <c r="C32" s="61" t="s">
        <v>6</v>
      </c>
      <c r="D32" s="61" t="s">
        <v>158</v>
      </c>
      <c r="E32" s="61" t="s">
        <v>7</v>
      </c>
      <c r="F32" s="61" t="s">
        <v>159</v>
      </c>
      <c r="G32" s="61" t="str">
        <f t="shared" si="18"/>
        <v>GbpLibor6M</v>
      </c>
      <c r="H32" s="59" t="str">
        <f t="shared" si="19"/>
        <v>GBPSB6L3Y_LCHQuote</v>
      </c>
      <c r="I32" s="127">
        <v>0</v>
      </c>
      <c r="J32" s="64" t="str">
        <f>_xll.qlSwapRateHelper2(,$H32,0,$B32,Calendar,$D32,$E32,$F32,$G32,$I32,$C32,Discounting1,PillarDate,,Permanent,Trigger,ObjectOverwrite)</f>
        <v>obj_0065a#0005</v>
      </c>
      <c r="K32" s="64" t="str">
        <f>_xll.qlSwapRateHelper2(,$H32,0,$B32,Calendar,$D32,$E32,$F32,$G32,$I32,$C32,Discounting2,PillarDate,,Permanent,Trigger,ObjectOverwrite)</f>
        <v>obj_00639#0005</v>
      </c>
      <c r="L32" s="48"/>
      <c r="M32" s="10" t="str">
        <f t="shared" si="14"/>
        <v>Sw</v>
      </c>
      <c r="N32" s="94" t="str">
        <f t="shared" ref="N32:O32" si="26">IF(ISBLANK(J36),"--",J36)</f>
        <v>obj_00664#0005</v>
      </c>
      <c r="O32" s="94" t="str">
        <f t="shared" si="26"/>
        <v>obj_0065b#0005</v>
      </c>
      <c r="P32" s="146" t="str">
        <f>IFERROR(_xll.qlRateHelperQuoteName(N32,Trigger),"--")</f>
        <v>GBPSB6L7Y_LCHQuote</v>
      </c>
      <c r="Q32" s="98">
        <f>IFERROR(_xll.qlRateHelperQuoteValue($N32,Trigger),"--")</f>
        <v>1.5837750000000001E-2</v>
      </c>
      <c r="R32" s="141" t="b">
        <v>1</v>
      </c>
      <c r="S32" s="94">
        <v>10</v>
      </c>
      <c r="T32" s="94">
        <v>1</v>
      </c>
      <c r="U32" s="99">
        <f>IFERROR(_xll.qlRateHelperEarliestDate(N32,Trigger),"--")</f>
        <v>42304</v>
      </c>
      <c r="V32" s="99">
        <f>IFERROR(_xll.qlRateHelperPillarDate(N32,Trigger),"--")</f>
        <v>44861</v>
      </c>
      <c r="X32" s="4" t="str">
        <f t="shared" si="2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3"/>
        <v>#N/A</v>
      </c>
      <c r="AK32" s="80" t="e">
        <v>#N/A</v>
      </c>
      <c r="AL32" s="161" t="e">
        <f t="shared" si="4"/>
        <v>#N/A</v>
      </c>
    </row>
    <row r="33" spans="1:38" ht="11.25" customHeight="1" x14ac:dyDescent="0.2">
      <c r="A33" s="59" t="s">
        <v>25</v>
      </c>
      <c r="B33" s="60" t="s">
        <v>53</v>
      </c>
      <c r="C33" s="61" t="s">
        <v>6</v>
      </c>
      <c r="D33" s="61" t="s">
        <v>158</v>
      </c>
      <c r="E33" s="61" t="s">
        <v>7</v>
      </c>
      <c r="F33" s="61" t="s">
        <v>159</v>
      </c>
      <c r="G33" s="61" t="str">
        <f t="shared" si="18"/>
        <v>GbpLibor6M</v>
      </c>
      <c r="H33" s="59" t="str">
        <f t="shared" si="19"/>
        <v>GBPSB6L4Y_LCHQuote</v>
      </c>
      <c r="I33" s="127">
        <v>0</v>
      </c>
      <c r="J33" s="64" t="str">
        <f>_xll.qlSwapRateHelper2(,$H33,0,$B33,Calendar,$D33,$E33,$F33,$G33,$I33,$C33,Discounting1,PillarDate,,Permanent,Trigger,ObjectOverwrite)</f>
        <v>obj_00647#0005</v>
      </c>
      <c r="K33" s="64" t="str">
        <f>_xll.qlSwapRateHelper2(,$H33,0,$B33,Calendar,$D33,$E33,$F33,$G33,$I33,$C33,Discounting2,PillarDate,,Permanent,Trigger,ObjectOverwrite)</f>
        <v>obj_0064d#0005</v>
      </c>
      <c r="L33" s="48"/>
      <c r="M33" s="10" t="str">
        <f t="shared" si="14"/>
        <v>Sw</v>
      </c>
      <c r="N33" s="94" t="str">
        <f t="shared" ref="N33:O33" si="27">IF(ISBLANK(J37),"--",J37)</f>
        <v>obj_0065f#0005</v>
      </c>
      <c r="O33" s="94" t="str">
        <f t="shared" si="27"/>
        <v>obj_00666#0005</v>
      </c>
      <c r="P33" s="146" t="str">
        <f>IFERROR(_xll.qlRateHelperQuoteName(N33,Trigger),"--")</f>
        <v>GBPSB6L8Y_LCHQuote</v>
      </c>
      <c r="Q33" s="98">
        <f>IFERROR(_xll.qlRateHelperQuoteValue($N33,Trigger),"--")</f>
        <v>1.66415E-2</v>
      </c>
      <c r="R33" s="141" t="b">
        <v>1</v>
      </c>
      <c r="S33" s="94">
        <v>10</v>
      </c>
      <c r="T33" s="94">
        <v>1</v>
      </c>
      <c r="U33" s="99">
        <f>IFERROR(_xll.qlRateHelperEarliestDate(N33,Trigger),"--")</f>
        <v>42304</v>
      </c>
      <c r="V33" s="99">
        <f>IFERROR(_xll.qlRateHelperPillarDate(N33,Trigger),"--")</f>
        <v>45226</v>
      </c>
      <c r="X33" s="4" t="str">
        <f t="shared" si="2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3"/>
        <v>#N/A</v>
      </c>
      <c r="AK33" s="80" t="e">
        <v>#N/A</v>
      </c>
      <c r="AL33" s="161" t="e">
        <f t="shared" si="4"/>
        <v>#N/A</v>
      </c>
    </row>
    <row r="34" spans="1:38" ht="11.25" customHeight="1" x14ac:dyDescent="0.2">
      <c r="A34" s="59" t="s">
        <v>25</v>
      </c>
      <c r="B34" s="60" t="s">
        <v>54</v>
      </c>
      <c r="C34" s="61" t="s">
        <v>6</v>
      </c>
      <c r="D34" s="61" t="s">
        <v>158</v>
      </c>
      <c r="E34" s="61" t="s">
        <v>7</v>
      </c>
      <c r="F34" s="61" t="s">
        <v>159</v>
      </c>
      <c r="G34" s="61" t="str">
        <f t="shared" si="18"/>
        <v>GbpLibor6M</v>
      </c>
      <c r="H34" s="59" t="str">
        <f t="shared" si="19"/>
        <v>GBPSB6L5Y_LCHQuote</v>
      </c>
      <c r="I34" s="127">
        <v>0</v>
      </c>
      <c r="J34" s="64" t="str">
        <f>_xll.qlSwapRateHelper2(,$H34,0,$B34,Calendar,$D34,$E34,$F34,$G34,$I34,$C34,Discounting1,PillarDate,,Permanent,Trigger,ObjectOverwrite)</f>
        <v>obj_00655#0005</v>
      </c>
      <c r="K34" s="64" t="str">
        <f>_xll.qlSwapRateHelper2(,$H34,0,$B34,Calendar,$D34,$E34,$F34,$G34,$I34,$C34,Discounting2,PillarDate,,Permanent,Trigger,ObjectOverwrite)</f>
        <v>obj_0063a#0005</v>
      </c>
      <c r="L34" s="48"/>
      <c r="M34" s="10" t="str">
        <f t="shared" si="14"/>
        <v>Sw</v>
      </c>
      <c r="N34" s="94" t="str">
        <f t="shared" ref="N34:O34" si="28">IF(ISBLANK(J38),"--",J38)</f>
        <v>obj_00659#0005</v>
      </c>
      <c r="O34" s="94" t="str">
        <f t="shared" si="28"/>
        <v>obj_0064f#0005</v>
      </c>
      <c r="P34" s="146" t="str">
        <f>IFERROR(_xll.qlRateHelperQuoteName(N34,Trigger),"--")</f>
        <v>GBPSB6L9Y_LCHQuote</v>
      </c>
      <c r="Q34" s="98">
        <f>IFERROR(_xll.qlRateHelperQuoteValue($N34,Trigger),"--")</f>
        <v>1.7323499999999999E-2</v>
      </c>
      <c r="R34" s="141" t="b">
        <v>1</v>
      </c>
      <c r="S34" s="94">
        <v>10</v>
      </c>
      <c r="T34" s="94">
        <v>1</v>
      </c>
      <c r="U34" s="99">
        <f>IFERROR(_xll.qlRateHelperEarliestDate(N34,Trigger),"--")</f>
        <v>42304</v>
      </c>
      <c r="V34" s="99">
        <f>IFERROR(_xll.qlRateHelperPillarDate(N34,Trigger),"--")</f>
        <v>45593</v>
      </c>
      <c r="X34" s="4" t="str">
        <f t="shared" si="2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3"/>
        <v>#N/A</v>
      </c>
      <c r="AK34" s="80" t="e">
        <v>#N/A</v>
      </c>
      <c r="AL34" s="161" t="e">
        <f t="shared" si="4"/>
        <v>#N/A</v>
      </c>
    </row>
    <row r="35" spans="1:38" ht="11.25" customHeight="1" x14ac:dyDescent="0.2">
      <c r="A35" s="59" t="s">
        <v>25</v>
      </c>
      <c r="B35" s="60" t="s">
        <v>55</v>
      </c>
      <c r="C35" s="61" t="s">
        <v>6</v>
      </c>
      <c r="D35" s="61" t="s">
        <v>158</v>
      </c>
      <c r="E35" s="61" t="s">
        <v>7</v>
      </c>
      <c r="F35" s="61" t="s">
        <v>159</v>
      </c>
      <c r="G35" s="61" t="str">
        <f t="shared" si="18"/>
        <v>GbpLibor6M</v>
      </c>
      <c r="H35" s="59" t="str">
        <f t="shared" si="19"/>
        <v>GBPSB6L6Y_LCHQuote</v>
      </c>
      <c r="I35" s="127">
        <v>0</v>
      </c>
      <c r="J35" s="64" t="str">
        <f>_xll.qlSwapRateHelper2(,$H35,0,$B35,Calendar,$D35,$E35,$F35,$G35,$I35,$C35,Discounting1,PillarDate,,Permanent,Trigger,ObjectOverwrite)</f>
        <v>obj_0063b#0005</v>
      </c>
      <c r="K35" s="64" t="str">
        <f>_xll.qlSwapRateHelper2(,$H35,0,$B35,Calendar,$D35,$E35,$F35,$G35,$I35,$C35,Discounting2,PillarDate,,Permanent,Trigger,ObjectOverwrite)</f>
        <v>obj_0062c#0005</v>
      </c>
      <c r="L35" s="48"/>
      <c r="M35" s="10" t="str">
        <f t="shared" si="14"/>
        <v>Sw</v>
      </c>
      <c r="N35" s="94" t="str">
        <f t="shared" ref="N35:O35" si="29">IF(ISBLANK(J39),"--",J39)</f>
        <v>obj_0062f#0005</v>
      </c>
      <c r="O35" s="94" t="str">
        <f t="shared" si="29"/>
        <v>obj_00631#0005</v>
      </c>
      <c r="P35" s="146" t="str">
        <f>IFERROR(_xll.qlRateHelperQuoteName(N35,Trigger),"--")</f>
        <v>GBPSB6L10Y_LCHQuote</v>
      </c>
      <c r="Q35" s="98">
        <f>IFERROR(_xll.qlRateHelperQuoteValue($N35,Trigger),"--")</f>
        <v>1.7923999999999999E-2</v>
      </c>
      <c r="R35" s="141" t="b">
        <v>1</v>
      </c>
      <c r="S35" s="94">
        <v>10</v>
      </c>
      <c r="T35" s="94">
        <v>1</v>
      </c>
      <c r="U35" s="99">
        <f>IFERROR(_xll.qlRateHelperEarliestDate(N35,Trigger),"--")</f>
        <v>42304</v>
      </c>
      <c r="V35" s="99">
        <f>IFERROR(_xll.qlRateHelperPillarDate(N35,Trigger),"--")</f>
        <v>45957</v>
      </c>
      <c r="X35" s="4" t="str">
        <f t="shared" si="2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3"/>
        <v>#N/A</v>
      </c>
      <c r="AK35" s="80" t="e">
        <v>#N/A</v>
      </c>
      <c r="AL35" s="161" t="e">
        <f t="shared" si="4"/>
        <v>#N/A</v>
      </c>
    </row>
    <row r="36" spans="1:38" ht="11.25" customHeight="1" x14ac:dyDescent="0.2">
      <c r="A36" s="59" t="s">
        <v>25</v>
      </c>
      <c r="B36" s="60" t="s">
        <v>56</v>
      </c>
      <c r="C36" s="61" t="s">
        <v>6</v>
      </c>
      <c r="D36" s="61" t="s">
        <v>158</v>
      </c>
      <c r="E36" s="61" t="s">
        <v>7</v>
      </c>
      <c r="F36" s="61" t="s">
        <v>159</v>
      </c>
      <c r="G36" s="61" t="str">
        <f t="shared" si="18"/>
        <v>GbpLibor6M</v>
      </c>
      <c r="H36" s="59" t="str">
        <f t="shared" si="19"/>
        <v>GBPSB6L7Y_LCHQuote</v>
      </c>
      <c r="I36" s="127">
        <v>0</v>
      </c>
      <c r="J36" s="64" t="str">
        <f>_xll.qlSwapRateHelper2(,$H36,0,$B36,Calendar,$D36,$E36,$F36,$G36,$I36,$C36,Discounting1,PillarDate,,Permanent,Trigger,ObjectOverwrite)</f>
        <v>obj_00664#0005</v>
      </c>
      <c r="K36" s="64" t="str">
        <f>_xll.qlSwapRateHelper2(,$H36,0,$B36,Calendar,$D36,$E36,$F36,$G36,$I36,$C36,Discounting2,PillarDate,,Permanent,Trigger,ObjectOverwrite)</f>
        <v>obj_0065b#0005</v>
      </c>
      <c r="L36" s="48"/>
      <c r="M36" s="10" t="str">
        <f t="shared" si="14"/>
        <v>Sw</v>
      </c>
      <c r="N36" s="94" t="str">
        <f t="shared" ref="N36:O36" si="30">IF(ISBLANK(J40),"--",J40)</f>
        <v>obj_00653#0005</v>
      </c>
      <c r="O36" s="94" t="str">
        <f t="shared" si="30"/>
        <v>obj_0063c#0005</v>
      </c>
      <c r="P36" s="146" t="str">
        <f>IFERROR(_xll.qlRateHelperQuoteName(N36,Trigger),"--")</f>
        <v>GBPSB6L11Y_LCHQuote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>
        <f>IFERROR(_xll.qlRateHelperEarliestDate(N36,Trigger),"--")</f>
        <v>42304</v>
      </c>
      <c r="V36" s="99">
        <f>IFERROR(_xll.qlRateHelperPillarDate(N36,Trigger),"--")</f>
        <v>46322</v>
      </c>
      <c r="X36" s="4" t="str">
        <f t="shared" si="2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3"/>
        <v>#N/A</v>
      </c>
      <c r="AK36" s="80" t="e">
        <v>#N/A</v>
      </c>
      <c r="AL36" s="161" t="e">
        <f t="shared" si="4"/>
        <v>#N/A</v>
      </c>
    </row>
    <row r="37" spans="1:38" ht="11.25" customHeight="1" x14ac:dyDescent="0.2">
      <c r="A37" s="59" t="s">
        <v>25</v>
      </c>
      <c r="B37" s="60" t="s">
        <v>57</v>
      </c>
      <c r="C37" s="61" t="s">
        <v>6</v>
      </c>
      <c r="D37" s="61" t="s">
        <v>158</v>
      </c>
      <c r="E37" s="61" t="s">
        <v>7</v>
      </c>
      <c r="F37" s="61" t="s">
        <v>159</v>
      </c>
      <c r="G37" s="61" t="str">
        <f t="shared" si="18"/>
        <v>GbpLibor6M</v>
      </c>
      <c r="H37" s="59" t="str">
        <f t="shared" si="19"/>
        <v>GBPSB6L8Y_LCHQuote</v>
      </c>
      <c r="I37" s="127">
        <v>0</v>
      </c>
      <c r="J37" s="64" t="str">
        <f>_xll.qlSwapRateHelper2(,$H37,0,$B37,Calendar,$D37,$E37,$F37,$G37,$I37,$C37,Discounting1,PillarDate,,Permanent,Trigger,ObjectOverwrite)</f>
        <v>obj_0065f#0005</v>
      </c>
      <c r="K37" s="64" t="str">
        <f>_xll.qlSwapRateHelper2(,$H37,0,$B37,Calendar,$D37,$E37,$F37,$G37,$I37,$C37,Discounting2,PillarDate,,Permanent,Trigger,ObjectOverwrite)</f>
        <v>obj_00666#0005</v>
      </c>
      <c r="L37" s="48"/>
      <c r="M37" s="10" t="str">
        <f t="shared" si="14"/>
        <v>Sw</v>
      </c>
      <c r="N37" s="94" t="str">
        <f t="shared" ref="N37:O37" si="31">IF(ISBLANK(J41),"--",J41)</f>
        <v>obj_00662#0005</v>
      </c>
      <c r="O37" s="94" t="str">
        <f t="shared" si="31"/>
        <v>obj_00640#0005</v>
      </c>
      <c r="P37" s="146" t="str">
        <f>IFERROR(_xll.qlRateHelperQuoteName(N37,Trigger),"--")</f>
        <v>GBPSB6L12Y_LCHQuote</v>
      </c>
      <c r="Q37" s="98">
        <f>IFERROR(_xll.qlRateHelperQuoteValue($N37,Trigger),"--")</f>
        <v>1.8933999999999999E-2</v>
      </c>
      <c r="R37" s="141" t="b">
        <v>1</v>
      </c>
      <c r="S37" s="94">
        <v>10</v>
      </c>
      <c r="T37" s="94">
        <v>1</v>
      </c>
      <c r="U37" s="99">
        <f>IFERROR(_xll.qlRateHelperEarliestDate(N37,Trigger),"--")</f>
        <v>42304</v>
      </c>
      <c r="V37" s="99">
        <f>IFERROR(_xll.qlRateHelperPillarDate(N37,Trigger),"--")</f>
        <v>46687</v>
      </c>
      <c r="X37" s="4" t="str">
        <f t="shared" si="2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3"/>
        <v>#N/A</v>
      </c>
      <c r="AK37" s="80" t="e">
        <v>#N/A</v>
      </c>
      <c r="AL37" s="161" t="e">
        <f t="shared" si="4"/>
        <v>#N/A</v>
      </c>
    </row>
    <row r="38" spans="1:38" ht="11.25" customHeight="1" x14ac:dyDescent="0.2">
      <c r="A38" s="59" t="s">
        <v>25</v>
      </c>
      <c r="B38" s="60" t="s">
        <v>58</v>
      </c>
      <c r="C38" s="61" t="s">
        <v>6</v>
      </c>
      <c r="D38" s="61" t="s">
        <v>158</v>
      </c>
      <c r="E38" s="61" t="s">
        <v>7</v>
      </c>
      <c r="F38" s="61" t="s">
        <v>159</v>
      </c>
      <c r="G38" s="61" t="str">
        <f t="shared" si="18"/>
        <v>GbpLibor6M</v>
      </c>
      <c r="H38" s="59" t="str">
        <f t="shared" si="19"/>
        <v>GBPSB6L9Y_LCHQuote</v>
      </c>
      <c r="I38" s="127">
        <v>0</v>
      </c>
      <c r="J38" s="64" t="str">
        <f>_xll.qlSwapRateHelper2(,$H38,0,$B38,Calendar,$D38,$E38,$F38,$G38,$I38,$C38,Discounting1,PillarDate,,Permanent,Trigger,ObjectOverwrite)</f>
        <v>obj_00659#0005</v>
      </c>
      <c r="K38" s="64" t="str">
        <f>_xll.qlSwapRateHelper2(,$H38,0,$B38,Calendar,$D38,$E38,$F38,$G38,$I38,$C38,Discounting2,PillarDate,,Permanent,Trigger,ObjectOverwrite)</f>
        <v>obj_0064f#0005</v>
      </c>
      <c r="L38" s="48"/>
      <c r="M38" s="10" t="str">
        <f t="shared" si="14"/>
        <v>Sw</v>
      </c>
      <c r="N38" s="94" t="str">
        <f t="shared" ref="N38:O38" si="32">IF(ISBLANK(J42),"--",J42)</f>
        <v>obj_00636#0005</v>
      </c>
      <c r="O38" s="94" t="str">
        <f t="shared" si="32"/>
        <v>obj_0065d#0005</v>
      </c>
      <c r="P38" s="146" t="str">
        <f>IFERROR(_xll.qlRateHelperQuoteName(N38,Trigger),"--")</f>
        <v>GBPSB6L13Y_LCHQuote</v>
      </c>
      <c r="Q38" s="98" t="str">
        <f>IFERROR(_xll.qlRateHelperQuoteValue($N38,Trigger),"--")</f>
        <v>--</v>
      </c>
      <c r="R38" s="141" t="b">
        <v>0</v>
      </c>
      <c r="S38" s="94">
        <v>10</v>
      </c>
      <c r="T38" s="94">
        <v>1</v>
      </c>
      <c r="U38" s="99">
        <f>IFERROR(_xll.qlRateHelperEarliestDate(N38,Trigger),"--")</f>
        <v>42304</v>
      </c>
      <c r="V38" s="99">
        <f>IFERROR(_xll.qlRateHelperPillarDate(N38,Trigger),"--")</f>
        <v>47053</v>
      </c>
      <c r="X38" s="4" t="str">
        <f t="shared" si="2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3"/>
        <v>#N/A</v>
      </c>
      <c r="AK38" s="80" t="e">
        <v>#N/A</v>
      </c>
      <c r="AL38" s="161" t="e">
        <f t="shared" si="4"/>
        <v>#N/A</v>
      </c>
    </row>
    <row r="39" spans="1:38" ht="11.25" customHeight="1" x14ac:dyDescent="0.2">
      <c r="A39" s="59" t="s">
        <v>25</v>
      </c>
      <c r="B39" s="60" t="s">
        <v>59</v>
      </c>
      <c r="C39" s="61" t="s">
        <v>6</v>
      </c>
      <c r="D39" s="61" t="s">
        <v>158</v>
      </c>
      <c r="E39" s="61" t="s">
        <v>7</v>
      </c>
      <c r="F39" s="61" t="s">
        <v>159</v>
      </c>
      <c r="G39" s="61" t="str">
        <f t="shared" si="18"/>
        <v>GbpLibor6M</v>
      </c>
      <c r="H39" s="59" t="str">
        <f t="shared" si="19"/>
        <v>GBPSB6L10Y_LCHQuote</v>
      </c>
      <c r="I39" s="127">
        <v>0</v>
      </c>
      <c r="J39" s="64" t="str">
        <f>_xll.qlSwapRateHelper2(,$H39,0,$B39,Calendar,$D39,$E39,$F39,$G39,$I39,$C39,Discounting1,PillarDate,,Permanent,Trigger,ObjectOverwrite)</f>
        <v>obj_0062f#0005</v>
      </c>
      <c r="K39" s="64" t="str">
        <f>_xll.qlSwapRateHelper2(,$H39,0,$B39,Calendar,$D39,$E39,$F39,$G39,$I39,$C39,Discounting2,PillarDate,,Permanent,Trigger,ObjectOverwrite)</f>
        <v>obj_00631#0005</v>
      </c>
      <c r="L39" s="48"/>
      <c r="M39" s="10" t="str">
        <f t="shared" si="14"/>
        <v>Sw</v>
      </c>
      <c r="N39" s="94" t="str">
        <f t="shared" ref="N39:O39" si="33">IF(ISBLANK(J43),"--",J43)</f>
        <v>obj_00628#0005</v>
      </c>
      <c r="O39" s="94" t="str">
        <f t="shared" si="33"/>
        <v>obj_00635#0005</v>
      </c>
      <c r="P39" s="146" t="str">
        <f>IFERROR(_xll.qlRateHelperQuoteName(N39,Trigger),"--")</f>
        <v>GBPSB6L14Y_LCHQuote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>
        <f>IFERROR(_xll.qlRateHelperEarliestDate(N39,Trigger),"--")</f>
        <v>42304</v>
      </c>
      <c r="V39" s="99">
        <f>IFERROR(_xll.qlRateHelperPillarDate(N39,Trigger),"--")</f>
        <v>47420</v>
      </c>
      <c r="X39" s="4" t="str">
        <f t="shared" si="2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3"/>
        <v>#N/A</v>
      </c>
      <c r="AK39" s="80" t="e">
        <v>#N/A</v>
      </c>
      <c r="AL39" s="161" t="e">
        <f t="shared" si="4"/>
        <v>#N/A</v>
      </c>
    </row>
    <row r="40" spans="1:38" ht="11.25" customHeight="1" x14ac:dyDescent="0.2">
      <c r="A40" s="59" t="s">
        <v>25</v>
      </c>
      <c r="B40" s="60" t="s">
        <v>97</v>
      </c>
      <c r="C40" s="61" t="s">
        <v>6</v>
      </c>
      <c r="D40" s="61" t="s">
        <v>158</v>
      </c>
      <c r="E40" s="61" t="s">
        <v>7</v>
      </c>
      <c r="F40" s="61" t="s">
        <v>159</v>
      </c>
      <c r="G40" s="61" t="str">
        <f t="shared" si="18"/>
        <v>GbpLibor6M</v>
      </c>
      <c r="H40" s="59" t="str">
        <f t="shared" si="19"/>
        <v>GBPSB6L11Y_LCHQuote</v>
      </c>
      <c r="I40" s="127">
        <v>0</v>
      </c>
      <c r="J40" s="64" t="str">
        <f>_xll.qlSwapRateHelper2(,$H40,0,$B40,Calendar,$D40,$E40,$F40,$G40,$I40,$C40,Discounting1,PillarDate,,Permanent,Trigger,ObjectOverwrite)</f>
        <v>obj_00653#0005</v>
      </c>
      <c r="K40" s="64" t="str">
        <f>_xll.qlSwapRateHelper2(,$H40,0,$B40,Calendar,$D40,$E40,$F40,$G40,$I40,$C40,Discounting2,PillarDate,,Permanent,Trigger,ObjectOverwrite)</f>
        <v>obj_0063c#0005</v>
      </c>
      <c r="L40" s="48"/>
      <c r="M40" s="10" t="str">
        <f t="shared" si="14"/>
        <v>Sw</v>
      </c>
      <c r="N40" s="94" t="str">
        <f t="shared" ref="N40:O40" si="34">IF(ISBLANK(J44),"--",J44)</f>
        <v>obj_0064b#0005</v>
      </c>
      <c r="O40" s="94" t="str">
        <f t="shared" si="34"/>
        <v>obj_0062d#0005</v>
      </c>
      <c r="P40" s="146" t="str">
        <f>IFERROR(_xll.qlRateHelperQuoteName(N40,Trigger),"--")</f>
        <v>GBPSB6L15Y_LCHQuote</v>
      </c>
      <c r="Q40" s="98">
        <f>IFERROR(_xll.qlRateHelperQuoteValue($N40,Trigger),"--")</f>
        <v>1.9953249999999999E-2</v>
      </c>
      <c r="R40" s="141" t="b">
        <v>1</v>
      </c>
      <c r="S40" s="94">
        <v>10</v>
      </c>
      <c r="T40" s="94">
        <v>1</v>
      </c>
      <c r="U40" s="99">
        <f>IFERROR(_xll.qlRateHelperEarliestDate(N40,Trigger),"--")</f>
        <v>42304</v>
      </c>
      <c r="V40" s="99">
        <f>IFERROR(_xll.qlRateHelperPillarDate(N40,Trigger),"--")</f>
        <v>47784</v>
      </c>
      <c r="X40" s="4" t="str">
        <f t="shared" si="2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3"/>
        <v>#N/A</v>
      </c>
      <c r="AK40" s="80" t="e">
        <v>#N/A</v>
      </c>
      <c r="AL40" s="161" t="e">
        <f t="shared" si="4"/>
        <v>#N/A</v>
      </c>
    </row>
    <row r="41" spans="1:38" ht="11.25" customHeight="1" x14ac:dyDescent="0.2">
      <c r="A41" s="59" t="s">
        <v>25</v>
      </c>
      <c r="B41" s="60" t="s">
        <v>60</v>
      </c>
      <c r="C41" s="61" t="s">
        <v>6</v>
      </c>
      <c r="D41" s="61" t="s">
        <v>158</v>
      </c>
      <c r="E41" s="61" t="s">
        <v>7</v>
      </c>
      <c r="F41" s="61" t="s">
        <v>159</v>
      </c>
      <c r="G41" s="61" t="str">
        <f t="shared" si="18"/>
        <v>GbpLibor6M</v>
      </c>
      <c r="H41" s="59" t="str">
        <f t="shared" si="19"/>
        <v>GBPSB6L12Y_LCHQuote</v>
      </c>
      <c r="I41" s="127">
        <v>0</v>
      </c>
      <c r="J41" s="64" t="str">
        <f>_xll.qlSwapRateHelper2(,$H41,0,$B41,Calendar,$D41,$E41,$F41,$G41,$I41,$C41,Discounting1,PillarDate,,Permanent,Trigger,ObjectOverwrite)</f>
        <v>obj_00662#0005</v>
      </c>
      <c r="K41" s="64" t="str">
        <f>_xll.qlSwapRateHelper2(,$H41,0,$B41,Calendar,$D41,$E41,$F41,$G41,$I41,$C41,Discounting2,PillarDate,,Permanent,Trigger,ObjectOverwrite)</f>
        <v>obj_00640#0005</v>
      </c>
      <c r="M41" s="10" t="str">
        <f t="shared" si="14"/>
        <v>Sw</v>
      </c>
      <c r="N41" s="94" t="str">
        <f t="shared" ref="N41:O41" si="35">IF(ISBLANK(J45),"--",J45)</f>
        <v>obj_00649#0005</v>
      </c>
      <c r="O41" s="94" t="str">
        <f t="shared" si="35"/>
        <v>obj_00625#0005</v>
      </c>
      <c r="P41" s="146" t="str">
        <f>IFERROR(_xll.qlRateHelperQuoteName(N41,Trigger),"--")</f>
        <v>GBPSB6L16Y_LCHQuote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>
        <f>IFERROR(_xll.qlRateHelperEarliestDate(N41,Trigger),"--")</f>
        <v>42304</v>
      </c>
      <c r="V41" s="99">
        <f>IFERROR(_xll.qlRateHelperPillarDate(N41,Trigger),"--")</f>
        <v>48148</v>
      </c>
      <c r="X41" s="4" t="str">
        <f t="shared" si="2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3"/>
        <v>#N/A</v>
      </c>
      <c r="AK41" s="80" t="e">
        <v>#N/A</v>
      </c>
      <c r="AL41" s="161" t="e">
        <f t="shared" si="4"/>
        <v>#N/A</v>
      </c>
    </row>
    <row r="42" spans="1:38" ht="11.25" customHeight="1" x14ac:dyDescent="0.2">
      <c r="A42" s="59" t="s">
        <v>25</v>
      </c>
      <c r="B42" s="60" t="s">
        <v>98</v>
      </c>
      <c r="C42" s="61" t="s">
        <v>6</v>
      </c>
      <c r="D42" s="61" t="s">
        <v>158</v>
      </c>
      <c r="E42" s="61" t="s">
        <v>7</v>
      </c>
      <c r="F42" s="61" t="s">
        <v>159</v>
      </c>
      <c r="G42" s="61" t="str">
        <f t="shared" si="18"/>
        <v>GbpLibor6M</v>
      </c>
      <c r="H42" s="59" t="str">
        <f t="shared" si="19"/>
        <v>GBPSB6L13Y_LCHQuote</v>
      </c>
      <c r="I42" s="127">
        <v>0</v>
      </c>
      <c r="J42" s="64" t="str">
        <f>_xll.qlSwapRateHelper2(,$H42,0,$B42,Calendar,$D42,$E42,$F42,$G42,$I42,$C42,Discounting1,PillarDate,,Permanent,Trigger,ObjectOverwrite)</f>
        <v>obj_00636#0005</v>
      </c>
      <c r="K42" s="64" t="str">
        <f>_xll.qlSwapRateHelper2(,$H42,0,$B42,Calendar,$D42,$E42,$F42,$G42,$I42,$C42,Discounting2,PillarDate,,Permanent,Trigger,ObjectOverwrite)</f>
        <v>obj_0065d#0005</v>
      </c>
      <c r="M42" s="10" t="str">
        <f t="shared" si="14"/>
        <v>Sw</v>
      </c>
      <c r="N42" s="94" t="str">
        <f t="shared" ref="N42:O42" si="36">IF(ISBLANK(J46),"--",J46)</f>
        <v>obj_00629#0005</v>
      </c>
      <c r="O42" s="94" t="str">
        <f t="shared" si="36"/>
        <v>obj_00654#0005</v>
      </c>
      <c r="P42" s="146" t="str">
        <f>IFERROR(_xll.qlRateHelperQuoteName(N42,Trigger),"--")</f>
        <v>GBPSB6L17Y_LCHQuote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>
        <f>IFERROR(_xll.qlRateHelperEarliestDate(N42,Trigger),"--")</f>
        <v>42304</v>
      </c>
      <c r="V42" s="99">
        <f>IFERROR(_xll.qlRateHelperPillarDate(N42,Trigger),"--")</f>
        <v>48514</v>
      </c>
      <c r="X42" s="4" t="str">
        <f t="shared" si="2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3"/>
        <v>#N/A</v>
      </c>
      <c r="AK42" s="80" t="e">
        <v>#N/A</v>
      </c>
      <c r="AL42" s="161" t="e">
        <f t="shared" si="4"/>
        <v>#N/A</v>
      </c>
    </row>
    <row r="43" spans="1:38" ht="11.25" customHeight="1" x14ac:dyDescent="0.2">
      <c r="A43" s="59" t="s">
        <v>25</v>
      </c>
      <c r="B43" s="60" t="s">
        <v>99</v>
      </c>
      <c r="C43" s="61" t="s">
        <v>6</v>
      </c>
      <c r="D43" s="61" t="s">
        <v>158</v>
      </c>
      <c r="E43" s="61" t="s">
        <v>7</v>
      </c>
      <c r="F43" s="61" t="s">
        <v>159</v>
      </c>
      <c r="G43" s="61" t="str">
        <f t="shared" si="18"/>
        <v>GbpLibor6M</v>
      </c>
      <c r="H43" s="59" t="str">
        <f t="shared" si="19"/>
        <v>GBPSB6L14Y_LCHQuote</v>
      </c>
      <c r="I43" s="127">
        <v>0</v>
      </c>
      <c r="J43" s="64" t="str">
        <f>_xll.qlSwapRateHelper2(,$H43,0,$B43,Calendar,$D43,$E43,$F43,$G43,$I43,$C43,Discounting1,PillarDate,,Permanent,Trigger,ObjectOverwrite)</f>
        <v>obj_00628#0005</v>
      </c>
      <c r="K43" s="64" t="str">
        <f>_xll.qlSwapRateHelper2(,$H43,0,$B43,Calendar,$D43,$E43,$F43,$G43,$I43,$C43,Discounting2,PillarDate,,Permanent,Trigger,ObjectOverwrite)</f>
        <v>obj_00635#0005</v>
      </c>
      <c r="M43" s="10" t="str">
        <f t="shared" si="14"/>
        <v>Sw</v>
      </c>
      <c r="N43" s="94" t="str">
        <f t="shared" ref="N43:O43" si="37">IF(ISBLANK(J47),"--",J47)</f>
        <v>obj_00668#0005</v>
      </c>
      <c r="O43" s="94" t="str">
        <f t="shared" si="37"/>
        <v>obj_00643#0005</v>
      </c>
      <c r="P43" s="146" t="str">
        <f>IFERROR(_xll.qlRateHelperQuoteName(N43,Trigger),"--")</f>
        <v>GBPSB6L18Y_LCHQuote</v>
      </c>
      <c r="Q43" s="98" t="str">
        <f>IFERROR(_xll.qlRateHelperQuoteValue($N43,Trigger),"--")</f>
        <v>--</v>
      </c>
      <c r="R43" s="141" t="b">
        <v>0</v>
      </c>
      <c r="S43" s="94">
        <v>10</v>
      </c>
      <c r="T43" s="94">
        <v>1</v>
      </c>
      <c r="U43" s="99">
        <f>IFERROR(_xll.qlRateHelperEarliestDate(N43,Trigger),"--")</f>
        <v>42304</v>
      </c>
      <c r="V43" s="99">
        <f>IFERROR(_xll.qlRateHelperPillarDate(N43,Trigger),"--")</f>
        <v>48879</v>
      </c>
      <c r="X43" s="4" t="str">
        <f t="shared" si="2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3"/>
        <v>#N/A</v>
      </c>
      <c r="AK43" s="80" t="e">
        <v>#N/A</v>
      </c>
      <c r="AL43" s="161" t="e">
        <f t="shared" si="4"/>
        <v>#N/A</v>
      </c>
    </row>
    <row r="44" spans="1:38" ht="11.25" customHeight="1" x14ac:dyDescent="0.2">
      <c r="A44" s="59" t="s">
        <v>25</v>
      </c>
      <c r="B44" s="60" t="s">
        <v>61</v>
      </c>
      <c r="C44" s="61" t="s">
        <v>6</v>
      </c>
      <c r="D44" s="61" t="s">
        <v>158</v>
      </c>
      <c r="E44" s="61" t="s">
        <v>7</v>
      </c>
      <c r="F44" s="61" t="s">
        <v>159</v>
      </c>
      <c r="G44" s="61" t="str">
        <f t="shared" si="18"/>
        <v>GbpLibor6M</v>
      </c>
      <c r="H44" s="59" t="str">
        <f t="shared" si="19"/>
        <v>GBPSB6L15Y_LCHQuote</v>
      </c>
      <c r="I44" s="127">
        <v>0</v>
      </c>
      <c r="J44" s="64" t="str">
        <f>_xll.qlSwapRateHelper2(,$H44,0,$B44,Calendar,$D44,$E44,$F44,$G44,$I44,$C44,Discounting1,PillarDate,,Permanent,Trigger,ObjectOverwrite)</f>
        <v>obj_0064b#0005</v>
      </c>
      <c r="K44" s="64" t="str">
        <f>_xll.qlSwapRateHelper2(,$H44,0,$B44,Calendar,$D44,$E44,$F44,$G44,$I44,$C44,Discounting2,PillarDate,,Permanent,Trigger,ObjectOverwrite)</f>
        <v>obj_0062d#0005</v>
      </c>
      <c r="M44" s="10" t="str">
        <f t="shared" si="14"/>
        <v>Sw</v>
      </c>
      <c r="N44" s="94" t="str">
        <f t="shared" ref="N44:O44" si="38">IF(ISBLANK(J48),"--",J48)</f>
        <v>obj_00658#0005</v>
      </c>
      <c r="O44" s="94" t="str">
        <f t="shared" si="38"/>
        <v>obj_00646#0005</v>
      </c>
      <c r="P44" s="146" t="str">
        <f>IFERROR(_xll.qlRateHelperQuoteName(N44,Trigger),"--")</f>
        <v>GBPSB6L19Y_LCHQuote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>
        <f>IFERROR(_xll.qlRateHelperEarliestDate(N44,Trigger),"--")</f>
        <v>42304</v>
      </c>
      <c r="V44" s="99">
        <f>IFERROR(_xll.qlRateHelperPillarDate(N44,Trigger),"--")</f>
        <v>49244</v>
      </c>
      <c r="X44" s="4" t="str">
        <f t="shared" si="2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3"/>
        <v>#N/A</v>
      </c>
      <c r="AK44" s="80" t="e">
        <v>#N/A</v>
      </c>
      <c r="AL44" s="161" t="e">
        <f t="shared" si="4"/>
        <v>#N/A</v>
      </c>
    </row>
    <row r="45" spans="1:38" ht="11.25" customHeight="1" x14ac:dyDescent="0.2">
      <c r="A45" s="59" t="s">
        <v>25</v>
      </c>
      <c r="B45" s="60" t="s">
        <v>100</v>
      </c>
      <c r="C45" s="61" t="s">
        <v>6</v>
      </c>
      <c r="D45" s="61" t="s">
        <v>158</v>
      </c>
      <c r="E45" s="61" t="s">
        <v>7</v>
      </c>
      <c r="F45" s="61" t="s">
        <v>159</v>
      </c>
      <c r="G45" s="61" t="str">
        <f t="shared" si="18"/>
        <v>GbpLibor6M</v>
      </c>
      <c r="H45" s="59" t="str">
        <f t="shared" si="19"/>
        <v>GBPSB6L16Y_LCHQuote</v>
      </c>
      <c r="I45" s="127">
        <v>0</v>
      </c>
      <c r="J45" s="64" t="str">
        <f>_xll.qlSwapRateHelper2(,$H45,0,$B45,Calendar,$D45,$E45,$F45,$G45,$I45,$C45,Discounting1,PillarDate,,Permanent,Trigger,ObjectOverwrite)</f>
        <v>obj_00649#0005</v>
      </c>
      <c r="K45" s="64" t="str">
        <f>_xll.qlSwapRateHelper2(,$H45,0,$B45,Calendar,$D45,$E45,$F45,$G45,$I45,$C45,Discounting2,PillarDate,,Permanent,Trigger,ObjectOverwrite)</f>
        <v>obj_00625#0005</v>
      </c>
      <c r="M45" s="10" t="str">
        <f t="shared" si="14"/>
        <v>Sw</v>
      </c>
      <c r="N45" s="94" t="str">
        <f t="shared" ref="N45:O45" si="39">IF(ISBLANK(J49),"--",J49)</f>
        <v>obj_00624#0005</v>
      </c>
      <c r="O45" s="94" t="str">
        <f t="shared" si="39"/>
        <v>obj_00650#0005</v>
      </c>
      <c r="P45" s="146" t="str">
        <f>IFERROR(_xll.qlRateHelperQuoteName(N45,Trigger),"--")</f>
        <v>GBPSB6L20Y_LCHQuote</v>
      </c>
      <c r="Q45" s="98">
        <f>IFERROR(_xll.qlRateHelperQuoteValue($N45,Trigger),"--")</f>
        <v>2.0664999999999999E-2</v>
      </c>
      <c r="R45" s="141" t="b">
        <v>1</v>
      </c>
      <c r="S45" s="94">
        <v>10</v>
      </c>
      <c r="T45" s="94">
        <v>1</v>
      </c>
      <c r="U45" s="99">
        <f>IFERROR(_xll.qlRateHelperEarliestDate(N45,Trigger),"--")</f>
        <v>42304</v>
      </c>
      <c r="V45" s="99">
        <f>IFERROR(_xll.qlRateHelperPillarDate(N45,Trigger),"--")</f>
        <v>49611</v>
      </c>
      <c r="X45" s="4" t="str">
        <f t="shared" si="2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3"/>
        <v>#N/A</v>
      </c>
      <c r="AK45" s="80" t="e">
        <v>#N/A</v>
      </c>
      <c r="AL45" s="161" t="e">
        <f t="shared" si="4"/>
        <v>#N/A</v>
      </c>
    </row>
    <row r="46" spans="1:38" ht="11.25" customHeight="1" x14ac:dyDescent="0.2">
      <c r="A46" s="59" t="s">
        <v>25</v>
      </c>
      <c r="B46" s="60" t="s">
        <v>101</v>
      </c>
      <c r="C46" s="61" t="s">
        <v>6</v>
      </c>
      <c r="D46" s="61" t="s">
        <v>158</v>
      </c>
      <c r="E46" s="61" t="s">
        <v>7</v>
      </c>
      <c r="F46" s="61" t="s">
        <v>159</v>
      </c>
      <c r="G46" s="61" t="str">
        <f t="shared" si="18"/>
        <v>GbpLibor6M</v>
      </c>
      <c r="H46" s="59" t="str">
        <f t="shared" si="19"/>
        <v>GBPSB6L17Y_LCHQuote</v>
      </c>
      <c r="I46" s="127">
        <v>0</v>
      </c>
      <c r="J46" s="64" t="str">
        <f>_xll.qlSwapRateHelper2(,$H46,0,$B46,Calendar,$D46,$E46,$F46,$G46,$I46,$C46,Discounting1,PillarDate,,Permanent,Trigger,ObjectOverwrite)</f>
        <v>obj_00629#0005</v>
      </c>
      <c r="K46" s="64" t="str">
        <f>_xll.qlSwapRateHelper2(,$H46,0,$B46,Calendar,$D46,$E46,$F46,$G46,$I46,$C46,Discounting2,PillarDate,,Permanent,Trigger,ObjectOverwrite)</f>
        <v>obj_00654#0005</v>
      </c>
      <c r="M46" s="10" t="str">
        <f t="shared" si="14"/>
        <v>Sw</v>
      </c>
      <c r="N46" s="94" t="str">
        <f t="shared" ref="N46:O46" si="40">IF(ISBLANK(J50),"--",J50)</f>
        <v>obj_00638#0005</v>
      </c>
      <c r="O46" s="94" t="str">
        <f t="shared" si="40"/>
        <v>obj_00651#0005</v>
      </c>
      <c r="P46" s="146" t="str">
        <f>IFERROR(_xll.qlRateHelperQuoteName(N46,Trigger),"--")</f>
        <v>GBPSB6L21Y_LCHQuote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>
        <f>IFERROR(_xll.qlRateHelperEarliestDate(N46,Trigger),"--")</f>
        <v>42304</v>
      </c>
      <c r="V46" s="99">
        <f>IFERROR(_xll.qlRateHelperPillarDate(N46,Trigger),"--")</f>
        <v>49975</v>
      </c>
      <c r="X46" s="4" t="str">
        <f t="shared" si="2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3"/>
        <v>#N/A</v>
      </c>
      <c r="AK46" s="80" t="e">
        <v>#N/A</v>
      </c>
      <c r="AL46" s="161" t="e">
        <f t="shared" si="4"/>
        <v>#N/A</v>
      </c>
    </row>
    <row r="47" spans="1:38" ht="11.25" customHeight="1" x14ac:dyDescent="0.2">
      <c r="A47" s="59" t="s">
        <v>25</v>
      </c>
      <c r="B47" s="60" t="s">
        <v>102</v>
      </c>
      <c r="C47" s="61" t="s">
        <v>6</v>
      </c>
      <c r="D47" s="61" t="s">
        <v>158</v>
      </c>
      <c r="E47" s="61" t="s">
        <v>7</v>
      </c>
      <c r="F47" s="61" t="s">
        <v>159</v>
      </c>
      <c r="G47" s="61" t="str">
        <f t="shared" si="18"/>
        <v>GbpLibor6M</v>
      </c>
      <c r="H47" s="59" t="str">
        <f t="shared" si="19"/>
        <v>GBPSB6L18Y_LCHQuote</v>
      </c>
      <c r="I47" s="127">
        <v>0</v>
      </c>
      <c r="J47" s="64" t="str">
        <f>_xll.qlSwapRateHelper2(,$H47,0,$B47,Calendar,$D47,$E47,$F47,$G47,$I47,$C47,Discounting1,PillarDate,,Permanent,Trigger,ObjectOverwrite)</f>
        <v>obj_00668#0005</v>
      </c>
      <c r="K47" s="64" t="str">
        <f>_xll.qlSwapRateHelper2(,$H47,0,$B47,Calendar,$D47,$E47,$F47,$G47,$I47,$C47,Discounting2,PillarDate,,Permanent,Trigger,ObjectOverwrite)</f>
        <v>obj_00643#0005</v>
      </c>
      <c r="M47" s="10" t="str">
        <f t="shared" si="14"/>
        <v>Sw</v>
      </c>
      <c r="N47" s="94" t="str">
        <f t="shared" ref="N47:O47" si="41">IF(ISBLANK(J51),"--",J51)</f>
        <v>obj_00632#0005</v>
      </c>
      <c r="O47" s="94" t="str">
        <f t="shared" si="41"/>
        <v>obj_0063d#0005</v>
      </c>
      <c r="P47" s="146" t="str">
        <f>IFERROR(_xll.qlRateHelperQuoteName(N47,Trigger),"--")</f>
        <v>GBPSB6L22Y_LCHQuote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>
        <f>IFERROR(_xll.qlRateHelperEarliestDate(N47,Trigger),"--")</f>
        <v>42304</v>
      </c>
      <c r="V47" s="99">
        <f>IFERROR(_xll.qlRateHelperPillarDate(N47,Trigger),"--")</f>
        <v>50340</v>
      </c>
      <c r="X47" s="4" t="str">
        <f t="shared" si="2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3"/>
        <v>#N/A</v>
      </c>
      <c r="AK47" s="80" t="e">
        <v>#N/A</v>
      </c>
      <c r="AL47" s="161" t="e">
        <f t="shared" si="4"/>
        <v>#N/A</v>
      </c>
    </row>
    <row r="48" spans="1:38" ht="11.25" customHeight="1" x14ac:dyDescent="0.2">
      <c r="A48" s="59" t="s">
        <v>25</v>
      </c>
      <c r="B48" s="60" t="s">
        <v>103</v>
      </c>
      <c r="C48" s="61" t="s">
        <v>6</v>
      </c>
      <c r="D48" s="61" t="s">
        <v>158</v>
      </c>
      <c r="E48" s="61" t="s">
        <v>7</v>
      </c>
      <c r="F48" s="61" t="s">
        <v>159</v>
      </c>
      <c r="G48" s="61" t="str">
        <f t="shared" si="18"/>
        <v>GbpLibor6M</v>
      </c>
      <c r="H48" s="59" t="str">
        <f t="shared" si="19"/>
        <v>GBPSB6L19Y_LCHQuote</v>
      </c>
      <c r="I48" s="127">
        <v>0</v>
      </c>
      <c r="J48" s="64" t="str">
        <f>_xll.qlSwapRateHelper2(,$H48,0,$B48,Calendar,$D48,$E48,$F48,$G48,$I48,$C48,Discounting1,PillarDate,,Permanent,Trigger,ObjectOverwrite)</f>
        <v>obj_00658#0005</v>
      </c>
      <c r="K48" s="64" t="str">
        <f>_xll.qlSwapRateHelper2(,$H48,0,$B48,Calendar,$D48,$E48,$F48,$G48,$I48,$C48,Discounting2,PillarDate,,Permanent,Trigger,ObjectOverwrite)</f>
        <v>obj_00646#0005</v>
      </c>
      <c r="M48" s="10" t="str">
        <f t="shared" si="14"/>
        <v>Sw</v>
      </c>
      <c r="N48" s="94" t="str">
        <f t="shared" ref="N48:O48" si="42">IF(ISBLANK(J52),"--",J52)</f>
        <v>obj_00657#0005</v>
      </c>
      <c r="O48" s="94" t="str">
        <f t="shared" si="42"/>
        <v>obj_00660#0005</v>
      </c>
      <c r="P48" s="146" t="str">
        <f>IFERROR(_xll.qlRateHelperQuoteName(N48,Trigger),"--")</f>
        <v>GBPSB6L23Y_LCHQuote</v>
      </c>
      <c r="Q48" s="98" t="str">
        <f>IFERROR(_xll.qlRateHelperQuoteValue($N48,Trigger),"--")</f>
        <v>--</v>
      </c>
      <c r="R48" s="141" t="b">
        <v>0</v>
      </c>
      <c r="S48" s="94">
        <v>10</v>
      </c>
      <c r="T48" s="94">
        <v>1</v>
      </c>
      <c r="U48" s="99">
        <f>IFERROR(_xll.qlRateHelperEarliestDate(N48,Trigger),"--")</f>
        <v>42304</v>
      </c>
      <c r="V48" s="99">
        <f>IFERROR(_xll.qlRateHelperPillarDate(N48,Trigger),"--")</f>
        <v>50705</v>
      </c>
      <c r="X48" s="4" t="str">
        <f t="shared" si="2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46" t="e">
        <v>#N/A</v>
      </c>
      <c r="AI48" s="46" t="e">
        <v>#N/A</v>
      </c>
      <c r="AJ48" s="172" t="e">
        <f t="shared" si="3"/>
        <v>#N/A</v>
      </c>
      <c r="AK48" s="46" t="e">
        <v>#N/A</v>
      </c>
      <c r="AL48" s="161" t="e">
        <f t="shared" si="4"/>
        <v>#N/A</v>
      </c>
    </row>
    <row r="49" spans="1:38" ht="11.25" customHeight="1" x14ac:dyDescent="0.2">
      <c r="A49" s="59" t="s">
        <v>25</v>
      </c>
      <c r="B49" s="60" t="s">
        <v>62</v>
      </c>
      <c r="C49" s="61" t="s">
        <v>6</v>
      </c>
      <c r="D49" s="61" t="s">
        <v>158</v>
      </c>
      <c r="E49" s="61" t="s">
        <v>7</v>
      </c>
      <c r="F49" s="61" t="s">
        <v>159</v>
      </c>
      <c r="G49" s="61" t="str">
        <f t="shared" si="18"/>
        <v>GbpLibor6M</v>
      </c>
      <c r="H49" s="59" t="str">
        <f t="shared" si="19"/>
        <v>GBPSB6L20Y_LCHQuote</v>
      </c>
      <c r="I49" s="127">
        <v>0</v>
      </c>
      <c r="J49" s="64" t="str">
        <f>_xll.qlSwapRateHelper2(,$H49,0,$B49,Calendar,$D49,$E49,$F49,$G49,$I49,$C49,Discounting1,PillarDate,,Permanent,Trigger,ObjectOverwrite)</f>
        <v>obj_00624#0005</v>
      </c>
      <c r="K49" s="64" t="str">
        <f>_xll.qlSwapRateHelper2(,$H49,0,$B49,Calendar,$D49,$E49,$F49,$G49,$I49,$C49,Discounting2,PillarDate,,Permanent,Trigger,ObjectOverwrite)</f>
        <v>obj_00650#0005</v>
      </c>
      <c r="M49" s="10" t="str">
        <f t="shared" si="14"/>
        <v>Sw</v>
      </c>
      <c r="N49" s="94" t="str">
        <f t="shared" ref="N49:O49" si="43">IF(ISBLANK(J53),"--",J53)</f>
        <v>obj_00641#0005</v>
      </c>
      <c r="O49" s="94" t="str">
        <f t="shared" si="43"/>
        <v>obj_00667#0005</v>
      </c>
      <c r="P49" s="146" t="str">
        <f>IFERROR(_xll.qlRateHelperQuoteName(N49,Trigger),"--")</f>
        <v>GBPSB6L24Y_LCHQuote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>
        <f>IFERROR(_xll.qlRateHelperEarliestDate(N49,Trigger),"--")</f>
        <v>42304</v>
      </c>
      <c r="V49" s="99">
        <f>IFERROR(_xll.qlRateHelperPillarDate(N49,Trigger),"--")</f>
        <v>51070</v>
      </c>
      <c r="X49" s="4" t="str">
        <f t="shared" si="2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46" t="e">
        <v>#N/A</v>
      </c>
      <c r="AI49" s="46" t="e">
        <v>#N/A</v>
      </c>
      <c r="AJ49" s="172" t="e">
        <f t="shared" si="3"/>
        <v>#N/A</v>
      </c>
      <c r="AK49" s="46" t="e">
        <v>#N/A</v>
      </c>
      <c r="AL49" s="161" t="e">
        <f t="shared" si="4"/>
        <v>#N/A</v>
      </c>
    </row>
    <row r="50" spans="1:38" ht="11.25" customHeight="1" x14ac:dyDescent="0.2">
      <c r="A50" s="59" t="s">
        <v>25</v>
      </c>
      <c r="B50" s="60" t="s">
        <v>104</v>
      </c>
      <c r="C50" s="61" t="s">
        <v>6</v>
      </c>
      <c r="D50" s="61" t="s">
        <v>158</v>
      </c>
      <c r="E50" s="61" t="s">
        <v>7</v>
      </c>
      <c r="F50" s="61" t="s">
        <v>159</v>
      </c>
      <c r="G50" s="61" t="str">
        <f t="shared" si="18"/>
        <v>GbpLibor6M</v>
      </c>
      <c r="H50" s="59" t="str">
        <f t="shared" si="19"/>
        <v>GBPSB6L21Y_LCHQuote</v>
      </c>
      <c r="I50" s="127">
        <v>0</v>
      </c>
      <c r="J50" s="64" t="str">
        <f>_xll.qlSwapRateHelper2(,$H50,0,$B50,Calendar,$D50,$E50,$F50,$G50,$I50,$C50,Discounting1,PillarDate,,Permanent,Trigger,ObjectOverwrite)</f>
        <v>obj_00638#0005</v>
      </c>
      <c r="K50" s="64" t="str">
        <f>_xll.qlSwapRateHelper2(,$H50,0,$B50,Calendar,$D50,$E50,$F50,$G50,$I50,$C50,Discounting2,PillarDate,,Permanent,Trigger,ObjectOverwrite)</f>
        <v>obj_00651#0005</v>
      </c>
      <c r="M50" s="10" t="str">
        <f t="shared" si="14"/>
        <v>Sw</v>
      </c>
      <c r="N50" s="94" t="str">
        <f t="shared" ref="N50:O50" si="44">IF(ISBLANK(J54),"--",J54)</f>
        <v>obj_00627#0005</v>
      </c>
      <c r="O50" s="94" t="str">
        <f t="shared" si="44"/>
        <v>obj_00652#0005</v>
      </c>
      <c r="P50" s="146" t="str">
        <f>IFERROR(_xll.qlRateHelperQuoteName(N50,Trigger),"--")</f>
        <v>GBPSB6L25Y_LCHQuote</v>
      </c>
      <c r="Q50" s="98">
        <f>IFERROR(_xll.qlRateHelperQuoteValue($N50,Trigger),"--")</f>
        <v>2.07385E-2</v>
      </c>
      <c r="R50" s="141" t="b">
        <v>1</v>
      </c>
      <c r="S50" s="94">
        <v>10</v>
      </c>
      <c r="T50" s="94">
        <v>1</v>
      </c>
      <c r="U50" s="99">
        <f>IFERROR(_xll.qlRateHelperEarliestDate(N50,Trigger),"--")</f>
        <v>42304</v>
      </c>
      <c r="V50" s="99">
        <f>IFERROR(_xll.qlRateHelperPillarDate(N50,Trigger),"--")</f>
        <v>51438</v>
      </c>
      <c r="X50" s="4" t="str">
        <f t="shared" si="2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46" t="e">
        <v>#N/A</v>
      </c>
      <c r="AI50" s="46" t="e">
        <v>#N/A</v>
      </c>
      <c r="AJ50" s="172" t="e">
        <f t="shared" si="3"/>
        <v>#N/A</v>
      </c>
      <c r="AK50" s="46" t="e">
        <v>#N/A</v>
      </c>
      <c r="AL50" s="161" t="e">
        <f t="shared" si="4"/>
        <v>#N/A</v>
      </c>
    </row>
    <row r="51" spans="1:38" ht="11.25" customHeight="1" x14ac:dyDescent="0.2">
      <c r="A51" s="59" t="s">
        <v>25</v>
      </c>
      <c r="B51" s="60" t="s">
        <v>105</v>
      </c>
      <c r="C51" s="61" t="s">
        <v>6</v>
      </c>
      <c r="D51" s="61" t="s">
        <v>158</v>
      </c>
      <c r="E51" s="61" t="s">
        <v>7</v>
      </c>
      <c r="F51" s="61" t="s">
        <v>159</v>
      </c>
      <c r="G51" s="61" t="str">
        <f t="shared" si="18"/>
        <v>GbpLibor6M</v>
      </c>
      <c r="H51" s="59" t="str">
        <f t="shared" si="19"/>
        <v>GBPSB6L22Y_LCHQuote</v>
      </c>
      <c r="I51" s="127">
        <v>0</v>
      </c>
      <c r="J51" s="64" t="str">
        <f>_xll.qlSwapRateHelper2(,$H51,0,$B51,Calendar,$D51,$E51,$F51,$G51,$I51,$C51,Discounting1,PillarDate,,Permanent,Trigger,ObjectOverwrite)</f>
        <v>obj_00632#0005</v>
      </c>
      <c r="K51" s="64" t="str">
        <f>_xll.qlSwapRateHelper2(,$H51,0,$B51,Calendar,$D51,$E51,$F51,$G51,$I51,$C51,Discounting2,PillarDate,,Permanent,Trigger,ObjectOverwrite)</f>
        <v>obj_0063d#0005</v>
      </c>
      <c r="M51" s="10" t="str">
        <f t="shared" si="14"/>
        <v>Sw</v>
      </c>
      <c r="N51" s="94" t="str">
        <f t="shared" ref="N51:O51" si="45">IF(ISBLANK(J55),"--",J55)</f>
        <v>obj_00648#0005</v>
      </c>
      <c r="O51" s="94" t="str">
        <f t="shared" si="45"/>
        <v>obj_0063e#0005</v>
      </c>
      <c r="P51" s="146" t="str">
        <f>IFERROR(_xll.qlRateHelperQuoteName(N51,Trigger),"--")</f>
        <v>GBPSB6L26Y_LCHQuote</v>
      </c>
      <c r="Q51" s="98" t="str">
        <f>IFERROR(_xll.qlRateHelperQuoteValue($N51,Trigger),"--")</f>
        <v>--</v>
      </c>
      <c r="R51" s="141" t="b">
        <v>0</v>
      </c>
      <c r="S51" s="94">
        <v>10</v>
      </c>
      <c r="T51" s="94">
        <v>1</v>
      </c>
      <c r="U51" s="99">
        <f>IFERROR(_xll.qlRateHelperEarliestDate(N51,Trigger),"--")</f>
        <v>42304</v>
      </c>
      <c r="V51" s="99">
        <f>IFERROR(_xll.qlRateHelperPillarDate(N51,Trigger),"--")</f>
        <v>51802</v>
      </c>
      <c r="X51" s="4" t="str">
        <f t="shared" si="2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46" t="e">
        <v>#N/A</v>
      </c>
      <c r="AI51" s="46" t="e">
        <v>#N/A</v>
      </c>
      <c r="AJ51" s="172" t="e">
        <f t="shared" si="3"/>
        <v>#N/A</v>
      </c>
      <c r="AK51" s="46" t="e">
        <v>#N/A</v>
      </c>
      <c r="AL51" s="161" t="e">
        <f t="shared" si="4"/>
        <v>#N/A</v>
      </c>
    </row>
    <row r="52" spans="1:38" ht="11.25" customHeight="1" x14ac:dyDescent="0.2">
      <c r="A52" s="59" t="s">
        <v>25</v>
      </c>
      <c r="B52" s="60" t="s">
        <v>106</v>
      </c>
      <c r="C52" s="61" t="s">
        <v>6</v>
      </c>
      <c r="D52" s="61" t="s">
        <v>158</v>
      </c>
      <c r="E52" s="61" t="s">
        <v>7</v>
      </c>
      <c r="F52" s="61" t="s">
        <v>159</v>
      </c>
      <c r="G52" s="61" t="str">
        <f t="shared" si="18"/>
        <v>GbpLibor6M</v>
      </c>
      <c r="H52" s="59" t="str">
        <f t="shared" si="19"/>
        <v>GBPSB6L23Y_LCHQuote</v>
      </c>
      <c r="I52" s="127">
        <v>0</v>
      </c>
      <c r="J52" s="64" t="str">
        <f>_xll.qlSwapRateHelper2(,$H52,0,$B52,Calendar,$D52,$E52,$F52,$G52,$I52,$C52,Discounting1,PillarDate,,Permanent,Trigger,ObjectOverwrite)</f>
        <v>obj_00657#0005</v>
      </c>
      <c r="K52" s="64" t="str">
        <f>_xll.qlSwapRateHelper2(,$H52,0,$B52,Calendar,$D52,$E52,$F52,$G52,$I52,$C52,Discounting2,PillarDate,,Permanent,Trigger,ObjectOverwrite)</f>
        <v>obj_00660#0005</v>
      </c>
      <c r="M52" s="10" t="str">
        <f t="shared" si="14"/>
        <v>Sw</v>
      </c>
      <c r="N52" s="94" t="str">
        <f t="shared" ref="N52:O52" si="46">IF(ISBLANK(J56),"--",J56)</f>
        <v>obj_00645#0005</v>
      </c>
      <c r="O52" s="94" t="str">
        <f t="shared" si="46"/>
        <v>obj_00637#0005</v>
      </c>
      <c r="P52" s="146" t="str">
        <f>IFERROR(_xll.qlRateHelperQuoteName(N52,Trigger),"--")</f>
        <v>GBPSB6L27Y_LCHQuote</v>
      </c>
      <c r="Q52" s="98" t="str">
        <f>IFERROR(_xll.qlRateHelperQuoteValue($N52,Trigger),"--")</f>
        <v>--</v>
      </c>
      <c r="R52" s="141" t="b">
        <v>0</v>
      </c>
      <c r="S52" s="94">
        <v>10</v>
      </c>
      <c r="T52" s="94">
        <v>1</v>
      </c>
      <c r="U52" s="99">
        <f>IFERROR(_xll.qlRateHelperEarliestDate(N52,Trigger),"--")</f>
        <v>42304</v>
      </c>
      <c r="V52" s="99">
        <f>IFERROR(_xll.qlRateHelperPillarDate(N52,Trigger),"--")</f>
        <v>52166</v>
      </c>
      <c r="X52" s="4" t="str">
        <f t="shared" si="2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46" t="e">
        <v>#N/A</v>
      </c>
      <c r="AI52" s="46" t="e">
        <v>#N/A</v>
      </c>
      <c r="AJ52" s="172" t="e">
        <f t="shared" si="3"/>
        <v>#N/A</v>
      </c>
      <c r="AK52" s="46" t="e">
        <v>#N/A</v>
      </c>
      <c r="AL52" s="161" t="e">
        <f t="shared" si="4"/>
        <v>#N/A</v>
      </c>
    </row>
    <row r="53" spans="1:38" ht="11.25" customHeight="1" x14ac:dyDescent="0.2">
      <c r="A53" s="59" t="s">
        <v>25</v>
      </c>
      <c r="B53" s="60" t="s">
        <v>107</v>
      </c>
      <c r="C53" s="61" t="s">
        <v>6</v>
      </c>
      <c r="D53" s="61" t="s">
        <v>158</v>
      </c>
      <c r="E53" s="61" t="s">
        <v>7</v>
      </c>
      <c r="F53" s="61" t="s">
        <v>159</v>
      </c>
      <c r="G53" s="61" t="str">
        <f t="shared" si="18"/>
        <v>GbpLibor6M</v>
      </c>
      <c r="H53" s="59" t="str">
        <f t="shared" si="19"/>
        <v>GBPSB6L24Y_LCHQuote</v>
      </c>
      <c r="I53" s="127">
        <v>0</v>
      </c>
      <c r="J53" s="64" t="str">
        <f>_xll.qlSwapRateHelper2(,$H53,0,$B53,Calendar,$D53,$E53,$F53,$G53,$I53,$C53,Discounting1,PillarDate,,Permanent,Trigger,ObjectOverwrite)</f>
        <v>obj_00641#0005</v>
      </c>
      <c r="K53" s="64" t="str">
        <f>_xll.qlSwapRateHelper2(,$H53,0,$B53,Calendar,$D53,$E53,$F53,$G53,$I53,$C53,Discounting2,PillarDate,,Permanent,Trigger,ObjectOverwrite)</f>
        <v>obj_00667#0005</v>
      </c>
      <c r="M53" s="10" t="str">
        <f t="shared" si="14"/>
        <v>Sw</v>
      </c>
      <c r="N53" s="94" t="str">
        <f t="shared" ref="N53:O53" si="47">IF(ISBLANK(J57),"--",J57)</f>
        <v>obj_00642#0005</v>
      </c>
      <c r="O53" s="94" t="str">
        <f t="shared" si="47"/>
        <v>obj_00630#0005</v>
      </c>
      <c r="P53" s="146" t="str">
        <f>IFERROR(_xll.qlRateHelperQuoteName(N53,Trigger),"--")</f>
        <v>GBPSB6L28Y_LCHQuote</v>
      </c>
      <c r="Q53" s="98" t="str">
        <f>IFERROR(_xll.qlRateHelperQuoteValue($N53,Trigger),"--")</f>
        <v>--</v>
      </c>
      <c r="R53" s="141" t="b">
        <v>0</v>
      </c>
      <c r="S53" s="94">
        <v>10</v>
      </c>
      <c r="T53" s="94">
        <v>1</v>
      </c>
      <c r="U53" s="99">
        <f>IFERROR(_xll.qlRateHelperEarliestDate(N53,Trigger),"--")</f>
        <v>42304</v>
      </c>
      <c r="V53" s="99">
        <f>IFERROR(_xll.qlRateHelperPillarDate(N53,Trigger),"--")</f>
        <v>52531</v>
      </c>
      <c r="X53" s="4" t="str">
        <f t="shared" si="2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46" t="e">
        <v>#N/A</v>
      </c>
      <c r="AI53" s="46" t="e">
        <v>#N/A</v>
      </c>
      <c r="AJ53" s="172" t="e">
        <f t="shared" si="3"/>
        <v>#N/A</v>
      </c>
      <c r="AK53" s="46" t="e">
        <v>#N/A</v>
      </c>
      <c r="AL53" s="161" t="e">
        <f t="shared" si="4"/>
        <v>#N/A</v>
      </c>
    </row>
    <row r="54" spans="1:38" ht="11.25" customHeight="1" x14ac:dyDescent="0.2">
      <c r="A54" s="59" t="s">
        <v>25</v>
      </c>
      <c r="B54" s="60" t="s">
        <v>63</v>
      </c>
      <c r="C54" s="61" t="s">
        <v>6</v>
      </c>
      <c r="D54" s="61" t="s">
        <v>158</v>
      </c>
      <c r="E54" s="61" t="s">
        <v>7</v>
      </c>
      <c r="F54" s="61" t="s">
        <v>159</v>
      </c>
      <c r="G54" s="61" t="str">
        <f t="shared" si="18"/>
        <v>GbpLibor6M</v>
      </c>
      <c r="H54" s="59" t="str">
        <f t="shared" si="19"/>
        <v>GBPSB6L25Y_LCHQuote</v>
      </c>
      <c r="I54" s="127">
        <v>0</v>
      </c>
      <c r="J54" s="64" t="str">
        <f>_xll.qlSwapRateHelper2(,$H54,0,$B54,Calendar,$D54,$E54,$F54,$G54,$I54,$C54,Discounting1,PillarDate,,Permanent,Trigger,ObjectOverwrite)</f>
        <v>obj_00627#0005</v>
      </c>
      <c r="K54" s="64" t="str">
        <f>_xll.qlSwapRateHelper2(,$H54,0,$B54,Calendar,$D54,$E54,$F54,$G54,$I54,$C54,Discounting2,PillarDate,,Permanent,Trigger,ObjectOverwrite)</f>
        <v>obj_00652#0005</v>
      </c>
      <c r="M54" s="10" t="str">
        <f t="shared" si="14"/>
        <v>Sw</v>
      </c>
      <c r="N54" s="94" t="str">
        <f t="shared" ref="N54:O54" si="48">IF(ISBLANK(J58),"--",J58)</f>
        <v>obj_00656#0005</v>
      </c>
      <c r="O54" s="94" t="str">
        <f t="shared" si="48"/>
        <v>obj_0062e#0005</v>
      </c>
      <c r="P54" s="146" t="str">
        <f>IFERROR(_xll.qlRateHelperQuoteName(N54,Trigger),"--")</f>
        <v>GBPSB6L29Y_LCHQuote</v>
      </c>
      <c r="Q54" s="98" t="str">
        <f>IFERROR(_xll.qlRateHelperQuoteValue($N54,Trigger),"--")</f>
        <v>--</v>
      </c>
      <c r="R54" s="141" t="b">
        <v>0</v>
      </c>
      <c r="S54" s="94">
        <v>10</v>
      </c>
      <c r="T54" s="94">
        <v>1</v>
      </c>
      <c r="U54" s="99">
        <f>IFERROR(_xll.qlRateHelperEarliestDate(N54,Trigger),"--")</f>
        <v>42304</v>
      </c>
      <c r="V54" s="99">
        <f>IFERROR(_xll.qlRateHelperPillarDate(N54,Trigger),"--")</f>
        <v>52897</v>
      </c>
      <c r="X54" s="4" t="str">
        <f t="shared" si="2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46" t="e">
        <v>#N/A</v>
      </c>
      <c r="AI54" s="46" t="e">
        <v>#N/A</v>
      </c>
      <c r="AJ54" s="172" t="e">
        <f t="shared" si="3"/>
        <v>#N/A</v>
      </c>
      <c r="AK54" s="46" t="e">
        <v>#N/A</v>
      </c>
      <c r="AL54" s="161" t="e">
        <f t="shared" si="4"/>
        <v>#N/A</v>
      </c>
    </row>
    <row r="55" spans="1:38" ht="11.25" customHeight="1" x14ac:dyDescent="0.2">
      <c r="A55" s="59" t="s">
        <v>25</v>
      </c>
      <c r="B55" s="60" t="s">
        <v>108</v>
      </c>
      <c r="C55" s="61" t="s">
        <v>6</v>
      </c>
      <c r="D55" s="61" t="s">
        <v>158</v>
      </c>
      <c r="E55" s="61" t="s">
        <v>7</v>
      </c>
      <c r="F55" s="61" t="s">
        <v>159</v>
      </c>
      <c r="G55" s="61" t="str">
        <f t="shared" si="18"/>
        <v>GbpLibor6M</v>
      </c>
      <c r="H55" s="59" t="str">
        <f t="shared" si="19"/>
        <v>GBPSB6L26Y_LCHQuote</v>
      </c>
      <c r="I55" s="127">
        <v>0</v>
      </c>
      <c r="J55" s="64" t="str">
        <f>_xll.qlSwapRateHelper2(,$H55,0,$B55,Calendar,$D55,$E55,$F55,$G55,$I55,$C55,Discounting1,PillarDate,,Permanent,Trigger,ObjectOverwrite)</f>
        <v>obj_00648#0005</v>
      </c>
      <c r="K55" s="64" t="str">
        <f>_xll.qlSwapRateHelper2(,$H55,0,$B55,Calendar,$D55,$E55,$F55,$G55,$I55,$C55,Discounting2,PillarDate,,Permanent,Trigger,ObjectOverwrite)</f>
        <v>obj_0063e#0005</v>
      </c>
      <c r="M55" s="10" t="str">
        <f t="shared" si="14"/>
        <v>Sw</v>
      </c>
      <c r="N55" s="94" t="str">
        <f t="shared" ref="N55:O55" si="49">IF(ISBLANK(J59),"--",J59)</f>
        <v>obj_00661#0005</v>
      </c>
      <c r="O55" s="94" t="str">
        <f t="shared" si="49"/>
        <v>obj_0064e#0005</v>
      </c>
      <c r="P55" s="146" t="str">
        <f>IFERROR(_xll.qlRateHelperQuoteName(N55,Trigger),"--")</f>
        <v>GBPSB6L30Y_LCHQuote</v>
      </c>
      <c r="Q55" s="98">
        <f>IFERROR(_xll.qlRateHelperQuoteValue($N55,Trigger),"--")</f>
        <v>2.0673500000000001E-2</v>
      </c>
      <c r="R55" s="141" t="b">
        <v>1</v>
      </c>
      <c r="S55" s="94">
        <v>10</v>
      </c>
      <c r="T55" s="94">
        <v>1</v>
      </c>
      <c r="U55" s="99">
        <f>IFERROR(_xll.qlRateHelperEarliestDate(N55,Trigger),"--")</f>
        <v>42304</v>
      </c>
      <c r="V55" s="99">
        <f>IFERROR(_xll.qlRateHelperPillarDate(N55,Trigger),"--")</f>
        <v>53262</v>
      </c>
      <c r="X55" s="4" t="str">
        <f t="shared" si="2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46" t="e">
        <v>#N/A</v>
      </c>
      <c r="AI55" s="46" t="e">
        <v>#N/A</v>
      </c>
      <c r="AJ55" s="172" t="e">
        <f t="shared" si="3"/>
        <v>#N/A</v>
      </c>
      <c r="AK55" s="46" t="e">
        <v>#N/A</v>
      </c>
      <c r="AL55" s="161" t="e">
        <f t="shared" si="4"/>
        <v>#N/A</v>
      </c>
    </row>
    <row r="56" spans="1:38" ht="11.25" customHeight="1" x14ac:dyDescent="0.2">
      <c r="A56" s="59" t="s">
        <v>25</v>
      </c>
      <c r="B56" s="60" t="s">
        <v>64</v>
      </c>
      <c r="C56" s="61" t="s">
        <v>6</v>
      </c>
      <c r="D56" s="61" t="s">
        <v>158</v>
      </c>
      <c r="E56" s="61" t="s">
        <v>7</v>
      </c>
      <c r="F56" s="61" t="s">
        <v>159</v>
      </c>
      <c r="G56" s="61" t="str">
        <f t="shared" si="18"/>
        <v>GbpLibor6M</v>
      </c>
      <c r="H56" s="59" t="str">
        <f t="shared" si="19"/>
        <v>GBPSB6L27Y_LCHQuote</v>
      </c>
      <c r="I56" s="127">
        <v>0</v>
      </c>
      <c r="J56" s="64" t="str">
        <f>_xll.qlSwapRateHelper2(,$H56,0,$B56,Calendar,$D56,$E56,$F56,$G56,$I56,$C56,Discounting1,PillarDate,,Permanent,Trigger,ObjectOverwrite)</f>
        <v>obj_00645#0005</v>
      </c>
      <c r="K56" s="64" t="str">
        <f>_xll.qlSwapRateHelper2(,$H56,0,$B56,Calendar,$D56,$E56,$F56,$G56,$I56,$C56,Discounting2,PillarDate,,Permanent,Trigger,ObjectOverwrite)</f>
        <v>obj_00637#0005</v>
      </c>
      <c r="M56" s="10" t="str">
        <f t="shared" si="14"/>
        <v>Sw</v>
      </c>
      <c r="N56" s="94" t="str">
        <f t="shared" ref="N56:O56" si="50">IF(ISBLANK(J60),"--",J60)</f>
        <v>obj_00663#0005</v>
      </c>
      <c r="O56" s="94" t="str">
        <f t="shared" si="50"/>
        <v>obj_00623#0005</v>
      </c>
      <c r="P56" s="146" t="str">
        <f>IFERROR(_xll.qlRateHelperQuoteName(N56,Trigger),"--")</f>
        <v>GBPSB6L35Y_LCHQuote</v>
      </c>
      <c r="Q56" s="98" t="str">
        <f>IFERROR(_xll.qlRateHelperQuoteValue($N56,Trigger),"--")</f>
        <v>--</v>
      </c>
      <c r="R56" s="141" t="b">
        <v>0</v>
      </c>
      <c r="S56" s="94">
        <v>10</v>
      </c>
      <c r="T56" s="94">
        <v>1</v>
      </c>
      <c r="U56" s="99">
        <f>IFERROR(_xll.qlRateHelperEarliestDate(N56,Trigger),"--")</f>
        <v>42304</v>
      </c>
      <c r="V56" s="99">
        <f>IFERROR(_xll.qlRateHelperPillarDate(N56,Trigger),"--")</f>
        <v>55088</v>
      </c>
      <c r="X56" s="4" t="str">
        <f t="shared" si="2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46" t="e">
        <v>#N/A</v>
      </c>
      <c r="AI56" s="46" t="e">
        <v>#N/A</v>
      </c>
      <c r="AJ56" s="172" t="e">
        <f t="shared" si="3"/>
        <v>#N/A</v>
      </c>
      <c r="AK56" s="46" t="e">
        <v>#N/A</v>
      </c>
      <c r="AL56" s="161" t="e">
        <f t="shared" si="4"/>
        <v>#N/A</v>
      </c>
    </row>
    <row r="57" spans="1:38" ht="11.25" customHeight="1" x14ac:dyDescent="0.2">
      <c r="A57" s="59" t="s">
        <v>25</v>
      </c>
      <c r="B57" s="60" t="s">
        <v>109</v>
      </c>
      <c r="C57" s="61" t="s">
        <v>6</v>
      </c>
      <c r="D57" s="61" t="s">
        <v>158</v>
      </c>
      <c r="E57" s="61" t="s">
        <v>7</v>
      </c>
      <c r="F57" s="61" t="s">
        <v>159</v>
      </c>
      <c r="G57" s="61" t="str">
        <f t="shared" si="18"/>
        <v>GbpLibor6M</v>
      </c>
      <c r="H57" s="59" t="str">
        <f t="shared" si="19"/>
        <v>GBPSB6L28Y_LCHQuote</v>
      </c>
      <c r="I57" s="127">
        <v>0</v>
      </c>
      <c r="J57" s="64" t="str">
        <f>_xll.qlSwapRateHelper2(,$H57,0,$B57,Calendar,$D57,$E57,$F57,$G57,$I57,$C57,Discounting1,PillarDate,,Permanent,Trigger,ObjectOverwrite)</f>
        <v>obj_00642#0005</v>
      </c>
      <c r="K57" s="64" t="str">
        <f>_xll.qlSwapRateHelper2(,$H57,0,$B57,Calendar,$D57,$E57,$F57,$G57,$I57,$C57,Discounting2,PillarDate,,Permanent,Trigger,ObjectOverwrite)</f>
        <v>obj_00630#0005</v>
      </c>
      <c r="M57" s="10" t="str">
        <f t="shared" si="14"/>
        <v>Sw</v>
      </c>
      <c r="N57" s="94" t="str">
        <f t="shared" ref="N57:O57" si="51">IF(ISBLANK(J61),"--",J61)</f>
        <v>obj_00633#0005</v>
      </c>
      <c r="O57" s="94" t="str">
        <f t="shared" si="51"/>
        <v>obj_0062b#0005</v>
      </c>
      <c r="P57" s="146" t="str">
        <f>IFERROR(_xll.qlRateHelperQuoteName(N57,Trigger),"--")</f>
        <v>GBPSB6L40Y_LCHQuote</v>
      </c>
      <c r="Q57" s="98">
        <f>IFERROR(_xll.qlRateHelperQuoteValue($N57,Trigger),"--")</f>
        <v>2.0111500000000001E-2</v>
      </c>
      <c r="R57" s="141" t="b">
        <v>1</v>
      </c>
      <c r="S57" s="94">
        <v>10</v>
      </c>
      <c r="T57" s="94">
        <v>1</v>
      </c>
      <c r="U57" s="99">
        <f>IFERROR(_xll.qlRateHelperEarliestDate(N57,Trigger),"--")</f>
        <v>42304</v>
      </c>
      <c r="V57" s="99">
        <f>IFERROR(_xll.qlRateHelperPillarDate(N57,Trigger),"--")</f>
        <v>56914</v>
      </c>
      <c r="X57" s="4" t="str">
        <f t="shared" si="2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46" t="e">
        <v>#N/A</v>
      </c>
      <c r="AI57" s="46" t="e">
        <v>#N/A</v>
      </c>
      <c r="AJ57" s="172" t="e">
        <f t="shared" si="3"/>
        <v>#N/A</v>
      </c>
      <c r="AK57" s="46" t="e">
        <v>#N/A</v>
      </c>
      <c r="AL57" s="161" t="e">
        <f t="shared" si="4"/>
        <v>#N/A</v>
      </c>
    </row>
    <row r="58" spans="1:38" ht="11.25" customHeight="1" x14ac:dyDescent="0.2">
      <c r="A58" s="59" t="s">
        <v>25</v>
      </c>
      <c r="B58" s="60" t="s">
        <v>110</v>
      </c>
      <c r="C58" s="61" t="s">
        <v>6</v>
      </c>
      <c r="D58" s="61" t="s">
        <v>158</v>
      </c>
      <c r="E58" s="61" t="s">
        <v>7</v>
      </c>
      <c r="F58" s="61" t="s">
        <v>159</v>
      </c>
      <c r="G58" s="61" t="str">
        <f t="shared" si="18"/>
        <v>GbpLibor6M</v>
      </c>
      <c r="H58" s="59" t="str">
        <f t="shared" si="19"/>
        <v>GBPSB6L29Y_LCHQuote</v>
      </c>
      <c r="I58" s="127">
        <v>0</v>
      </c>
      <c r="J58" s="64" t="str">
        <f>_xll.qlSwapRateHelper2(,$H58,0,$B58,Calendar,$D58,$E58,$F58,$G58,$I58,$C58,Discounting1,PillarDate,,Permanent,Trigger,ObjectOverwrite)</f>
        <v>obj_00656#0005</v>
      </c>
      <c r="K58" s="64" t="str">
        <f>_xll.qlSwapRateHelper2(,$H58,0,$B58,Calendar,$D58,$E58,$F58,$G58,$I58,$C58,Discounting2,PillarDate,,Permanent,Trigger,ObjectOverwrite)</f>
        <v>obj_0062e#0005</v>
      </c>
      <c r="M58" s="10" t="str">
        <f t="shared" si="14"/>
        <v>Sw</v>
      </c>
      <c r="N58" s="94" t="str">
        <f t="shared" ref="N58:O58" si="52">IF(ISBLANK(J62),"--",J62)</f>
        <v>obj_0065e#0005</v>
      </c>
      <c r="O58" s="94" t="str">
        <f t="shared" si="52"/>
        <v>obj_00634#0005</v>
      </c>
      <c r="P58" s="146" t="str">
        <f>IFERROR(_xll.qlRateHelperQuoteName(N58,Trigger),"--")</f>
        <v>GBPSB6L50Y_LCHQuote</v>
      </c>
      <c r="Q58" s="98">
        <f>IFERROR(_xll.qlRateHelperQuoteValue($N58,Trigger),"--")</f>
        <v>1.9783499999999999E-2</v>
      </c>
      <c r="R58" s="141" t="b">
        <v>1</v>
      </c>
      <c r="S58" s="94">
        <v>10</v>
      </c>
      <c r="T58" s="94">
        <v>1</v>
      </c>
      <c r="U58" s="99">
        <f>IFERROR(_xll.qlRateHelperEarliestDate(N58,Trigger),"--")</f>
        <v>42304</v>
      </c>
      <c r="V58" s="99">
        <f>IFERROR(_xll.qlRateHelperPillarDate(N58,Trigger),"--")</f>
        <v>60567</v>
      </c>
      <c r="X58" s="4" t="str">
        <f t="shared" si="2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46" t="e">
        <v>#N/A</v>
      </c>
      <c r="AI58" s="46" t="e">
        <v>#N/A</v>
      </c>
      <c r="AJ58" s="172" t="e">
        <f t="shared" si="3"/>
        <v>#N/A</v>
      </c>
      <c r="AK58" s="46" t="e">
        <v>#N/A</v>
      </c>
      <c r="AL58" s="161" t="e">
        <f t="shared" si="4"/>
        <v>#N/A</v>
      </c>
    </row>
    <row r="59" spans="1:38" ht="11.25" customHeight="1" x14ac:dyDescent="0.2">
      <c r="A59" s="59" t="s">
        <v>25</v>
      </c>
      <c r="B59" s="60" t="s">
        <v>65</v>
      </c>
      <c r="C59" s="61" t="s">
        <v>6</v>
      </c>
      <c r="D59" s="61" t="s">
        <v>158</v>
      </c>
      <c r="E59" s="61" t="s">
        <v>7</v>
      </c>
      <c r="F59" s="61" t="s">
        <v>159</v>
      </c>
      <c r="G59" s="61" t="str">
        <f t="shared" si="18"/>
        <v>GbpLibor6M</v>
      </c>
      <c r="H59" s="59" t="str">
        <f t="shared" si="19"/>
        <v>GBPSB6L30Y_LCHQuote</v>
      </c>
      <c r="I59" s="127">
        <v>0</v>
      </c>
      <c r="J59" s="64" t="str">
        <f>_xll.qlSwapRateHelper2(,$H59,0,$B59,Calendar,$D59,$E59,$F59,$G59,$I59,$C59,Discounting1,PillarDate,,Permanent,Trigger,ObjectOverwrite)</f>
        <v>obj_00661#0005</v>
      </c>
      <c r="K59" s="64" t="str">
        <f>_xll.qlSwapRateHelper2(,$H59,0,$B59,Calendar,$D59,$E59,$F59,$G59,$I59,$C59,Discounting2,PillarDate,,Permanent,Trigger,ObjectOverwrite)</f>
        <v>obj_0064e#0005</v>
      </c>
      <c r="M59" s="11" t="str">
        <f t="shared" si="14"/>
        <v>Sw</v>
      </c>
      <c r="N59" s="95" t="str">
        <f t="shared" ref="N59:O59" si="53">IF(ISBLANK(J63),"--",J63)</f>
        <v>obj_0064a#0005</v>
      </c>
      <c r="O59" s="95" t="str">
        <f t="shared" si="53"/>
        <v>obj_00622#0005</v>
      </c>
      <c r="P59" s="147" t="str">
        <f>IFERROR(_xll.qlRateHelperQuoteName(N59,Trigger),"--")</f>
        <v>GBPSB6L60Y_LCHQuote</v>
      </c>
      <c r="Q59" s="101">
        <f>IFERROR(_xll.qlRateHelperQuoteValue($N59,Trigger),"--")</f>
        <v>1.9793000000000002E-2</v>
      </c>
      <c r="R59" s="144" t="b">
        <v>1</v>
      </c>
      <c r="S59" s="95">
        <v>10</v>
      </c>
      <c r="T59" s="95">
        <v>1</v>
      </c>
      <c r="U59" s="102">
        <f>IFERROR(_xll.qlRateHelperEarliestDate(N59,Trigger),"--")</f>
        <v>42304</v>
      </c>
      <c r="V59" s="102">
        <f>IFERROR(_xll.qlRateHelperPillarDate(N59,Trigger),"--")</f>
        <v>64220</v>
      </c>
      <c r="X59" s="6" t="str">
        <f t="shared" si="2"/>
        <v/>
      </c>
      <c r="Y59" s="6" t="e">
        <v>#N/A</v>
      </c>
      <c r="Z59" s="6" t="e">
        <v>#N/A</v>
      </c>
      <c r="AA59" s="6" t="str">
        <f>IFERROR(_xll.qlRateHelperQuoteName(Y59,Trigger),"")</f>
        <v/>
      </c>
      <c r="AB59" s="79" t="str">
        <f>IFERROR(_xll.qlRateHelperRate(Y59,Trigger),"")</f>
        <v/>
      </c>
      <c r="AC59" s="105" t="str">
        <f>IF(ISERROR(_xll.qlSwapRateHelperSpread($Y59)),IF(ISERROR(_xll.qlFuturesRateHelperConvexityAdjustment($Y59)),"",_xll.qlFuturesRateHelperConvexityAdjustment($Y59)),_xll.qlSwapRateHelperSpread($Y59))</f>
        <v/>
      </c>
      <c r="AD59" s="12" t="str">
        <f>IFERROR(_xll.qlRateHelperEarliestDate(Y59,Trigger),"")</f>
        <v/>
      </c>
      <c r="AE59" s="12" t="str">
        <f>IFERROR(_xll.qlRateHelperPillarDate(Y59,Trigger),"")</f>
        <v/>
      </c>
      <c r="AF59" s="79" t="e">
        <v>#N/A</v>
      </c>
      <c r="AG59" s="78" t="e">
        <v>#N/A</v>
      </c>
      <c r="AH59" s="46" t="e">
        <v>#N/A</v>
      </c>
      <c r="AI59" s="46" t="e">
        <v>#N/A</v>
      </c>
      <c r="AJ59" s="172" t="e">
        <f t="shared" si="3"/>
        <v>#N/A</v>
      </c>
      <c r="AK59" s="46" t="e">
        <v>#N/A</v>
      </c>
      <c r="AL59" s="161" t="e">
        <f t="shared" si="4"/>
        <v>#N/A</v>
      </c>
    </row>
    <row r="60" spans="1:38" ht="11.25" customHeight="1" x14ac:dyDescent="0.2">
      <c r="A60" s="59" t="s">
        <v>25</v>
      </c>
      <c r="B60" s="60" t="s">
        <v>66</v>
      </c>
      <c r="C60" s="61" t="s">
        <v>6</v>
      </c>
      <c r="D60" s="61" t="s">
        <v>158</v>
      </c>
      <c r="E60" s="61" t="s">
        <v>7</v>
      </c>
      <c r="F60" s="61" t="s">
        <v>159</v>
      </c>
      <c r="G60" s="61" t="str">
        <f t="shared" si="18"/>
        <v>GbpLibor6M</v>
      </c>
      <c r="H60" s="59" t="str">
        <f t="shared" si="19"/>
        <v>GBPSB6L35Y_LCHQuote</v>
      </c>
      <c r="I60" s="127">
        <v>0</v>
      </c>
      <c r="J60" s="64" t="str">
        <f>_xll.qlSwapRateHelper2(,$H60,0,$B60,Calendar,$D60,$E60,$F60,$G60,$I60,$C60,Discounting1,PillarDate,,Permanent,Trigger,ObjectOverwrite)</f>
        <v>obj_00663#0005</v>
      </c>
      <c r="K60" s="64" t="str">
        <f>_xll.qlSwapRateHelper2(,$H60,0,$B60,Calendar,$D60,$E60,$F60,$G60,$I60,$C60,Discounting2,PillarDate,,Permanent,Trigger,ObjectOverwrite)</f>
        <v>obj_00623#0005</v>
      </c>
    </row>
    <row r="61" spans="1:38" ht="11.25" customHeight="1" x14ac:dyDescent="0.2">
      <c r="A61" s="59" t="s">
        <v>25</v>
      </c>
      <c r="B61" s="60" t="s">
        <v>67</v>
      </c>
      <c r="C61" s="61" t="s">
        <v>6</v>
      </c>
      <c r="D61" s="61" t="s">
        <v>158</v>
      </c>
      <c r="E61" s="61" t="s">
        <v>7</v>
      </c>
      <c r="F61" s="61" t="s">
        <v>159</v>
      </c>
      <c r="G61" s="61" t="str">
        <f t="shared" si="18"/>
        <v>GbpLibor6M</v>
      </c>
      <c r="H61" s="59" t="str">
        <f t="shared" si="19"/>
        <v>GBPSB6L40Y_LCHQuote</v>
      </c>
      <c r="I61" s="127">
        <v>0</v>
      </c>
      <c r="J61" s="64" t="str">
        <f>_xll.qlSwapRateHelper2(,$H61,0,$B61,Calendar,$D61,$E61,$F61,$G61,$I61,$C61,Discounting1,PillarDate,,Permanent,Trigger,ObjectOverwrite)</f>
        <v>obj_00633#0005</v>
      </c>
      <c r="K61" s="64" t="str">
        <f>_xll.qlSwapRateHelper2(,$H61,0,$B61,Calendar,$D61,$E61,$F61,$G61,$I61,$C61,Discounting2,PillarDate,,Permanent,Trigger,ObjectOverwrite)</f>
        <v>obj_0062b#0005</v>
      </c>
    </row>
    <row r="62" spans="1:38" ht="11.25" customHeight="1" x14ac:dyDescent="0.2">
      <c r="A62" s="59" t="s">
        <v>25</v>
      </c>
      <c r="B62" s="60" t="s">
        <v>68</v>
      </c>
      <c r="C62" s="61" t="s">
        <v>6</v>
      </c>
      <c r="D62" s="61" t="s">
        <v>158</v>
      </c>
      <c r="E62" s="61" t="s">
        <v>7</v>
      </c>
      <c r="F62" s="61" t="s">
        <v>159</v>
      </c>
      <c r="G62" s="61" t="str">
        <f t="shared" si="18"/>
        <v>GbpLibor6M</v>
      </c>
      <c r="H62" s="59" t="str">
        <f t="shared" si="19"/>
        <v>GBPSB6L50Y_LCHQuote</v>
      </c>
      <c r="I62" s="125">
        <v>0</v>
      </c>
      <c r="J62" s="64" t="str">
        <f>_xll.qlSwapRateHelper2(,$H62,0,$B62,Calendar,$D62,$E62,$F62,$G62,$I62,$C62,Discounting1,PillarDate,,Permanent,Trigger,ObjectOverwrite)</f>
        <v>obj_0065e#0005</v>
      </c>
      <c r="K62" s="64" t="str">
        <f>_xll.qlSwapRateHelper2(,$H62,0,$B62,Calendar,$D62,$E62,$F62,$G62,$I62,$C62,Discounting2,PillarDate,,Permanent,Trigger,ObjectOverwrite)</f>
        <v>obj_00634#0005</v>
      </c>
    </row>
    <row r="63" spans="1:38" ht="11.25" customHeight="1" x14ac:dyDescent="0.2">
      <c r="A63" s="1" t="s">
        <v>25</v>
      </c>
      <c r="B63" s="8" t="s">
        <v>111</v>
      </c>
      <c r="C63" s="7" t="s">
        <v>6</v>
      </c>
      <c r="D63" s="7" t="s">
        <v>158</v>
      </c>
      <c r="E63" s="7" t="s">
        <v>7</v>
      </c>
      <c r="F63" s="7" t="s">
        <v>159</v>
      </c>
      <c r="G63" s="7" t="str">
        <f t="shared" si="18"/>
        <v>GbpLibor6M</v>
      </c>
      <c r="H63" s="1" t="str">
        <f t="shared" si="19"/>
        <v>GBPSB6L60Y_LCHQuote</v>
      </c>
      <c r="I63" s="128">
        <v>0</v>
      </c>
      <c r="J63" s="3" t="str">
        <f>_xll.qlSwapRateHelper2(,$H63,0,$B63,Calendar,$D63,$E63,$F63,$G63,$I63,$C63,Discounting1,PillarDate,,Permanent,Trigger,ObjectOverwrite)</f>
        <v>obj_0064a#0005</v>
      </c>
      <c r="K63" s="3" t="str">
        <f>_xll.qlSwapRateHelper2(,$H63,0,$B63,Calendar,$D63,$E63,$F63,$G63,$I63,$C63,Discounting2,PillarDate,,Permanent,Trigger,ObjectOverwrite)</f>
        <v>obj_00622#0005</v>
      </c>
    </row>
    <row r="64" spans="1:38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2:12" x14ac:dyDescent="0.2">
      <c r="L90" s="46" t="s">
        <v>35</v>
      </c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F26:F6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6:E63">
      <formula1>"Following,Modified Following,Preceding,Modified Preceding,Unadjusted,Half-Month Modified Following"</formula1>
    </dataValidation>
    <dataValidation type="list" allowBlank="1" showInputMessage="1" showErrorMessage="1" sqref="D26:D63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0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11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17.285156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1.140625" style="46" customWidth="1"/>
    <col min="33" max="33" width="12" style="46" customWidth="1"/>
    <col min="34" max="35" width="11.7109375" style="46" hidden="1" customWidth="1" outlineLevel="1"/>
    <col min="36" max="36" width="10" style="46" hidden="1" customWidth="1" outlineLevel="1"/>
    <col min="37" max="37" width="11.7109375" style="46" hidden="1" customWidth="1" outlineLevel="1"/>
    <col min="38" max="38" width="10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3" width="11" style="46" bestFit="1" customWidth="1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2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GBP1M</v>
      </c>
      <c r="Y1" s="66"/>
      <c r="Z1" s="66"/>
      <c r="AA1" s="66"/>
      <c r="AB1" s="69"/>
      <c r="AC1" s="69"/>
      <c r="AD1" s="66"/>
      <c r="AE1" s="66"/>
      <c r="AF1" s="178" t="s">
        <v>131</v>
      </c>
      <c r="AG1" s="178" t="s">
        <v>139</v>
      </c>
      <c r="AN1" s="46" t="s">
        <v>119</v>
      </c>
    </row>
    <row r="2" spans="1:41" ht="21.75" customHeight="1" x14ac:dyDescent="0.2">
      <c r="A2" s="65" t="s">
        <v>9</v>
      </c>
      <c r="B2" s="65" t="s">
        <v>28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136</v>
      </c>
      <c r="K2" s="65" t="s">
        <v>137</v>
      </c>
      <c r="M2" s="73" t="s">
        <v>9</v>
      </c>
      <c r="N2" s="73" t="s">
        <v>136</v>
      </c>
      <c r="O2" s="73" t="s">
        <v>137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136</v>
      </c>
      <c r="Z2" s="73" t="s">
        <v>137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71">
        <f t="array" ref="AF2:AF52">_xll.qlPiecewiseYieldCurveData(yieldcurve1_1M,Trigger)</f>
        <v>5.0620117031701436E-3</v>
      </c>
      <c r="AG2" s="76">
        <f t="array" ref="AG2:AG52">_xll.qlPiecewiseYieldCurveData(yieldcurve2_1M,Trigger)</f>
        <v>1</v>
      </c>
      <c r="AJ2" s="46" t="s">
        <v>140</v>
      </c>
      <c r="AL2" s="46" t="s">
        <v>141</v>
      </c>
      <c r="AN2" s="213" t="s">
        <v>84</v>
      </c>
      <c r="AO2" s="214"/>
    </row>
    <row r="3" spans="1:41" ht="11.25" customHeight="1" x14ac:dyDescent="0.2">
      <c r="A3" s="1" t="s">
        <v>26</v>
      </c>
      <c r="B3" s="8" t="s">
        <v>2</v>
      </c>
      <c r="C3" s="124"/>
      <c r="D3" s="124"/>
      <c r="E3" s="124"/>
      <c r="F3" s="124"/>
      <c r="G3" s="7" t="str">
        <f>PROPER(Currency)&amp;FamilyName&amp;B3</f>
        <v>GbpLibor1M</v>
      </c>
      <c r="H3" s="121" t="str">
        <f>IF(LCHQuoteOverwrite,Currency&amp;$B3&amp;"D"&amp;LCHQuoteSuffix,Currency&amp;$B3&amp;"D"&amp;QuoteSuffix)</f>
        <v>GBP1MD_LCHQuote</v>
      </c>
      <c r="I3" s="124"/>
      <c r="J3" s="3" t="str">
        <f>_xll.qlDepositRateHelper(,H3,G3,Permanent,Trigger,ObjectOverwrite)</f>
        <v>obj_0067a#0005</v>
      </c>
      <c r="K3" s="3" t="str">
        <f>J3</f>
        <v>obj_0067a#0005</v>
      </c>
      <c r="L3" s="49"/>
      <c r="M3" s="10" t="str">
        <f>A3</f>
        <v>Dp</v>
      </c>
      <c r="N3" s="94" t="str">
        <f>IF(ISBLANK(J3),"--",J3)</f>
        <v>obj_0067a#0005</v>
      </c>
      <c r="O3" s="94" t="str">
        <f>IF(ISBLANK(K3),"--",K3)</f>
        <v>obj_0067a#0005</v>
      </c>
      <c r="P3" s="146" t="str">
        <f>IFERROR(_xll.qlRateHelperQuoteName(N3,Trigger),"--")</f>
        <v>GBP1MD_LCHQuote</v>
      </c>
      <c r="Q3" s="98">
        <f>IFERROR(_xll.qlRateHelperQuoteValue($N3,Trigger),"--")</f>
        <v>5.0631000000000001E-3</v>
      </c>
      <c r="R3" s="141" t="b">
        <v>1</v>
      </c>
      <c r="S3" s="94">
        <v>20</v>
      </c>
      <c r="T3" s="94">
        <v>1</v>
      </c>
      <c r="U3" s="99">
        <f>IFERROR(_xll.qlRateHelperEarliestDate(N3,Trigger),"--")</f>
        <v>42304</v>
      </c>
      <c r="V3" s="99">
        <f>IFERROR(_xll.qlRateHelperPillarDate(N3,Trigger),"--")</f>
        <v>42335</v>
      </c>
      <c r="X3" s="4" t="str">
        <f t="shared" ref="X3:X34" si="0">IFERROR(INDEX($M$3:$M$52,MATCH(AA3,$P$3:$P$52,0),1),"")</f>
        <v>Dp</v>
      </c>
      <c r="Y3" s="4" t="str">
        <f t="array" ref="Y3:Y52">_xll.qlRateHelperSelection(_xll.ohFilter(RateHelpers1,IncludeFlag),_xll.ohFilter(Priority,IncludeFlag),$AO$3,$AO$4,$AO$5,$AO$6,_xll.ohFilter(MinDistance,IncludeFlag),Trigger)</f>
        <v>obj_0067a</v>
      </c>
      <c r="Z3" s="4" t="str">
        <f t="array" ref="Z3:Z52">_xll.qlRateHelperSelection(_xll.ohFilter(RateHelpers2,IncludeFlag),_xll.ohFilter(Priority,IncludeFlag),$AO$3,$AO$4,$AO$5,$AO$6,_xll.ohFilter(MinDistance,IncludeFlag),Trigger)</f>
        <v>obj_0067a</v>
      </c>
      <c r="AA3" s="4" t="str">
        <f>IFERROR(_xll.qlRateHelperQuoteName(Y3,Trigger),"")</f>
        <v>GBP1MD_LCHQuote</v>
      </c>
      <c r="AB3" s="70">
        <f>IFERROR(_xll.qlRateHelperRate(Y3,Trigger),"")</f>
        <v>5.0631000000000001E-3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42304</v>
      </c>
      <c r="AE3" s="5">
        <f>IFERROR(_xll.qlRateHelperPillarDate(Y3,Trigger),"")</f>
        <v>42335</v>
      </c>
      <c r="AF3" s="70">
        <v>5.0620117031701436E-3</v>
      </c>
      <c r="AG3" s="77">
        <v>0.99957016812256205</v>
      </c>
      <c r="AH3" s="169">
        <f t="array" ref="AH3:AH52">_xll.ohFilter([1]REP00100!$C$2:$C$2000,([1]REP00100!$A$2:$A$2000="GBP_LIBOR_1M_EOD"))</f>
        <v>42335</v>
      </c>
      <c r="AI3" s="170">
        <f t="array" ref="AI3:AI52">_xll.ohFilter([1]REP00100!$E$2:$E$2000,([1]REP00100!$A$2:$A$2000="GBP_LIBOR_1M_EOD"))</f>
        <v>5.0620117031729903E-3</v>
      </c>
      <c r="AJ3" s="172">
        <f t="shared" ref="AJ3:AJ52" si="1">AF3-AI3</f>
        <v>-2.8466812240779404E-15</v>
      </c>
      <c r="AK3" s="80">
        <f t="array" ref="AK3:AK52">_xll.ohFilter([1]REP00101!$F$2:$F$2000,([1]REP00101!$A$2:$A$2000="GBP_LIBOR_1M_EOD"))</f>
        <v>0.99957016812256205</v>
      </c>
      <c r="AL3" s="161">
        <f t="shared" ref="AL3:AL52" si="2">AG3-AK3</f>
        <v>0</v>
      </c>
      <c r="AN3" s="107" t="s">
        <v>85</v>
      </c>
      <c r="AO3" s="108">
        <v>0</v>
      </c>
    </row>
    <row r="4" spans="1:41" ht="11.25" customHeight="1" x14ac:dyDescent="0.2">
      <c r="B4" s="46"/>
      <c r="C4" s="46"/>
      <c r="D4" s="46"/>
      <c r="E4" s="46"/>
      <c r="F4" s="46"/>
      <c r="G4" s="46" t="s">
        <v>116</v>
      </c>
      <c r="H4" s="46" t="s">
        <v>161</v>
      </c>
      <c r="L4" s="48"/>
      <c r="M4" s="68" t="str">
        <f t="shared" ref="M4:M14" si="3">A6</f>
        <v>Sw</v>
      </c>
      <c r="N4" s="131" t="str">
        <f t="shared" ref="N4:O14" si="4">IF(ISBLANK(J6),"--",J6)</f>
        <v>obj_00598#0005</v>
      </c>
      <c r="O4" s="131" t="str">
        <f t="shared" si="4"/>
        <v>obj_005b8#0005</v>
      </c>
      <c r="P4" s="145" t="str">
        <f>IFERROR(_xll.qlRateHelperQuoteName(N4,Trigger),"--")</f>
        <v>GBPAB1L2M_LCHQuote</v>
      </c>
      <c r="Q4" s="133">
        <f>IFERROR(_xll.qlRateHelperQuoteValue($N4,Trigger),"--")</f>
        <v>5.1000000000000004E-3</v>
      </c>
      <c r="R4" s="137" t="b">
        <v>1</v>
      </c>
      <c r="S4" s="131">
        <v>10</v>
      </c>
      <c r="T4" s="131">
        <v>1</v>
      </c>
      <c r="U4" s="134">
        <f>IFERROR(_xll.qlRateHelperEarliestDate(N4,Trigger),"--")</f>
        <v>42304</v>
      </c>
      <c r="V4" s="134">
        <f>IFERROR(_xll.qlRateHelperPillarDate(N4,Trigger),"--")</f>
        <v>42367</v>
      </c>
      <c r="X4" s="4" t="str">
        <f t="shared" si="0"/>
        <v>Sw</v>
      </c>
      <c r="Y4" s="4" t="str">
        <v>obj_00598</v>
      </c>
      <c r="Z4" s="4" t="str">
        <v>obj_005b8</v>
      </c>
      <c r="AA4" s="4" t="str">
        <f>IFERROR(_xll.qlRateHelperQuoteName(Y4,Trigger),"")</f>
        <v>GBPAB1L2M_LCHQuote</v>
      </c>
      <c r="AB4" s="70">
        <f>IFERROR(_xll.qlRateHelperRate(Y4,Trigger),"")</f>
        <v>5.1000000000000004E-3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42304</v>
      </c>
      <c r="AE4" s="5">
        <f>IFERROR(_xll.qlRateHelperPillarDate(Y4,Trigger),"")</f>
        <v>42367</v>
      </c>
      <c r="AF4" s="70">
        <v>5.0978789530455411E-3</v>
      </c>
      <c r="AG4" s="77">
        <v>0.99912047913156155</v>
      </c>
      <c r="AH4" s="169">
        <v>42367</v>
      </c>
      <c r="AI4" s="170">
        <v>5.0978789530447301E-3</v>
      </c>
      <c r="AJ4" s="172">
        <f t="shared" si="1"/>
        <v>8.1098322501915732E-16</v>
      </c>
      <c r="AK4" s="80">
        <v>0.99912047913132795</v>
      </c>
      <c r="AL4" s="161">
        <f t="shared" si="2"/>
        <v>2.3359092438113294E-13</v>
      </c>
      <c r="AN4" s="107" t="s">
        <v>86</v>
      </c>
      <c r="AO4" s="108">
        <v>0</v>
      </c>
    </row>
    <row r="5" spans="1:41" ht="11.25" customHeight="1" x14ac:dyDescent="0.2">
      <c r="A5" s="65" t="s">
        <v>9</v>
      </c>
      <c r="B5" s="65" t="s">
        <v>28</v>
      </c>
      <c r="C5" s="65" t="s">
        <v>113</v>
      </c>
      <c r="D5" s="65" t="s">
        <v>5</v>
      </c>
      <c r="E5" s="65" t="s">
        <v>33</v>
      </c>
      <c r="F5" s="65" t="s">
        <v>114</v>
      </c>
      <c r="G5" s="65" t="s">
        <v>4</v>
      </c>
      <c r="H5" s="65" t="s">
        <v>1</v>
      </c>
      <c r="I5" s="65" t="s">
        <v>112</v>
      </c>
      <c r="J5" s="65" t="s">
        <v>136</v>
      </c>
      <c r="K5" s="65" t="s">
        <v>137</v>
      </c>
      <c r="L5" s="48"/>
      <c r="M5" s="10" t="str">
        <f t="shared" si="3"/>
        <v>Sw</v>
      </c>
      <c r="N5" s="94" t="str">
        <f t="shared" si="4"/>
        <v>obj_005b5#0005</v>
      </c>
      <c r="O5" s="94" t="str">
        <f t="shared" si="4"/>
        <v>obj_005a7#0005</v>
      </c>
      <c r="P5" s="146" t="str">
        <f>IFERROR(_xll.qlRateHelperQuoteName(N5,Trigger),"--")</f>
        <v>GBPAB1L3M_LCHQuote</v>
      </c>
      <c r="Q5" s="98">
        <f>IFERROR(_xll.qlRateHelperQuoteValue($N5,Trigger),"--")</f>
        <v>5.1180000000000002E-3</v>
      </c>
      <c r="R5" s="141" t="b">
        <v>1</v>
      </c>
      <c r="S5" s="94">
        <v>10</v>
      </c>
      <c r="T5" s="94">
        <v>1</v>
      </c>
      <c r="U5" s="99">
        <f>IFERROR(_xll.qlRateHelperEarliestDate(N5,Trigger),"--")</f>
        <v>42304</v>
      </c>
      <c r="V5" s="99">
        <f>IFERROR(_xll.qlRateHelperPillarDate(N5,Trigger),"--")</f>
        <v>42396</v>
      </c>
      <c r="X5" s="4" t="str">
        <f t="shared" si="0"/>
        <v>Sw</v>
      </c>
      <c r="Y5" s="4" t="str">
        <v>obj_005b5</v>
      </c>
      <c r="Z5" s="4" t="str">
        <v>obj_005a7</v>
      </c>
      <c r="AA5" s="4" t="str">
        <f>IFERROR(_xll.qlRateHelperQuoteName(Y5,Trigger),"")</f>
        <v>GBPAB1L3M_LCHQuote</v>
      </c>
      <c r="AB5" s="70">
        <f>IFERROR(_xll.qlRateHelperRate(Y5,Trigger),"")</f>
        <v>5.1180000000000002E-3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42304</v>
      </c>
      <c r="AE5" s="5">
        <f>IFERROR(_xll.qlRateHelperPillarDate(Y5,Trigger),"")</f>
        <v>42396</v>
      </c>
      <c r="AF5" s="70">
        <v>5.1120699098356082E-3</v>
      </c>
      <c r="AG5" s="77">
        <v>0.99871191737576037</v>
      </c>
      <c r="AH5" s="169">
        <v>42396</v>
      </c>
      <c r="AI5" s="170">
        <v>5.1120564274804202E-3</v>
      </c>
      <c r="AJ5" s="172">
        <f t="shared" si="1"/>
        <v>1.3482355188006168E-8</v>
      </c>
      <c r="AK5" s="80">
        <v>0.99871191997814601</v>
      </c>
      <c r="AL5" s="161">
        <f t="shared" si="2"/>
        <v>-2.6023856403156742E-9</v>
      </c>
      <c r="AM5" s="80"/>
      <c r="AN5" s="107" t="s">
        <v>87</v>
      </c>
      <c r="AO5" s="108">
        <v>0</v>
      </c>
    </row>
    <row r="6" spans="1:41" ht="11.25" customHeight="1" x14ac:dyDescent="0.2">
      <c r="A6" s="53" t="s">
        <v>25</v>
      </c>
      <c r="B6" s="54" t="s">
        <v>40</v>
      </c>
      <c r="C6" s="55" t="s">
        <v>6</v>
      </c>
      <c r="D6" s="55" t="s">
        <v>8</v>
      </c>
      <c r="E6" s="55" t="s">
        <v>7</v>
      </c>
      <c r="F6" s="55" t="s">
        <v>159</v>
      </c>
      <c r="G6" s="55" t="str">
        <f t="shared" ref="G6:G16" si="5">PROPER(Currency)&amp;FamilyName&amp;Tenor</f>
        <v>GbpLibor1M</v>
      </c>
      <c r="H6" s="53" t="str">
        <f t="shared" ref="H6:H16" si="6">IF(LCHQuoteOverwrite,Currency&amp;$H$4&amp;SUBSTITUTE(B6,"12M","1Y")&amp;LCHQuoteSuffix,Currency&amp;SUBSTITUTE($B6,"M","")&amp;$G$4&amp;QuoteSuffix)</f>
        <v>GBPAB1L2M_LCHQuote</v>
      </c>
      <c r="I6" s="126">
        <v>0</v>
      </c>
      <c r="J6" s="64" t="str">
        <f>_xll.qlSwapRateHelper2(,$H6,0,$B6,Calendar,$D6,$E6,$F6,$G6,$I6,$C6,Discounting1,PillarDate,,Permanent,Trigger,ObjectOverwrite)</f>
        <v>obj_00598#0005</v>
      </c>
      <c r="K6" s="64" t="str">
        <f>_xll.qlSwapRateHelper2(,$H6,0,$B6,Calendar,$D6,$E6,$F6,$G6,$I6,$C6,Discounting2,PillarDate,,Permanent,Trigger,ObjectOverwrite)</f>
        <v>obj_005b8#0005</v>
      </c>
      <c r="L6" s="48"/>
      <c r="M6" s="10" t="str">
        <f t="shared" si="3"/>
        <v>Sw</v>
      </c>
      <c r="N6" s="94" t="str">
        <f t="shared" si="4"/>
        <v>obj_0057e#0005</v>
      </c>
      <c r="O6" s="94" t="str">
        <f t="shared" si="4"/>
        <v>obj_00580#0005</v>
      </c>
      <c r="P6" s="146" t="str">
        <f>IFERROR(_xll.qlRateHelperQuoteName(N6,Trigger),"--")</f>
        <v>GBPAB1L4M_LCHQuote</v>
      </c>
      <c r="Q6" s="98" t="str">
        <f>IFERROR(_xll.qlRateHelperQuoteValue($N6,Trigger),"--")</f>
        <v>--</v>
      </c>
      <c r="R6" s="141" t="b">
        <v>0</v>
      </c>
      <c r="S6" s="94">
        <v>10</v>
      </c>
      <c r="T6" s="94">
        <v>1</v>
      </c>
      <c r="U6" s="99">
        <f>IFERROR(_xll.qlRateHelperEarliestDate(N6,Trigger),"--")</f>
        <v>42304</v>
      </c>
      <c r="V6" s="99">
        <f>IFERROR(_xll.qlRateHelperPillarDate(N6,Trigger),"--")</f>
        <v>42429</v>
      </c>
      <c r="X6" s="4" t="str">
        <f t="shared" si="0"/>
        <v>Sw</v>
      </c>
      <c r="Y6" s="4" t="str">
        <v>obj_005c7</v>
      </c>
      <c r="Z6" s="4" t="str">
        <v>obj_005c4</v>
      </c>
      <c r="AA6" s="4" t="str">
        <f>IFERROR(_xll.qlRateHelperQuoteName(Y6,Trigger),"")</f>
        <v>GBPAB1L6M_LCHQuote</v>
      </c>
      <c r="AB6" s="70">
        <f>IFERROR(_xll.qlRateHelperRate(Y6,Trigger),"")</f>
        <v>5.2877499999999999E-3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42304</v>
      </c>
      <c r="AE6" s="5">
        <f>IFERROR(_xll.qlRateHelperPillarDate(Y6,Trigger),"")</f>
        <v>42487</v>
      </c>
      <c r="AF6" s="70">
        <v>5.2783247262648113E-3</v>
      </c>
      <c r="AG6" s="77">
        <v>0.99735655017461167</v>
      </c>
      <c r="AH6" s="169">
        <v>42487</v>
      </c>
      <c r="AI6" s="170">
        <v>5.2789246954112997E-3</v>
      </c>
      <c r="AJ6" s="172">
        <f t="shared" si="1"/>
        <v>-5.9996914648832028E-7</v>
      </c>
      <c r="AK6" s="80">
        <v>0.99735618988239505</v>
      </c>
      <c r="AL6" s="161">
        <f t="shared" si="2"/>
        <v>3.6029221661681987E-7</v>
      </c>
      <c r="AN6" s="107" t="s">
        <v>88</v>
      </c>
      <c r="AO6" s="109" t="s">
        <v>89</v>
      </c>
    </row>
    <row r="7" spans="1:41" ht="11.25" customHeight="1" x14ac:dyDescent="0.2">
      <c r="A7" s="59" t="s">
        <v>25</v>
      </c>
      <c r="B7" s="60" t="s">
        <v>0</v>
      </c>
      <c r="C7" s="61" t="s">
        <v>6</v>
      </c>
      <c r="D7" s="61" t="s">
        <v>8</v>
      </c>
      <c r="E7" s="61" t="s">
        <v>7</v>
      </c>
      <c r="F7" s="61" t="s">
        <v>159</v>
      </c>
      <c r="G7" s="61" t="str">
        <f t="shared" si="5"/>
        <v>GbpLibor1M</v>
      </c>
      <c r="H7" s="59" t="str">
        <f t="shared" si="6"/>
        <v>GBPAB1L3M_LCHQuote</v>
      </c>
      <c r="I7" s="127">
        <v>0</v>
      </c>
      <c r="J7" s="64" t="str">
        <f>_xll.qlSwapRateHelper2(,$H7,0,$B7,Calendar,$D7,$E7,$F7,$G7,$I7,$C7,Discounting1,PillarDate,,Permanent,Trigger,ObjectOverwrite)</f>
        <v>obj_005b5#0005</v>
      </c>
      <c r="K7" s="64" t="str">
        <f>_xll.qlSwapRateHelper2(,$H7,0,$B7,Calendar,$D7,$E7,$F7,$G7,$I7,$C7,Discounting2,PillarDate,,Permanent,Trigger,ObjectOverwrite)</f>
        <v>obj_005a7#0005</v>
      </c>
      <c r="L7" s="48"/>
      <c r="M7" s="10" t="str">
        <f t="shared" si="3"/>
        <v>Sw</v>
      </c>
      <c r="N7" s="94" t="str">
        <f t="shared" si="4"/>
        <v>obj_005a0#0005</v>
      </c>
      <c r="O7" s="94" t="str">
        <f t="shared" si="4"/>
        <v>obj_00597#0005</v>
      </c>
      <c r="P7" s="146" t="str">
        <f>IFERROR(_xll.qlRateHelperQuoteName(N7,Trigger),"--")</f>
        <v>GBPAB1L5M_LCHQuote</v>
      </c>
      <c r="Q7" s="98" t="str">
        <f>IFERROR(_xll.qlRateHelperQuoteValue($N7,Trigger),"--")</f>
        <v>--</v>
      </c>
      <c r="R7" s="141" t="b">
        <v>0</v>
      </c>
      <c r="S7" s="94">
        <v>10</v>
      </c>
      <c r="T7" s="94">
        <v>1</v>
      </c>
      <c r="U7" s="99">
        <f>IFERROR(_xll.qlRateHelperEarliestDate(N7,Trigger),"--")</f>
        <v>42304</v>
      </c>
      <c r="V7" s="99">
        <f>IFERROR(_xll.qlRateHelperPillarDate(N7,Trigger),"--")</f>
        <v>42458</v>
      </c>
      <c r="X7" s="4" t="str">
        <f t="shared" si="0"/>
        <v>Sw</v>
      </c>
      <c r="Y7" s="4" t="str">
        <v>obj_005d4</v>
      </c>
      <c r="Z7" s="4" t="str">
        <v>obj_005ad</v>
      </c>
      <c r="AA7" s="4" t="str">
        <f>IFERROR(_xll.qlRateHelperQuoteName(Y7,Trigger),"")</f>
        <v>GBPAB1L9M_LCHQuote</v>
      </c>
      <c r="AB7" s="70">
        <f>IFERROR(_xll.qlRateHelperRate(Y7,Trigger),"")</f>
        <v>5.4767499999999998E-3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42304</v>
      </c>
      <c r="AE7" s="5">
        <f>IFERROR(_xll.qlRateHelperPillarDate(Y7,Trigger),"")</f>
        <v>42578</v>
      </c>
      <c r="AF7" s="70">
        <v>5.4646057147946835E-3</v>
      </c>
      <c r="AG7" s="77">
        <v>0.99590564850286711</v>
      </c>
      <c r="AH7" s="169">
        <v>42578</v>
      </c>
      <c r="AI7" s="170">
        <v>5.4650064113161301E-3</v>
      </c>
      <c r="AJ7" s="172">
        <f t="shared" si="1"/>
        <v>-4.0069652144664875E-7</v>
      </c>
      <c r="AK7" s="80">
        <v>0.99590528876533402</v>
      </c>
      <c r="AL7" s="161">
        <f t="shared" si="2"/>
        <v>3.5973753309548329E-7</v>
      </c>
    </row>
    <row r="8" spans="1:41" ht="11.25" customHeight="1" x14ac:dyDescent="0.2">
      <c r="A8" s="59" t="s">
        <v>25</v>
      </c>
      <c r="B8" s="60" t="s">
        <v>41</v>
      </c>
      <c r="C8" s="61" t="s">
        <v>6</v>
      </c>
      <c r="D8" s="61" t="s">
        <v>8</v>
      </c>
      <c r="E8" s="61" t="s">
        <v>7</v>
      </c>
      <c r="F8" s="61" t="s">
        <v>159</v>
      </c>
      <c r="G8" s="61" t="str">
        <f t="shared" si="5"/>
        <v>GbpLibor1M</v>
      </c>
      <c r="H8" s="59" t="str">
        <f t="shared" si="6"/>
        <v>GBPAB1L4M_LCHQuote</v>
      </c>
      <c r="I8" s="127">
        <v>0</v>
      </c>
      <c r="J8" s="64" t="str">
        <f>_xll.qlSwapRateHelper2(,$H8,0,$B8,Calendar,$D8,$E8,$F8,$G8,$I8,$C8,Discounting1,PillarDate,,Permanent,Trigger,ObjectOverwrite)</f>
        <v>obj_0057e#0005</v>
      </c>
      <c r="K8" s="64" t="str">
        <f>_xll.qlSwapRateHelper2(,$H8,0,$B8,Calendar,$D8,$E8,$F8,$G8,$I8,$C8,Discounting2,PillarDate,,Permanent,Trigger,ObjectOverwrite)</f>
        <v>obj_00580#0005</v>
      </c>
      <c r="L8" s="48"/>
      <c r="M8" s="10" t="str">
        <f t="shared" si="3"/>
        <v>Sw</v>
      </c>
      <c r="N8" s="94" t="str">
        <f t="shared" si="4"/>
        <v>obj_005c7#0005</v>
      </c>
      <c r="O8" s="94" t="str">
        <f t="shared" si="4"/>
        <v>obj_005c4#0005</v>
      </c>
      <c r="P8" s="146" t="str">
        <f>IFERROR(_xll.qlRateHelperQuoteName(N8,Trigger),"--")</f>
        <v>GBPAB1L6M_LCHQuote</v>
      </c>
      <c r="Q8" s="98">
        <f>IFERROR(_xll.qlRateHelperQuoteValue($N8,Trigger),"--")</f>
        <v>5.2877499999999999E-3</v>
      </c>
      <c r="R8" s="141" t="b">
        <v>1</v>
      </c>
      <c r="S8" s="94">
        <v>10</v>
      </c>
      <c r="T8" s="94">
        <v>1</v>
      </c>
      <c r="U8" s="99">
        <f>IFERROR(_xll.qlRateHelperEarliestDate(N8,Trigger),"--")</f>
        <v>42304</v>
      </c>
      <c r="V8" s="99">
        <f>IFERROR(_xll.qlRateHelperPillarDate(N8,Trigger),"--")</f>
        <v>42487</v>
      </c>
      <c r="X8" s="4" t="str">
        <f t="shared" si="0"/>
        <v>Sw</v>
      </c>
      <c r="Y8" s="4" t="str">
        <v>obj_005ac</v>
      </c>
      <c r="Z8" s="4" t="str">
        <v>obj_005a5</v>
      </c>
      <c r="AA8" s="4" t="str">
        <f>IFERROR(_xll.qlRateHelperQuoteName(Y8,Trigger),"")</f>
        <v>GBPAB1L1Y_LCHQuote</v>
      </c>
      <c r="AB8" s="70">
        <f>IFERROR(_xll.qlRateHelperRate(Y8,Trigger),"")</f>
        <v>5.7299999999999999E-3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42304</v>
      </c>
      <c r="AE8" s="5">
        <f>IFERROR(_xll.qlRateHelperPillarDate(Y8,Trigger),"")</f>
        <v>42670</v>
      </c>
      <c r="AF8" s="70">
        <v>5.7130494546934951E-3</v>
      </c>
      <c r="AG8" s="77">
        <v>0.99428740168705254</v>
      </c>
      <c r="AH8" s="169">
        <v>42670</v>
      </c>
      <c r="AI8" s="170">
        <v>5.7133496745507698E-3</v>
      </c>
      <c r="AJ8" s="172">
        <f t="shared" si="1"/>
        <v>-3.0021985727470002E-7</v>
      </c>
      <c r="AK8" s="80">
        <v>0.99428704293805104</v>
      </c>
      <c r="AL8" s="161">
        <f t="shared" si="2"/>
        <v>3.5874900150556499E-7</v>
      </c>
    </row>
    <row r="9" spans="1:41" ht="11.25" customHeight="1" x14ac:dyDescent="0.2">
      <c r="A9" s="59" t="s">
        <v>25</v>
      </c>
      <c r="B9" s="60" t="s">
        <v>42</v>
      </c>
      <c r="C9" s="61" t="s">
        <v>6</v>
      </c>
      <c r="D9" s="61" t="s">
        <v>8</v>
      </c>
      <c r="E9" s="61" t="s">
        <v>7</v>
      </c>
      <c r="F9" s="61" t="s">
        <v>159</v>
      </c>
      <c r="G9" s="61" t="str">
        <f t="shared" si="5"/>
        <v>GbpLibor1M</v>
      </c>
      <c r="H9" s="59" t="str">
        <f t="shared" si="6"/>
        <v>GBPAB1L5M_LCHQuote</v>
      </c>
      <c r="I9" s="127">
        <v>0</v>
      </c>
      <c r="J9" s="64" t="str">
        <f>_xll.qlSwapRateHelper2(,$H9,0,$B9,Calendar,$D9,$E9,$F9,$G9,$I9,$C9,Discounting1,PillarDate,,Permanent,Trigger,ObjectOverwrite)</f>
        <v>obj_005a0#0005</v>
      </c>
      <c r="K9" s="64" t="str">
        <f>_xll.qlSwapRateHelper2(,$H9,0,$B9,Calendar,$D9,$E9,$F9,$G9,$I9,$C9,Discounting2,PillarDate,,Permanent,Trigger,ObjectOverwrite)</f>
        <v>obj_00597#0005</v>
      </c>
      <c r="L9" s="48"/>
      <c r="M9" s="10" t="str">
        <f t="shared" si="3"/>
        <v>Sw</v>
      </c>
      <c r="N9" s="94" t="str">
        <f t="shared" si="4"/>
        <v>obj_00585#0005</v>
      </c>
      <c r="O9" s="94" t="str">
        <f t="shared" si="4"/>
        <v>obj_005c6#0005</v>
      </c>
      <c r="P9" s="146" t="str">
        <f>IFERROR(_xll.qlRateHelperQuoteName(N9,Trigger),"--")</f>
        <v>GBPAB1L7M_LCHQuote</v>
      </c>
      <c r="Q9" s="98" t="str">
        <f>IFERROR(_xll.qlRateHelperQuoteValue($N9,Trigger),"--")</f>
        <v>--</v>
      </c>
      <c r="R9" s="141" t="b">
        <v>0</v>
      </c>
      <c r="S9" s="94">
        <v>10</v>
      </c>
      <c r="T9" s="94">
        <v>1</v>
      </c>
      <c r="U9" s="99">
        <f>IFERROR(_xll.qlRateHelperEarliestDate(N9,Trigger),"--")</f>
        <v>42304</v>
      </c>
      <c r="V9" s="99">
        <f>IFERROR(_xll.qlRateHelperPillarDate(N9,Trigger),"--")</f>
        <v>42517</v>
      </c>
      <c r="X9" s="4" t="str">
        <f t="shared" si="0"/>
        <v>BasSw</v>
      </c>
      <c r="Y9" s="4" t="str">
        <v>obj_005a8</v>
      </c>
      <c r="Z9" s="4" t="str">
        <v>obj_00592</v>
      </c>
      <c r="AA9" s="4" t="str">
        <f>IFERROR(_xll.qlRateHelperQuoteName(Y9,Trigger),"")</f>
        <v>GBP1L6L2Y_LCHQuote</v>
      </c>
      <c r="AB9" s="70">
        <f>IFERROR(_xll.qlRateHelperRate(Y9,Trigger),"")</f>
        <v>7.0920000000000002E-3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42304</v>
      </c>
      <c r="AE9" s="5">
        <f>IFERROR(_xll.qlRateHelperPillarDate(Y9,Trigger),"")</f>
        <v>43035</v>
      </c>
      <c r="AF9" s="70">
        <v>7.0833722568327626E-3</v>
      </c>
      <c r="AG9" s="77">
        <v>0.98591393750263034</v>
      </c>
      <c r="AH9" s="169">
        <v>43035</v>
      </c>
      <c r="AI9" s="170">
        <v>7.0835226101165797E-3</v>
      </c>
      <c r="AJ9" s="172">
        <f t="shared" si="1"/>
        <v>-1.5035328381710761E-7</v>
      </c>
      <c r="AK9" s="80">
        <v>0.98591358174793098</v>
      </c>
      <c r="AL9" s="161">
        <f t="shared" si="2"/>
        <v>3.5575469936599546E-7</v>
      </c>
    </row>
    <row r="10" spans="1:41" ht="11.25" customHeight="1" x14ac:dyDescent="0.2">
      <c r="A10" s="59" t="s">
        <v>25</v>
      </c>
      <c r="B10" s="60" t="s">
        <v>3</v>
      </c>
      <c r="C10" s="61" t="s">
        <v>6</v>
      </c>
      <c r="D10" s="61" t="s">
        <v>8</v>
      </c>
      <c r="E10" s="61" t="s">
        <v>7</v>
      </c>
      <c r="F10" s="61" t="s">
        <v>159</v>
      </c>
      <c r="G10" s="61" t="str">
        <f t="shared" si="5"/>
        <v>GbpLibor1M</v>
      </c>
      <c r="H10" s="59" t="str">
        <f t="shared" si="6"/>
        <v>GBPAB1L6M_LCHQuote</v>
      </c>
      <c r="I10" s="127">
        <v>0</v>
      </c>
      <c r="J10" s="64" t="str">
        <f>_xll.qlSwapRateHelper2(,$H10,0,$B10,Calendar,$D10,$E10,$F10,$G10,$I10,$C10,Discounting1,PillarDate,,Permanent,Trigger,ObjectOverwrite)</f>
        <v>obj_005c7#0005</v>
      </c>
      <c r="K10" s="64" t="str">
        <f>_xll.qlSwapRateHelper2(,$H10,0,$B10,Calendar,$D10,$E10,$F10,$G10,$I10,$C10,Discounting2,PillarDate,,Permanent,Trigger,ObjectOverwrite)</f>
        <v>obj_005c4#0005</v>
      </c>
      <c r="L10" s="48"/>
      <c r="M10" s="10" t="str">
        <f t="shared" si="3"/>
        <v>Sw</v>
      </c>
      <c r="N10" s="94" t="str">
        <f t="shared" si="4"/>
        <v>obj_00599#0005</v>
      </c>
      <c r="O10" s="94" t="str">
        <f t="shared" si="4"/>
        <v>obj_005d1#0005</v>
      </c>
      <c r="P10" s="146" t="str">
        <f>IFERROR(_xll.qlRateHelperQuoteName(N10,Trigger),"--")</f>
        <v>GBPAB1L8M_LCHQuote</v>
      </c>
      <c r="Q10" s="98" t="str">
        <f>IFERROR(_xll.qlRateHelperQuoteValue($N10,Trigger),"--")</f>
        <v>--</v>
      </c>
      <c r="R10" s="141" t="b">
        <v>0</v>
      </c>
      <c r="S10" s="94">
        <v>10</v>
      </c>
      <c r="T10" s="94">
        <v>1</v>
      </c>
      <c r="U10" s="99">
        <f>IFERROR(_xll.qlRateHelperEarliestDate(N10,Trigger),"--")</f>
        <v>42304</v>
      </c>
      <c r="V10" s="99">
        <f>IFERROR(_xll.qlRateHelperPillarDate(N10,Trigger),"--")</f>
        <v>42548</v>
      </c>
      <c r="X10" s="4" t="str">
        <f t="shared" si="0"/>
        <v>BasSw</v>
      </c>
      <c r="Y10" s="4" t="str">
        <v>obj_005b1</v>
      </c>
      <c r="Z10" s="4" t="str">
        <v>obj_005d7</v>
      </c>
      <c r="AA10" s="4" t="str">
        <f>IFERROR(_xll.qlRateHelperQuoteName(Y10,Trigger),"")</f>
        <v>GBP1L6L3Y_LCHQuote</v>
      </c>
      <c r="AB10" s="70">
        <f>IFERROR(_xll.qlRateHelperRate(Y10,Trigger),"")</f>
        <v>8.6957500000000004E-3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42304</v>
      </c>
      <c r="AE10" s="5">
        <f>IFERROR(_xll.qlRateHelperPillarDate(Y10,Trigger),"")</f>
        <v>43402</v>
      </c>
      <c r="AF10" s="70">
        <v>8.6937339926309604E-3</v>
      </c>
      <c r="AG10" s="77">
        <v>0.97418621704463293</v>
      </c>
      <c r="AH10" s="169">
        <v>43402</v>
      </c>
      <c r="AI10" s="170">
        <v>8.6938340768893101E-3</v>
      </c>
      <c r="AJ10" s="172">
        <f t="shared" si="1"/>
        <v>-1.0008425834970303E-7</v>
      </c>
      <c r="AK10" s="80">
        <v>0.974185865484128</v>
      </c>
      <c r="AL10" s="161">
        <f t="shared" si="2"/>
        <v>3.5156050492979318E-7</v>
      </c>
    </row>
    <row r="11" spans="1:41" ht="11.25" customHeight="1" x14ac:dyDescent="0.2">
      <c r="A11" s="59" t="s">
        <v>25</v>
      </c>
      <c r="B11" s="60" t="s">
        <v>43</v>
      </c>
      <c r="C11" s="61" t="s">
        <v>6</v>
      </c>
      <c r="D11" s="61" t="s">
        <v>8</v>
      </c>
      <c r="E11" s="61" t="s">
        <v>7</v>
      </c>
      <c r="F11" s="61" t="s">
        <v>159</v>
      </c>
      <c r="G11" s="61" t="str">
        <f t="shared" si="5"/>
        <v>GbpLibor1M</v>
      </c>
      <c r="H11" s="59" t="str">
        <f t="shared" si="6"/>
        <v>GBPAB1L7M_LCHQuote</v>
      </c>
      <c r="I11" s="127">
        <v>0</v>
      </c>
      <c r="J11" s="64" t="str">
        <f>_xll.qlSwapRateHelper2(,$H11,0,$B11,Calendar,$D11,$E11,$F11,$G11,$I11,$C11,Discounting1,PillarDate,,Permanent,Trigger,ObjectOverwrite)</f>
        <v>obj_00585#0005</v>
      </c>
      <c r="K11" s="64" t="str">
        <f>_xll.qlSwapRateHelper2(,$H11,0,$B11,Calendar,$D11,$E11,$F11,$G11,$I11,$C11,Discounting2,PillarDate,,Permanent,Trigger,ObjectOverwrite)</f>
        <v>obj_005c6#0005</v>
      </c>
      <c r="L11" s="48"/>
      <c r="M11" s="10" t="str">
        <f t="shared" si="3"/>
        <v>Sw</v>
      </c>
      <c r="N11" s="94" t="str">
        <f t="shared" si="4"/>
        <v>obj_005d4#0005</v>
      </c>
      <c r="O11" s="94" t="str">
        <f t="shared" si="4"/>
        <v>obj_005ad#0005</v>
      </c>
      <c r="P11" s="146" t="str">
        <f>IFERROR(_xll.qlRateHelperQuoteName(N11,Trigger),"--")</f>
        <v>GBPAB1L9M_LCHQuote</v>
      </c>
      <c r="Q11" s="98">
        <f>IFERROR(_xll.qlRateHelperQuoteValue($N11,Trigger),"--")</f>
        <v>5.4767499999999998E-3</v>
      </c>
      <c r="R11" s="141" t="b">
        <v>1</v>
      </c>
      <c r="S11" s="94">
        <v>10</v>
      </c>
      <c r="T11" s="94">
        <v>1</v>
      </c>
      <c r="U11" s="99">
        <f>IFERROR(_xll.qlRateHelperEarliestDate(N11,Trigger),"--")</f>
        <v>42304</v>
      </c>
      <c r="V11" s="99">
        <f>IFERROR(_xll.qlRateHelperPillarDate(N11,Trigger),"--")</f>
        <v>42578</v>
      </c>
      <c r="X11" s="4" t="str">
        <f t="shared" si="0"/>
        <v>BasSw</v>
      </c>
      <c r="Y11" s="4" t="str">
        <v>obj_0059a</v>
      </c>
      <c r="Z11" s="4" t="str">
        <v>obj_005cc</v>
      </c>
      <c r="AA11" s="4" t="str">
        <f>IFERROR(_xll.qlRateHelperQuoteName(Y11,Trigger),"")</f>
        <v>GBP1L6L4Y_LCHQuote</v>
      </c>
      <c r="AB11" s="70">
        <f>IFERROR(_xll.qlRateHelperRate(Y11,Trigger),"")</f>
        <v>1.0226499999999999E-2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42304</v>
      </c>
      <c r="AE11" s="5">
        <f>IFERROR(_xll.qlRateHelperPillarDate(Y11,Trigger),"")</f>
        <v>43766</v>
      </c>
      <c r="AF11" s="70">
        <v>1.0237344052676792E-2</v>
      </c>
      <c r="AG11" s="77">
        <v>0.95982381921700521</v>
      </c>
      <c r="AH11" s="169">
        <v>43766</v>
      </c>
      <c r="AI11" s="170">
        <v>1.02374192146474E-2</v>
      </c>
      <c r="AJ11" s="172">
        <f t="shared" si="1"/>
        <v>-7.5161970607487416E-8</v>
      </c>
      <c r="AK11" s="80">
        <v>0.95982347293284498</v>
      </c>
      <c r="AL11" s="161">
        <f t="shared" si="2"/>
        <v>3.4628416023529951E-7</v>
      </c>
    </row>
    <row r="12" spans="1:41" ht="11.25" customHeight="1" x14ac:dyDescent="0.2">
      <c r="A12" s="59" t="s">
        <v>25</v>
      </c>
      <c r="B12" s="60" t="s">
        <v>44</v>
      </c>
      <c r="C12" s="61" t="s">
        <v>6</v>
      </c>
      <c r="D12" s="61" t="s">
        <v>8</v>
      </c>
      <c r="E12" s="61" t="s">
        <v>7</v>
      </c>
      <c r="F12" s="61" t="s">
        <v>159</v>
      </c>
      <c r="G12" s="61" t="str">
        <f t="shared" si="5"/>
        <v>GbpLibor1M</v>
      </c>
      <c r="H12" s="59" t="str">
        <f t="shared" si="6"/>
        <v>GBPAB1L8M_LCHQuote</v>
      </c>
      <c r="I12" s="127">
        <v>0</v>
      </c>
      <c r="J12" s="64" t="str">
        <f>_xll.qlSwapRateHelper2(,$H12,0,$B12,Calendar,$D12,$E12,$F12,$G12,$I12,$C12,Discounting1,PillarDate,,Permanent,Trigger,ObjectOverwrite)</f>
        <v>obj_00599#0005</v>
      </c>
      <c r="K12" s="64" t="str">
        <f>_xll.qlSwapRateHelper2(,$H12,0,$B12,Calendar,$D12,$E12,$F12,$G12,$I12,$C12,Discounting2,PillarDate,,Permanent,Trigger,ObjectOverwrite)</f>
        <v>obj_005d1#0005</v>
      </c>
      <c r="L12" s="48" t="s">
        <v>35</v>
      </c>
      <c r="M12" s="10" t="str">
        <f t="shared" si="3"/>
        <v>Sw</v>
      </c>
      <c r="N12" s="94" t="str">
        <f t="shared" si="4"/>
        <v>obj_005b2#0005</v>
      </c>
      <c r="O12" s="94" t="str">
        <f t="shared" si="4"/>
        <v>obj_005b3#0005</v>
      </c>
      <c r="P12" s="146" t="str">
        <f>IFERROR(_xll.qlRateHelperQuoteName(N12,Trigger),"--")</f>
        <v>GBPAB1L10M_LCHQuote</v>
      </c>
      <c r="Q12" s="98" t="str">
        <f>IFERROR(_xll.qlRateHelperQuoteValue($N12,Trigger),"--")</f>
        <v>--</v>
      </c>
      <c r="R12" s="141" t="b">
        <v>0</v>
      </c>
      <c r="S12" s="94">
        <v>10</v>
      </c>
      <c r="T12" s="94">
        <v>1</v>
      </c>
      <c r="U12" s="99">
        <f>IFERROR(_xll.qlRateHelperEarliestDate(N12,Trigger),"--")</f>
        <v>42304</v>
      </c>
      <c r="V12" s="99">
        <f>IFERROR(_xll.qlRateHelperPillarDate(N12,Trigger),"--")</f>
        <v>42612</v>
      </c>
      <c r="X12" s="4" t="str">
        <f t="shared" si="0"/>
        <v>BasSw</v>
      </c>
      <c r="Y12" s="4" t="str">
        <v>obj_00586</v>
      </c>
      <c r="Z12" s="4" t="str">
        <v>obj_005c9</v>
      </c>
      <c r="AA12" s="4" t="str">
        <f>IFERROR(_xll.qlRateHelperQuoteName(Y12,Trigger),"")</f>
        <v>GBP1L6L5Y_LCHQuote</v>
      </c>
      <c r="AB12" s="70">
        <f>IFERROR(_xll.qlRateHelperRate(Y12,Trigger),"")</f>
        <v>1.161425E-2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42304</v>
      </c>
      <c r="AE12" s="5">
        <f>IFERROR(_xll.qlRateHelperPillarDate(Y12,Trigger),"")</f>
        <v>44131</v>
      </c>
      <c r="AF12" s="70">
        <v>1.1645140875957572E-2</v>
      </c>
      <c r="AG12" s="77">
        <v>0.94337916169522162</v>
      </c>
      <c r="AH12" s="169">
        <v>44131</v>
      </c>
      <c r="AI12" s="170">
        <v>1.1645200281979301E-2</v>
      </c>
      <c r="AJ12" s="172">
        <f t="shared" si="1"/>
        <v>-5.9406021728561353E-8</v>
      </c>
      <c r="AK12" s="80">
        <v>0.94337882080188695</v>
      </c>
      <c r="AL12" s="161">
        <f t="shared" si="2"/>
        <v>3.4089333467157701E-7</v>
      </c>
    </row>
    <row r="13" spans="1:41" ht="11.25" customHeight="1" x14ac:dyDescent="0.2">
      <c r="A13" s="59" t="s">
        <v>25</v>
      </c>
      <c r="B13" s="60" t="s">
        <v>45</v>
      </c>
      <c r="C13" s="61" t="s">
        <v>6</v>
      </c>
      <c r="D13" s="61" t="s">
        <v>8</v>
      </c>
      <c r="E13" s="61" t="s">
        <v>7</v>
      </c>
      <c r="F13" s="61" t="s">
        <v>159</v>
      </c>
      <c r="G13" s="61" t="str">
        <f t="shared" si="5"/>
        <v>GbpLibor1M</v>
      </c>
      <c r="H13" s="59" t="str">
        <f t="shared" si="6"/>
        <v>GBPAB1L9M_LCHQuote</v>
      </c>
      <c r="I13" s="127">
        <v>0</v>
      </c>
      <c r="J13" s="64" t="str">
        <f>_xll.qlSwapRateHelper2(,$H13,0,$B13,Calendar,$D13,$E13,$F13,$G13,$I13,$C13,Discounting1,PillarDate,,Permanent,Trigger,ObjectOverwrite)</f>
        <v>obj_005d4#0005</v>
      </c>
      <c r="K13" s="64" t="str">
        <f>_xll.qlSwapRateHelper2(,$H13,0,$B13,Calendar,$D13,$E13,$F13,$G13,$I13,$C13,Discounting2,PillarDate,,Permanent,Trigger,ObjectOverwrite)</f>
        <v>obj_005ad#0005</v>
      </c>
      <c r="L13" s="48"/>
      <c r="M13" s="10" t="str">
        <f t="shared" si="3"/>
        <v>Sw</v>
      </c>
      <c r="N13" s="94" t="str">
        <f t="shared" si="4"/>
        <v>obj_005a3#0005</v>
      </c>
      <c r="O13" s="94" t="str">
        <f t="shared" si="4"/>
        <v>obj_0058c#0005</v>
      </c>
      <c r="P13" s="146" t="str">
        <f>IFERROR(_xll.qlRateHelperQuoteName(N13,Trigger),"--")</f>
        <v>GBPAB1L11M_LCHQuote</v>
      </c>
      <c r="Q13" s="98" t="str">
        <f>IFERROR(_xll.qlRateHelperQuoteValue($N13,Trigger),"--")</f>
        <v>--</v>
      </c>
      <c r="R13" s="141" t="b">
        <v>0</v>
      </c>
      <c r="S13" s="94">
        <v>10</v>
      </c>
      <c r="T13" s="94">
        <v>1</v>
      </c>
      <c r="U13" s="99">
        <f>IFERROR(_xll.qlRateHelperEarliestDate(N13,Trigger),"--")</f>
        <v>42304</v>
      </c>
      <c r="V13" s="99">
        <f>IFERROR(_xll.qlRateHelperPillarDate(N13,Trigger),"--")</f>
        <v>42640</v>
      </c>
      <c r="X13" s="4" t="str">
        <f t="shared" si="0"/>
        <v>BasSw</v>
      </c>
      <c r="Y13" s="4" t="str">
        <v>obj_00595</v>
      </c>
      <c r="Z13" s="4" t="str">
        <v>obj_005c3</v>
      </c>
      <c r="AA13" s="4" t="str">
        <f>IFERROR(_xll.qlRateHelperQuoteName(Y13,Trigger),"")</f>
        <v>GBP1L6L6Y_LCHQuote</v>
      </c>
      <c r="AB13" s="70">
        <f>IFERROR(_xll.qlRateHelperRate(Y13,Trigger),"")</f>
        <v>1.2822E-2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42304</v>
      </c>
      <c r="AE13" s="5">
        <f>IFERROR(_xll.qlRateHelperPillarDate(Y13,Trigger),"")</f>
        <v>44496</v>
      </c>
      <c r="AF13" s="70">
        <v>1.2877098073440294E-2</v>
      </c>
      <c r="AG13" s="77">
        <v>0.92558379176811467</v>
      </c>
      <c r="AH13" s="169">
        <v>44496</v>
      </c>
      <c r="AI13" s="170">
        <v>1.28774209586288E-2</v>
      </c>
      <c r="AJ13" s="172">
        <f t="shared" si="1"/>
        <v>-3.228851885063444E-7</v>
      </c>
      <c r="AK13" s="80">
        <v>0.92558241973490296</v>
      </c>
      <c r="AL13" s="161">
        <f t="shared" si="2"/>
        <v>1.3720332117106437E-6</v>
      </c>
    </row>
    <row r="14" spans="1:41" ht="11.25" customHeight="1" x14ac:dyDescent="0.2">
      <c r="A14" s="59" t="s">
        <v>25</v>
      </c>
      <c r="B14" s="60" t="s">
        <v>46</v>
      </c>
      <c r="C14" s="61" t="s">
        <v>6</v>
      </c>
      <c r="D14" s="61" t="s">
        <v>8</v>
      </c>
      <c r="E14" s="61" t="s">
        <v>7</v>
      </c>
      <c r="F14" s="61" t="s">
        <v>159</v>
      </c>
      <c r="G14" s="61" t="str">
        <f t="shared" si="5"/>
        <v>GbpLibor1M</v>
      </c>
      <c r="H14" s="59" t="str">
        <f t="shared" si="6"/>
        <v>GBPAB1L10M_LCHQuote</v>
      </c>
      <c r="I14" s="127">
        <v>0</v>
      </c>
      <c r="J14" s="64" t="str">
        <f>_xll.qlSwapRateHelper2(,$H14,0,$B14,Calendar,$D14,$E14,$F14,$G14,$I14,$C14,Discounting1,PillarDate,,Permanent,Trigger,ObjectOverwrite)</f>
        <v>obj_005b2#0005</v>
      </c>
      <c r="K14" s="64" t="str">
        <f>_xll.qlSwapRateHelper2(,$H14,0,$B14,Calendar,$D14,$E14,$F14,$G14,$I14,$C14,Discounting2,PillarDate,,Permanent,Trigger,ObjectOverwrite)</f>
        <v>obj_005b3#0005</v>
      </c>
      <c r="L14" s="48"/>
      <c r="M14" s="11" t="str">
        <f t="shared" si="3"/>
        <v>Sw</v>
      </c>
      <c r="N14" s="95" t="str">
        <f t="shared" si="4"/>
        <v>obj_005ac#0005</v>
      </c>
      <c r="O14" s="95" t="str">
        <f t="shared" si="4"/>
        <v>obj_005a5#0005</v>
      </c>
      <c r="P14" s="147" t="str">
        <f>IFERROR(_xll.qlRateHelperQuoteName(N14,Trigger),"--")</f>
        <v>GBPAB1L1Y_LCHQuote</v>
      </c>
      <c r="Q14" s="101">
        <f>IFERROR(_xll.qlRateHelperQuoteValue($N14,Trigger),"--")</f>
        <v>5.7299999999999999E-3</v>
      </c>
      <c r="R14" s="144" t="b">
        <v>1</v>
      </c>
      <c r="S14" s="95">
        <v>10</v>
      </c>
      <c r="T14" s="95">
        <v>1</v>
      </c>
      <c r="U14" s="102">
        <f>IFERROR(_xll.qlRateHelperEarliestDate(N14,Trigger),"--")</f>
        <v>42304</v>
      </c>
      <c r="V14" s="102">
        <f>IFERROR(_xll.qlRateHelperPillarDate(N14,Trigger),"--")</f>
        <v>42670</v>
      </c>
      <c r="X14" s="4" t="str">
        <f t="shared" si="0"/>
        <v>BasSw</v>
      </c>
      <c r="Y14" s="4" t="str">
        <v>obj_005b0</v>
      </c>
      <c r="Z14" s="4" t="str">
        <v>obj_005a2</v>
      </c>
      <c r="AA14" s="4" t="str">
        <f>IFERROR(_xll.qlRateHelperQuoteName(Y14,Trigger),"")</f>
        <v>GBP1L6L7Y_LCHQuote</v>
      </c>
      <c r="AB14" s="70">
        <f>IFERROR(_xll.qlRateHelperRate(Y14,Trigger),"")</f>
        <v>1.385025E-2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42304</v>
      </c>
      <c r="AE14" s="5">
        <f>IFERROR(_xll.qlRateHelperPillarDate(Y14,Trigger),"")</f>
        <v>44861</v>
      </c>
      <c r="AF14" s="70">
        <v>1.3932319983889732E-2</v>
      </c>
      <c r="AG14" s="77">
        <v>0.90701125665113924</v>
      </c>
      <c r="AH14" s="169">
        <v>44861</v>
      </c>
      <c r="AI14" s="170">
        <v>1.39327100441976E-2</v>
      </c>
      <c r="AJ14" s="172">
        <f t="shared" si="1"/>
        <v>-3.9006030786749302E-7</v>
      </c>
      <c r="AK14" s="80">
        <v>0.90700953489535396</v>
      </c>
      <c r="AL14" s="161">
        <f t="shared" si="2"/>
        <v>1.7217557852777787E-6</v>
      </c>
    </row>
    <row r="15" spans="1:41" ht="11.25" customHeight="1" x14ac:dyDescent="0.2">
      <c r="A15" s="59" t="s">
        <v>25</v>
      </c>
      <c r="B15" s="60" t="s">
        <v>47</v>
      </c>
      <c r="C15" s="61" t="s">
        <v>6</v>
      </c>
      <c r="D15" s="61" t="s">
        <v>8</v>
      </c>
      <c r="E15" s="61" t="s">
        <v>7</v>
      </c>
      <c r="F15" s="61" t="s">
        <v>159</v>
      </c>
      <c r="G15" s="61" t="str">
        <f t="shared" si="5"/>
        <v>GbpLibor1M</v>
      </c>
      <c r="H15" s="59" t="str">
        <f t="shared" si="6"/>
        <v>GBPAB1L11M_LCHQuote</v>
      </c>
      <c r="I15" s="127">
        <v>0</v>
      </c>
      <c r="J15" s="64" t="str">
        <f>_xll.qlSwapRateHelper2(,$H15,0,$B15,Calendar,$D15,$E15,$F15,$G15,$I15,$C15,Discounting1,PillarDate,,Permanent,Trigger,ObjectOverwrite)</f>
        <v>obj_005a3#0005</v>
      </c>
      <c r="K15" s="64" t="str">
        <f>_xll.qlSwapRateHelper2(,$H15,0,$B15,Calendar,$D15,$E15,$F15,$G15,$I15,$C15,Discounting2,PillarDate,,Permanent,Trigger,ObjectOverwrite)</f>
        <v>obj_0058c#0005</v>
      </c>
      <c r="L15" s="48"/>
      <c r="M15" s="68" t="str">
        <f t="shared" ref="M15:M52" si="7">A19</f>
        <v>BasSw</v>
      </c>
      <c r="N15" s="131" t="str">
        <f t="shared" ref="N15:N52" si="8">IF(ISBLANK(J19),"--",J19)</f>
        <v>obj_005d2#0005</v>
      </c>
      <c r="O15" s="131" t="str">
        <f t="shared" ref="O15:O52" si="9">IF(ISBLANK(K19),"--",K19)</f>
        <v>obj_005b6#0005</v>
      </c>
      <c r="P15" s="145" t="str">
        <f>IFERROR(_xll.qlRateHelperQuoteName(N15,Trigger),"--")</f>
        <v>GBP1L6L6M_LCHQuote</v>
      </c>
      <c r="Q15" s="133" t="str">
        <f>IFERROR(_xll.qlRateHelperQuoteValue($N15,Trigger),"--")</f>
        <v>--</v>
      </c>
      <c r="R15" s="137" t="b">
        <v>0</v>
      </c>
      <c r="S15" s="131">
        <v>10</v>
      </c>
      <c r="T15" s="131">
        <v>1</v>
      </c>
      <c r="U15" s="134">
        <f>IFERROR(_xll.qlRateHelperEarliestDate(N15,Trigger),"--")</f>
        <v>42304</v>
      </c>
      <c r="V15" s="134">
        <f>IFERROR(_xll.qlRateHelperPillarDate(N15,Trigger),"--")</f>
        <v>42487</v>
      </c>
      <c r="X15" s="4" t="str">
        <f t="shared" si="0"/>
        <v>BasSw</v>
      </c>
      <c r="Y15" s="4" t="str">
        <v>obj_0059c</v>
      </c>
      <c r="Z15" s="4" t="str">
        <v>obj_00584</v>
      </c>
      <c r="AA15" s="4" t="str">
        <f>IFERROR(_xll.qlRateHelperQuoteName(Y15,Trigger),"")</f>
        <v>GBP1L6L8Y_LCHQuote</v>
      </c>
      <c r="AB15" s="70">
        <f>IFERROR(_xll.qlRateHelperRate(Y15,Trigger),"")</f>
        <v>1.4678999999999999E-2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42304</v>
      </c>
      <c r="AE15" s="5">
        <f>IFERROR(_xll.qlRateHelperPillarDate(Y15,Trigger),"")</f>
        <v>45226</v>
      </c>
      <c r="AF15" s="70">
        <v>1.4787127049032036E-2</v>
      </c>
      <c r="AG15" s="77">
        <v>0.8883624530086921</v>
      </c>
      <c r="AH15" s="169">
        <v>45226</v>
      </c>
      <c r="AI15" s="170">
        <v>1.47874683763102E-2</v>
      </c>
      <c r="AJ15" s="172">
        <f t="shared" si="1"/>
        <v>-3.4132727816382769E-7</v>
      </c>
      <c r="AK15" s="80">
        <v>0.88836076671849296</v>
      </c>
      <c r="AL15" s="161">
        <f t="shared" si="2"/>
        <v>1.6862901991432366E-6</v>
      </c>
    </row>
    <row r="16" spans="1:41" ht="11.25" customHeight="1" x14ac:dyDescent="0.2">
      <c r="A16" s="1" t="s">
        <v>25</v>
      </c>
      <c r="B16" s="8" t="s">
        <v>115</v>
      </c>
      <c r="C16" s="7" t="s">
        <v>6</v>
      </c>
      <c r="D16" s="7" t="s">
        <v>8</v>
      </c>
      <c r="E16" s="7" t="s">
        <v>7</v>
      </c>
      <c r="F16" s="7" t="s">
        <v>159</v>
      </c>
      <c r="G16" s="7" t="str">
        <f t="shared" si="5"/>
        <v>GbpLibor1M</v>
      </c>
      <c r="H16" s="1" t="str">
        <f t="shared" si="6"/>
        <v>GBPAB1L1Y_LCHQuote</v>
      </c>
      <c r="I16" s="130">
        <v>0</v>
      </c>
      <c r="J16" s="3" t="str">
        <f>_xll.qlSwapRateHelper2(,$H16,0,$B16,Calendar,$D16,$E16,$F16,$G16,$I16,$C16,Discounting1,PillarDate,,Permanent,Trigger,ObjectOverwrite)</f>
        <v>obj_005ac#0005</v>
      </c>
      <c r="K16" s="3" t="str">
        <f>_xll.qlSwapRateHelper2(,$H16,0,$B16,Calendar,$D16,$E16,$F16,$G16,$I16,$C16,Discounting2,PillarDate,,Permanent,Trigger,ObjectOverwrite)</f>
        <v>obj_005a5#0005</v>
      </c>
      <c r="L16" s="48"/>
      <c r="M16" s="10" t="str">
        <f t="shared" si="7"/>
        <v>BasSw</v>
      </c>
      <c r="N16" s="94" t="str">
        <f t="shared" si="8"/>
        <v>obj_005bd#0005</v>
      </c>
      <c r="O16" s="94" t="str">
        <f t="shared" si="9"/>
        <v>obj_00590#0005</v>
      </c>
      <c r="P16" s="146" t="str">
        <f>IFERROR(_xll.qlRateHelperQuoteName(N16,Trigger),"--")</f>
        <v>GBP1L6L1Y_LCHQuote</v>
      </c>
      <c r="Q16" s="98" t="str">
        <f>IFERROR(_xll.qlRateHelperQuoteValue($N16,Trigger),"--")</f>
        <v>--</v>
      </c>
      <c r="R16" s="141" t="b">
        <v>0</v>
      </c>
      <c r="S16" s="94">
        <v>10</v>
      </c>
      <c r="T16" s="94">
        <v>1</v>
      </c>
      <c r="U16" s="99">
        <f>IFERROR(_xll.qlRateHelperEarliestDate(N16,Trigger),"--")</f>
        <v>42304</v>
      </c>
      <c r="V16" s="99">
        <f>IFERROR(_xll.qlRateHelperPillarDate(N16,Trigger),"--")</f>
        <v>42670</v>
      </c>
      <c r="X16" s="4" t="str">
        <f t="shared" si="0"/>
        <v>BasSw</v>
      </c>
      <c r="Y16" s="4" t="str">
        <v>obj_005bc</v>
      </c>
      <c r="Z16" s="4" t="str">
        <v>obj_00587</v>
      </c>
      <c r="AA16" s="4" t="str">
        <f>IFERROR(_xll.qlRateHelperQuoteName(Y16,Trigger),"")</f>
        <v>GBP1L6L9Y_LCHQuote</v>
      </c>
      <c r="AB16" s="70">
        <f>IFERROR(_xll.qlRateHelperRate(Y16,Trigger),"")</f>
        <v>1.5398500000000001E-2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42304</v>
      </c>
      <c r="AE16" s="5">
        <f>IFERROR(_xll.qlRateHelperPillarDate(Y16,Trigger),"")</f>
        <v>45593</v>
      </c>
      <c r="AF16" s="70">
        <v>1.5533862190907946E-2</v>
      </c>
      <c r="AG16" s="77">
        <v>0.86938253725896608</v>
      </c>
      <c r="AH16" s="169">
        <v>45593</v>
      </c>
      <c r="AI16" s="170">
        <v>1.55341654226193E-2</v>
      </c>
      <c r="AJ16" s="172">
        <f t="shared" si="1"/>
        <v>-3.0323171135333837E-7</v>
      </c>
      <c r="AK16" s="80">
        <v>0.86938088700138705</v>
      </c>
      <c r="AL16" s="161">
        <f t="shared" si="2"/>
        <v>1.6502575790333651E-6</v>
      </c>
    </row>
    <row r="17" spans="1:38" ht="11.25" customHeight="1" x14ac:dyDescent="0.2">
      <c r="G17" s="50" t="s">
        <v>153</v>
      </c>
      <c r="H17" s="103" t="s">
        <v>152</v>
      </c>
      <c r="L17" s="48"/>
      <c r="M17" s="10" t="str">
        <f t="shared" si="7"/>
        <v>BasSw</v>
      </c>
      <c r="N17" s="94" t="str">
        <f t="shared" si="8"/>
        <v>obj_0058d#0005</v>
      </c>
      <c r="O17" s="94" t="str">
        <f t="shared" si="9"/>
        <v>obj_00579#0005</v>
      </c>
      <c r="P17" s="146" t="str">
        <f>IFERROR(_xll.qlRateHelperQuoteName(N17,Trigger),"--")</f>
        <v>GBP1L6L15M_LCHQuote</v>
      </c>
      <c r="Q17" s="98" t="str">
        <f>IFERROR(_xll.qlRateHelperQuoteValue($N17,Trigger),"--")</f>
        <v>--</v>
      </c>
      <c r="R17" s="141" t="b">
        <v>0</v>
      </c>
      <c r="S17" s="94">
        <v>10</v>
      </c>
      <c r="T17" s="94">
        <v>1</v>
      </c>
      <c r="U17" s="99">
        <f>IFERROR(_xll.qlRateHelperEarliestDate(N17,Trigger),"--")</f>
        <v>42304</v>
      </c>
      <c r="V17" s="99">
        <f>IFERROR(_xll.qlRateHelperPillarDate(N17,Trigger),"--")</f>
        <v>42762</v>
      </c>
      <c r="X17" s="4" t="str">
        <f t="shared" si="0"/>
        <v>BasSw</v>
      </c>
      <c r="Y17" s="4" t="str">
        <v>obj_005d3</v>
      </c>
      <c r="Z17" s="4" t="str">
        <v>obj_0057c</v>
      </c>
      <c r="AA17" s="4" t="str">
        <f>IFERROR(_xll.qlRateHelperQuoteName(Y17,Trigger),"")</f>
        <v>GBP1L6L10Y_LCHQuote</v>
      </c>
      <c r="AB17" s="70">
        <f>IFERROR(_xll.qlRateHelperRate(Y17,Trigger),"")</f>
        <v>1.6036499999999902E-2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42304</v>
      </c>
      <c r="AE17" s="5">
        <f>IFERROR(_xll.qlRateHelperPillarDate(Y17,Trigger),"")</f>
        <v>45957</v>
      </c>
      <c r="AF17" s="70">
        <v>1.6201381150551426E-2</v>
      </c>
      <c r="AG17" s="77">
        <v>0.85032297349014019</v>
      </c>
      <c r="AH17" s="169">
        <v>45957</v>
      </c>
      <c r="AI17" s="170">
        <v>1.6201653927048001E-2</v>
      </c>
      <c r="AJ17" s="172">
        <f t="shared" si="1"/>
        <v>-2.7277649657445058E-7</v>
      </c>
      <c r="AK17" s="80">
        <v>0.85032135930518904</v>
      </c>
      <c r="AL17" s="161">
        <f t="shared" si="2"/>
        <v>1.6141849511486228E-6</v>
      </c>
    </row>
    <row r="18" spans="1:38" ht="11.25" customHeight="1" x14ac:dyDescent="0.2">
      <c r="A18" s="65" t="s">
        <v>9</v>
      </c>
      <c r="B18" s="65" t="s">
        <v>28</v>
      </c>
      <c r="C18" s="65" t="s">
        <v>113</v>
      </c>
      <c r="D18" s="65" t="s">
        <v>5</v>
      </c>
      <c r="E18" s="65" t="s">
        <v>33</v>
      </c>
      <c r="F18" s="65" t="s">
        <v>114</v>
      </c>
      <c r="G18" s="65" t="s">
        <v>4</v>
      </c>
      <c r="H18" s="65" t="s">
        <v>1</v>
      </c>
      <c r="I18" s="65" t="s">
        <v>112</v>
      </c>
      <c r="J18" s="65" t="s">
        <v>136</v>
      </c>
      <c r="K18" s="65" t="s">
        <v>137</v>
      </c>
      <c r="L18" s="48"/>
      <c r="M18" s="10" t="str">
        <f t="shared" si="7"/>
        <v>BasSw</v>
      </c>
      <c r="N18" s="94" t="str">
        <f t="shared" si="8"/>
        <v>obj_005ca#0005</v>
      </c>
      <c r="O18" s="94" t="str">
        <f t="shared" si="9"/>
        <v>obj_00583#0005</v>
      </c>
      <c r="P18" s="146" t="str">
        <f>IFERROR(_xll.qlRateHelperQuoteName(N18,Trigger),"--")</f>
        <v>GBP1L6L18M_LCHQuote</v>
      </c>
      <c r="Q18" s="98" t="str">
        <f>IFERROR(_xll.qlRateHelperQuoteValue($N18,Trigger),"--")</f>
        <v>--</v>
      </c>
      <c r="R18" s="141" t="b">
        <v>0</v>
      </c>
      <c r="S18" s="94">
        <v>10</v>
      </c>
      <c r="T18" s="94">
        <v>1</v>
      </c>
      <c r="U18" s="99">
        <f>IFERROR(_xll.qlRateHelperEarliestDate(N18,Trigger),"--")</f>
        <v>42304</v>
      </c>
      <c r="V18" s="99">
        <f>IFERROR(_xll.qlRateHelperPillarDate(N18,Trigger),"--")</f>
        <v>42852</v>
      </c>
      <c r="X18" s="4" t="str">
        <f t="shared" si="0"/>
        <v>BasSw</v>
      </c>
      <c r="Y18" s="4" t="str">
        <v>obj_005bf</v>
      </c>
      <c r="Z18" s="4" t="str">
        <v>obj_005c5</v>
      </c>
      <c r="AA18" s="4" t="str">
        <f>IFERROR(_xll.qlRateHelperQuoteName(Y18,Trigger),"")</f>
        <v>GBP1L6L12Y_LCHQuote</v>
      </c>
      <c r="AB18" s="70">
        <f>IFERROR(_xll.qlRateHelperRate(Y18,Trigger),"")</f>
        <v>1.7134E-2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42304</v>
      </c>
      <c r="AE18" s="5">
        <f>IFERROR(_xll.qlRateHelperPillarDate(Y18,Trigger),"")</f>
        <v>46687</v>
      </c>
      <c r="AF18" s="70">
        <v>1.7361752520555565E-2</v>
      </c>
      <c r="AG18" s="77">
        <v>0.81182566578360671</v>
      </c>
      <c r="AH18" s="169">
        <v>46687</v>
      </c>
      <c r="AI18" s="170">
        <v>1.7362055993075699E-2</v>
      </c>
      <c r="AJ18" s="172">
        <f t="shared" si="1"/>
        <v>-3.0347252013424031E-7</v>
      </c>
      <c r="AK18" s="80">
        <v>0.81182362767840999</v>
      </c>
      <c r="AL18" s="161">
        <f t="shared" si="2"/>
        <v>2.0381051967222064E-6</v>
      </c>
    </row>
    <row r="19" spans="1:38" ht="11.25" customHeight="1" x14ac:dyDescent="0.2">
      <c r="A19" s="59" t="s">
        <v>117</v>
      </c>
      <c r="B19" s="60" t="s">
        <v>3</v>
      </c>
      <c r="C19" s="61" t="s">
        <v>6</v>
      </c>
      <c r="D19" s="61" t="s">
        <v>158</v>
      </c>
      <c r="E19" s="61" t="s">
        <v>7</v>
      </c>
      <c r="F19" s="61" t="s">
        <v>159</v>
      </c>
      <c r="G19" s="61" t="str">
        <f t="shared" ref="G19:G56" si="10">PROPER(Currency)&amp;FamilyName&amp;Tenor</f>
        <v>GbpLibor1M</v>
      </c>
      <c r="H19" s="59" t="str">
        <f t="shared" ref="H19:H56" si="11">IF(LCHQuoteOverwrite,Currency&amp;$G$17&amp;$H$17&amp;$B19&amp;LCHQuoteSuffix,Currency&amp;$G$17&amp;$H$17&amp;"BASIS"&amp;B19&amp;QuoteSuffix)</f>
        <v>GBP1L6L6M_LCHQuote</v>
      </c>
      <c r="I19" s="154">
        <v>0</v>
      </c>
      <c r="J19" s="64" t="str">
        <f>_xll.qlSwapRateHelper2(,$H19,0,$B19,Calendar,$D19,$E19,$F19,$G19,$I19,$C19,Discounting1,PillarDate,,Permanent,Trigger,ObjectOverwrite)</f>
        <v>obj_005d2#0005</v>
      </c>
      <c r="K19" s="64" t="str">
        <f>_xll.qlSwapRateHelper2(,$H19,0,$B19,Calendar,$D19,$E19,$F19,$G19,$I19,$C19,Discounting2,PillarDate,,Permanent,Trigger,ObjectOverwrite)</f>
        <v>obj_005b6#0005</v>
      </c>
      <c r="L19" s="48"/>
      <c r="M19" s="10" t="str">
        <f t="shared" si="7"/>
        <v>BasSw</v>
      </c>
      <c r="N19" s="94" t="str">
        <f t="shared" si="8"/>
        <v>obj_005cd#0005</v>
      </c>
      <c r="O19" s="94" t="str">
        <f t="shared" si="9"/>
        <v>obj_00581#0005</v>
      </c>
      <c r="P19" s="146" t="str">
        <f>IFERROR(_xll.qlRateHelperQuoteName(N19,Trigger),"--")</f>
        <v>GBP1L6L21M_LCHQuote</v>
      </c>
      <c r="Q19" s="98" t="str">
        <f>IFERROR(_xll.qlRateHelperQuoteValue($N19,Trigger),"--")</f>
        <v>--</v>
      </c>
      <c r="R19" s="141" t="b">
        <v>0</v>
      </c>
      <c r="S19" s="94">
        <v>10</v>
      </c>
      <c r="T19" s="94">
        <v>1</v>
      </c>
      <c r="U19" s="99">
        <f>IFERROR(_xll.qlRateHelperEarliestDate(N19,Trigger),"--")</f>
        <v>42304</v>
      </c>
      <c r="V19" s="99">
        <f>IFERROR(_xll.qlRateHelperPillarDate(N19,Trigger),"--")</f>
        <v>42943</v>
      </c>
      <c r="X19" s="4" t="str">
        <f t="shared" si="0"/>
        <v>BasSw</v>
      </c>
      <c r="Y19" s="4" t="str">
        <v>obj_00578</v>
      </c>
      <c r="Z19" s="4" t="str">
        <v>obj_00582</v>
      </c>
      <c r="AA19" s="4" t="str">
        <f>IFERROR(_xll.qlRateHelperQuoteName(Y19,Trigger),"")</f>
        <v>GBP1L6L15Y_LCHQuote</v>
      </c>
      <c r="AB19" s="70">
        <f>IFERROR(_xll.qlRateHelperRate(Y19,Trigger),"")</f>
        <v>1.8340749999999999E-2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42304</v>
      </c>
      <c r="AE19" s="5">
        <f>IFERROR(_xll.qlRateHelperPillarDate(Y19,Trigger),"")</f>
        <v>47784</v>
      </c>
      <c r="AF19" s="70">
        <v>1.8657752844873431E-2</v>
      </c>
      <c r="AG19" s="77">
        <v>0.75572720532592363</v>
      </c>
      <c r="AH19" s="169">
        <v>47784</v>
      </c>
      <c r="AI19" s="170">
        <v>1.86579954331056E-2</v>
      </c>
      <c r="AJ19" s="172">
        <f t="shared" si="1"/>
        <v>-2.4258823216882774E-7</v>
      </c>
      <c r="AK19" s="80">
        <v>0.75572531237721696</v>
      </c>
      <c r="AL19" s="161">
        <f t="shared" si="2"/>
        <v>1.8929487066721151E-6</v>
      </c>
    </row>
    <row r="20" spans="1:38" ht="11.25" customHeight="1" x14ac:dyDescent="0.2">
      <c r="A20" s="59" t="s">
        <v>117</v>
      </c>
      <c r="B20" s="60" t="s">
        <v>27</v>
      </c>
      <c r="C20" s="61" t="s">
        <v>6</v>
      </c>
      <c r="D20" s="61" t="s">
        <v>158</v>
      </c>
      <c r="E20" s="61" t="s">
        <v>7</v>
      </c>
      <c r="F20" s="61" t="s">
        <v>159</v>
      </c>
      <c r="G20" s="61" t="str">
        <f t="shared" si="10"/>
        <v>GbpLibor1M</v>
      </c>
      <c r="H20" s="59" t="str">
        <f t="shared" si="11"/>
        <v>GBP1L6L1Y_LCHQuote</v>
      </c>
      <c r="I20" s="154">
        <v>0</v>
      </c>
      <c r="J20" s="64" t="str">
        <f>_xll.qlSwapRateHelper2(,$H20,0,$B20,Calendar,$D20,$E20,$F20,$G20,$I20,$C20,Discounting1,PillarDate,,Permanent,Trigger,ObjectOverwrite)</f>
        <v>obj_005bd#0005</v>
      </c>
      <c r="K20" s="64" t="str">
        <f>_xll.qlSwapRateHelper2(,$H20,0,$B20,Calendar,$D20,$E20,$F20,$G20,$I20,$C20,Discounting2,PillarDate,,Permanent,Trigger,ObjectOverwrite)</f>
        <v>obj_00590#0005</v>
      </c>
      <c r="L20" s="48"/>
      <c r="M20" s="10" t="str">
        <f t="shared" si="7"/>
        <v>BasSw</v>
      </c>
      <c r="N20" s="94" t="str">
        <f t="shared" si="8"/>
        <v>obj_005a8#0005</v>
      </c>
      <c r="O20" s="94" t="str">
        <f t="shared" si="9"/>
        <v>obj_00592#0005</v>
      </c>
      <c r="P20" s="146" t="str">
        <f>IFERROR(_xll.qlRateHelperQuoteName(N20,Trigger),"--")</f>
        <v>GBP1L6L2Y_LCHQuote</v>
      </c>
      <c r="Q20" s="98">
        <f>IFERROR(_xll.qlRateHelperQuoteValue($N20,Trigger),"--")</f>
        <v>7.0920000000000002E-3</v>
      </c>
      <c r="R20" s="141" t="b">
        <v>1</v>
      </c>
      <c r="S20" s="94">
        <v>10</v>
      </c>
      <c r="T20" s="94">
        <v>1</v>
      </c>
      <c r="U20" s="99">
        <f>IFERROR(_xll.qlRateHelperEarliestDate(N20,Trigger),"--")</f>
        <v>42304</v>
      </c>
      <c r="V20" s="99">
        <f>IFERROR(_xll.qlRateHelperPillarDate(N20,Trigger),"--")</f>
        <v>43035</v>
      </c>
      <c r="X20" s="4" t="str">
        <f t="shared" si="0"/>
        <v>BasSw</v>
      </c>
      <c r="Y20" s="4" t="str">
        <v>obj_005be</v>
      </c>
      <c r="Z20" s="4" t="str">
        <v>obj_0059f</v>
      </c>
      <c r="AA20" s="4" t="str">
        <f>IFERROR(_xll.qlRateHelperQuoteName(Y20,Trigger),"")</f>
        <v>GBP1L6L20Y_LCHQuote</v>
      </c>
      <c r="AB20" s="70">
        <f>IFERROR(_xll.qlRateHelperRate(Y20,Trigger),"")</f>
        <v>1.924E-2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42304</v>
      </c>
      <c r="AE20" s="5">
        <f>IFERROR(_xll.qlRateHelperPillarDate(Y20,Trigger),"")</f>
        <v>49611</v>
      </c>
      <c r="AF20" s="70">
        <v>1.9611351974235011E-2</v>
      </c>
      <c r="AG20" s="77">
        <v>0.67543734142491718</v>
      </c>
      <c r="AH20" s="169">
        <v>49611</v>
      </c>
      <c r="AI20" s="170">
        <v>1.9611552998973499E-2</v>
      </c>
      <c r="AJ20" s="172">
        <f t="shared" si="1"/>
        <v>-2.0102473848732094E-7</v>
      </c>
      <c r="AK20" s="80">
        <v>0.67543562576106297</v>
      </c>
      <c r="AL20" s="161">
        <f t="shared" si="2"/>
        <v>1.7156638542070723E-6</v>
      </c>
    </row>
    <row r="21" spans="1:38" ht="11.25" customHeight="1" x14ac:dyDescent="0.2">
      <c r="A21" s="59" t="s">
        <v>117</v>
      </c>
      <c r="B21" s="60" t="s">
        <v>48</v>
      </c>
      <c r="C21" s="61" t="s">
        <v>6</v>
      </c>
      <c r="D21" s="61" t="s">
        <v>158</v>
      </c>
      <c r="E21" s="61" t="s">
        <v>7</v>
      </c>
      <c r="F21" s="61" t="s">
        <v>159</v>
      </c>
      <c r="G21" s="61" t="str">
        <f t="shared" si="10"/>
        <v>GbpLibor1M</v>
      </c>
      <c r="H21" s="59" t="str">
        <f t="shared" si="11"/>
        <v>GBP1L6L15M_LCHQuote</v>
      </c>
      <c r="I21" s="154">
        <v>0</v>
      </c>
      <c r="J21" s="64" t="str">
        <f>_xll.qlSwapRateHelper2(,$H21,0,$B21,Calendar,$D21,$E21,$F21,$G21,$I21,$C21,Discounting1,PillarDate,,Permanent,Trigger,ObjectOverwrite)</f>
        <v>obj_0058d#0005</v>
      </c>
      <c r="K21" s="64" t="str">
        <f>_xll.qlSwapRateHelper2(,$H21,0,$B21,Calendar,$D21,$E21,$F21,$G21,$I21,$C21,Discounting2,PillarDate,,Permanent,Trigger,ObjectOverwrite)</f>
        <v>obj_00579#0005</v>
      </c>
      <c r="L21" s="48"/>
      <c r="M21" s="10" t="str">
        <f t="shared" si="7"/>
        <v>BasSw</v>
      </c>
      <c r="N21" s="94" t="str">
        <f t="shared" si="8"/>
        <v>obj_005b1#0005</v>
      </c>
      <c r="O21" s="94" t="str">
        <f t="shared" si="9"/>
        <v>obj_005d7#0005</v>
      </c>
      <c r="P21" s="146" t="str">
        <f>IFERROR(_xll.qlRateHelperQuoteName(N21,Trigger),"--")</f>
        <v>GBP1L6L3Y_LCHQuote</v>
      </c>
      <c r="Q21" s="98">
        <f>IFERROR(_xll.qlRateHelperQuoteValue($N21,Trigger),"--")</f>
        <v>8.6957500000000004E-3</v>
      </c>
      <c r="R21" s="141" t="b">
        <v>1</v>
      </c>
      <c r="S21" s="94">
        <v>10</v>
      </c>
      <c r="T21" s="94">
        <v>1</v>
      </c>
      <c r="U21" s="99">
        <f>IFERROR(_xll.qlRateHelperEarliestDate(N21,Trigger),"--")</f>
        <v>42304</v>
      </c>
      <c r="V21" s="99">
        <f>IFERROR(_xll.qlRateHelperPillarDate(N21,Trigger),"--")</f>
        <v>43402</v>
      </c>
      <c r="X21" s="4" t="str">
        <f t="shared" si="0"/>
        <v>BasSw</v>
      </c>
      <c r="Y21" s="4" t="str">
        <v>obj_005aa</v>
      </c>
      <c r="Z21" s="4" t="str">
        <v>obj_005d6</v>
      </c>
      <c r="AA21" s="4" t="str">
        <f>IFERROR(_xll.qlRateHelperQuoteName(Y21,Trigger),"")</f>
        <v>GBP1L6L25Y_LCHQuote</v>
      </c>
      <c r="AB21" s="70">
        <f>IFERROR(_xll.qlRateHelperRate(Y21,Trigger),"")</f>
        <v>1.9476E-2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42304</v>
      </c>
      <c r="AE21" s="5">
        <f>IFERROR(_xll.qlRateHelperPillarDate(Y21,Trigger),"")</f>
        <v>51438</v>
      </c>
      <c r="AF21" s="70">
        <v>1.9811386598246758E-2</v>
      </c>
      <c r="AG21" s="77">
        <v>0.60926513220441225</v>
      </c>
      <c r="AH21" s="169">
        <v>51438</v>
      </c>
      <c r="AI21" s="170">
        <v>1.9811573993909998E-2</v>
      </c>
      <c r="AJ21" s="172">
        <f t="shared" si="1"/>
        <v>-1.8739566324046941E-7</v>
      </c>
      <c r="AK21" s="80">
        <v>0.60926344520399001</v>
      </c>
      <c r="AL21" s="161">
        <f t="shared" si="2"/>
        <v>1.6870004222457879E-6</v>
      </c>
    </row>
    <row r="22" spans="1:38" ht="11.25" customHeight="1" x14ac:dyDescent="0.2">
      <c r="A22" s="59" t="s">
        <v>117</v>
      </c>
      <c r="B22" s="60" t="s">
        <v>49</v>
      </c>
      <c r="C22" s="61" t="s">
        <v>6</v>
      </c>
      <c r="D22" s="61" t="s">
        <v>158</v>
      </c>
      <c r="E22" s="61" t="s">
        <v>7</v>
      </c>
      <c r="F22" s="61" t="s">
        <v>159</v>
      </c>
      <c r="G22" s="61" t="str">
        <f t="shared" si="10"/>
        <v>GbpLibor1M</v>
      </c>
      <c r="H22" s="59" t="str">
        <f t="shared" si="11"/>
        <v>GBP1L6L18M_LCHQuote</v>
      </c>
      <c r="I22" s="154">
        <v>0</v>
      </c>
      <c r="J22" s="64" t="str">
        <f>_xll.qlSwapRateHelper2(,$H22,0,$B22,Calendar,$D22,$E22,$F22,$G22,$I22,$C22,Discounting1,PillarDate,,Permanent,Trigger,ObjectOverwrite)</f>
        <v>obj_005ca#0005</v>
      </c>
      <c r="K22" s="64" t="str">
        <f>_xll.qlSwapRateHelper2(,$H22,0,$B22,Calendar,$D22,$E22,$F22,$G22,$I22,$C22,Discounting2,PillarDate,,Permanent,Trigger,ObjectOverwrite)</f>
        <v>obj_00583#0005</v>
      </c>
      <c r="L22" s="48"/>
      <c r="M22" s="10" t="str">
        <f t="shared" si="7"/>
        <v>BasSw</v>
      </c>
      <c r="N22" s="94" t="str">
        <f t="shared" si="8"/>
        <v>obj_0059a#0005</v>
      </c>
      <c r="O22" s="94" t="str">
        <f t="shared" si="9"/>
        <v>obj_005cc#0005</v>
      </c>
      <c r="P22" s="146" t="str">
        <f>IFERROR(_xll.qlRateHelperQuoteName(N22,Trigger),"--")</f>
        <v>GBP1L6L4Y_LCHQuote</v>
      </c>
      <c r="Q22" s="98">
        <f>IFERROR(_xll.qlRateHelperQuoteValue($N22,Trigger),"--")</f>
        <v>1.0226499999999999E-2</v>
      </c>
      <c r="R22" s="141" t="b">
        <v>1</v>
      </c>
      <c r="S22" s="94">
        <v>10</v>
      </c>
      <c r="T22" s="94">
        <v>1</v>
      </c>
      <c r="U22" s="99">
        <f>IFERROR(_xll.qlRateHelperEarliestDate(N22,Trigger),"--")</f>
        <v>42304</v>
      </c>
      <c r="V22" s="99">
        <f>IFERROR(_xll.qlRateHelperPillarDate(N22,Trigger),"--")</f>
        <v>43766</v>
      </c>
      <c r="X22" s="4" t="str">
        <f t="shared" si="0"/>
        <v>BasSw</v>
      </c>
      <c r="Y22" s="4" t="str">
        <v>obj_0058f</v>
      </c>
      <c r="Z22" s="4" t="str">
        <v>obj_005a9</v>
      </c>
      <c r="AA22" s="4" t="str">
        <f>IFERROR(_xll.qlRateHelperQuoteName(Y22,Trigger),"")</f>
        <v>GBP1L6L30Y_LCHQuote</v>
      </c>
      <c r="AB22" s="70">
        <f>IFERROR(_xll.qlRateHelperRate(Y22,Trigger),"")</f>
        <v>1.9511000000000001E-2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42304</v>
      </c>
      <c r="AE22" s="5">
        <f>IFERROR(_xll.qlRateHelperPillarDate(Y22,Trigger),"")</f>
        <v>53262</v>
      </c>
      <c r="AF22" s="70">
        <v>1.9785638781534384E-2</v>
      </c>
      <c r="AG22" s="77">
        <v>0.55229329190086873</v>
      </c>
      <c r="AH22" s="169">
        <v>53262</v>
      </c>
      <c r="AI22" s="170">
        <v>1.9785797493708901E-2</v>
      </c>
      <c r="AJ22" s="172">
        <f t="shared" si="1"/>
        <v>-1.5871217451737807E-7</v>
      </c>
      <c r="AK22" s="80">
        <v>0.55229176417870796</v>
      </c>
      <c r="AL22" s="161">
        <f t="shared" si="2"/>
        <v>1.5277221607767899E-6</v>
      </c>
    </row>
    <row r="23" spans="1:38" ht="11.25" customHeight="1" x14ac:dyDescent="0.2">
      <c r="A23" s="59" t="s">
        <v>117</v>
      </c>
      <c r="B23" s="60" t="s">
        <v>50</v>
      </c>
      <c r="C23" s="61" t="s">
        <v>6</v>
      </c>
      <c r="D23" s="61" t="s">
        <v>158</v>
      </c>
      <c r="E23" s="61" t="s">
        <v>7</v>
      </c>
      <c r="F23" s="61" t="s">
        <v>159</v>
      </c>
      <c r="G23" s="61" t="str">
        <f t="shared" si="10"/>
        <v>GbpLibor1M</v>
      </c>
      <c r="H23" s="59" t="str">
        <f t="shared" si="11"/>
        <v>GBP1L6L21M_LCHQuote</v>
      </c>
      <c r="I23" s="154">
        <v>0</v>
      </c>
      <c r="J23" s="64" t="str">
        <f>_xll.qlSwapRateHelper2(,$H23,0,$B23,Calendar,$D23,$E23,$F23,$G23,$I23,$C23,Discounting1,PillarDate,,Permanent,Trigger,ObjectOverwrite)</f>
        <v>obj_005cd#0005</v>
      </c>
      <c r="K23" s="64" t="str">
        <f>_xll.qlSwapRateHelper2(,$H23,0,$B23,Calendar,$D23,$E23,$F23,$G23,$I23,$C23,Discounting2,PillarDate,,Permanent,Trigger,ObjectOverwrite)</f>
        <v>obj_00581#0005</v>
      </c>
      <c r="L23" s="48"/>
      <c r="M23" s="10" t="str">
        <f t="shared" si="7"/>
        <v>BasSw</v>
      </c>
      <c r="N23" s="94" t="str">
        <f t="shared" si="8"/>
        <v>obj_00586#0005</v>
      </c>
      <c r="O23" s="94" t="str">
        <f t="shared" si="9"/>
        <v>obj_005c9#0005</v>
      </c>
      <c r="P23" s="146" t="str">
        <f>IFERROR(_xll.qlRateHelperQuoteName(N23,Trigger),"--")</f>
        <v>GBP1L6L5Y_LCHQuote</v>
      </c>
      <c r="Q23" s="98">
        <f>IFERROR(_xll.qlRateHelperQuoteValue($N23,Trigger),"--")</f>
        <v>1.161425E-2</v>
      </c>
      <c r="R23" s="141" t="b">
        <v>1</v>
      </c>
      <c r="S23" s="94">
        <v>10</v>
      </c>
      <c r="T23" s="94">
        <v>1</v>
      </c>
      <c r="U23" s="99">
        <f>IFERROR(_xll.qlRateHelperEarliestDate(N23,Trigger),"--")</f>
        <v>42304</v>
      </c>
      <c r="V23" s="99">
        <f>IFERROR(_xll.qlRateHelperPillarDate(N23,Trigger),"--")</f>
        <v>44131</v>
      </c>
      <c r="X23" s="4" t="str">
        <f t="shared" si="0"/>
        <v>BasSw</v>
      </c>
      <c r="Y23" s="4" t="str">
        <v>obj_005ce</v>
      </c>
      <c r="Z23" s="4" t="str">
        <v>obj_00589</v>
      </c>
      <c r="AA23" s="4" t="str">
        <f>IFERROR(_xll.qlRateHelperQuoteName(Y23,Trigger),"")</f>
        <v>GBP1L6L40Y_LCHQuote</v>
      </c>
      <c r="AB23" s="70">
        <f>IFERROR(_xll.qlRateHelperRate(Y23,Trigger),"")</f>
        <v>1.90739999999999E-2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42304</v>
      </c>
      <c r="AE23" s="5">
        <f>IFERROR(_xll.qlRateHelperPillarDate(Y23,Trigger),"")</f>
        <v>56914</v>
      </c>
      <c r="AF23" s="70">
        <v>1.9094062192942875E-2</v>
      </c>
      <c r="AG23" s="77">
        <v>0.46587964164076484</v>
      </c>
      <c r="AH23" s="169">
        <v>56914</v>
      </c>
      <c r="AI23" s="170">
        <v>1.9094186357982899E-2</v>
      </c>
      <c r="AJ23" s="172">
        <f t="shared" si="1"/>
        <v>-1.2416504002396578E-7</v>
      </c>
      <c r="AK23" s="80">
        <v>0.46587827982873897</v>
      </c>
      <c r="AL23" s="161">
        <f t="shared" si="2"/>
        <v>1.3618120258684918E-6</v>
      </c>
    </row>
    <row r="24" spans="1:38" ht="11.25" customHeight="1" x14ac:dyDescent="0.2">
      <c r="A24" s="59" t="s">
        <v>117</v>
      </c>
      <c r="B24" s="60" t="s">
        <v>51</v>
      </c>
      <c r="C24" s="61" t="s">
        <v>6</v>
      </c>
      <c r="D24" s="61" t="s">
        <v>158</v>
      </c>
      <c r="E24" s="61" t="s">
        <v>7</v>
      </c>
      <c r="F24" s="61" t="s">
        <v>159</v>
      </c>
      <c r="G24" s="61" t="str">
        <f t="shared" si="10"/>
        <v>GbpLibor1M</v>
      </c>
      <c r="H24" s="59" t="str">
        <f t="shared" si="11"/>
        <v>GBP1L6L2Y_LCHQuote</v>
      </c>
      <c r="I24" s="154">
        <v>0</v>
      </c>
      <c r="J24" s="64" t="str">
        <f>_xll.qlSwapRateHelper2(,$H24,0,$B24,Calendar,$D24,$E24,$F24,$G24,$I24,$C24,Discounting1,PillarDate,,Permanent,Trigger,ObjectOverwrite)</f>
        <v>obj_005a8#0005</v>
      </c>
      <c r="K24" s="64" t="str">
        <f>_xll.qlSwapRateHelper2(,$H24,0,$B24,Calendar,$D24,$E24,$F24,$G24,$I24,$C24,Discounting2,PillarDate,,Permanent,Trigger,ObjectOverwrite)</f>
        <v>obj_00592#0005</v>
      </c>
      <c r="L24" s="48"/>
      <c r="M24" s="10" t="str">
        <f t="shared" si="7"/>
        <v>BasSw</v>
      </c>
      <c r="N24" s="94" t="str">
        <f t="shared" si="8"/>
        <v>obj_00595#0005</v>
      </c>
      <c r="O24" s="94" t="str">
        <f t="shared" si="9"/>
        <v>obj_005c3#0005</v>
      </c>
      <c r="P24" s="146" t="str">
        <f>IFERROR(_xll.qlRateHelperQuoteName(N24,Trigger),"--")</f>
        <v>GBP1L6L6Y_LCHQuote</v>
      </c>
      <c r="Q24" s="98">
        <f>IFERROR(_xll.qlRateHelperQuoteValue($N24,Trigger),"--")</f>
        <v>1.2822E-2</v>
      </c>
      <c r="R24" s="141" t="b">
        <v>1</v>
      </c>
      <c r="S24" s="94">
        <v>10</v>
      </c>
      <c r="T24" s="94">
        <v>1</v>
      </c>
      <c r="U24" s="99">
        <f>IFERROR(_xll.qlRateHelperEarliestDate(N24,Trigger),"--")</f>
        <v>42304</v>
      </c>
      <c r="V24" s="99">
        <f>IFERROR(_xll.qlRateHelperPillarDate(N24,Trigger),"--")</f>
        <v>44496</v>
      </c>
      <c r="X24" s="4" t="str">
        <f t="shared" si="0"/>
        <v>BasSw</v>
      </c>
      <c r="Y24" s="4" t="str">
        <v>obj_005ae</v>
      </c>
      <c r="Z24" s="4" t="str">
        <v>obj_005b7</v>
      </c>
      <c r="AA24" s="4" t="str">
        <f>IFERROR(_xll.qlRateHelperQuoteName(Y24,Trigger),"")</f>
        <v>GBP1L6L50Y_LCHQuote</v>
      </c>
      <c r="AB24" s="70">
        <f>IFERROR(_xll.qlRateHelperRate(Y24,Trigger),"")</f>
        <v>1.88335000000001E-2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42304</v>
      </c>
      <c r="AE24" s="5">
        <f>IFERROR(_xll.qlRateHelperPillarDate(Y24,Trigger),"")</f>
        <v>60567</v>
      </c>
      <c r="AF24" s="70">
        <v>1.8712763185587792E-2</v>
      </c>
      <c r="AG24" s="77">
        <v>0.39207649122965266</v>
      </c>
      <c r="AH24" s="169">
        <v>60567</v>
      </c>
      <c r="AI24" s="170">
        <v>1.8712865887906199E-2</v>
      </c>
      <c r="AJ24" s="172">
        <f t="shared" si="1"/>
        <v>-1.0270231840664445E-7</v>
      </c>
      <c r="AK24" s="80">
        <v>0.39207519007629998</v>
      </c>
      <c r="AL24" s="161">
        <f t="shared" si="2"/>
        <v>1.3011533526730013E-6</v>
      </c>
    </row>
    <row r="25" spans="1:38" ht="11.25" customHeight="1" x14ac:dyDescent="0.2">
      <c r="A25" s="59" t="s">
        <v>117</v>
      </c>
      <c r="B25" s="60" t="s">
        <v>52</v>
      </c>
      <c r="C25" s="61" t="s">
        <v>6</v>
      </c>
      <c r="D25" s="61" t="s">
        <v>158</v>
      </c>
      <c r="E25" s="61" t="s">
        <v>7</v>
      </c>
      <c r="F25" s="61" t="s">
        <v>159</v>
      </c>
      <c r="G25" s="61" t="str">
        <f t="shared" si="10"/>
        <v>GbpLibor1M</v>
      </c>
      <c r="H25" s="59" t="str">
        <f t="shared" si="11"/>
        <v>GBP1L6L3Y_LCHQuote</v>
      </c>
      <c r="I25" s="154">
        <v>0</v>
      </c>
      <c r="J25" s="64" t="str">
        <f>_xll.qlSwapRateHelper2(,$H25,0,$B25,Calendar,$D25,$E25,$F25,$G25,$I25,$C25,Discounting1,PillarDate,,Permanent,Trigger,ObjectOverwrite)</f>
        <v>obj_005b1#0005</v>
      </c>
      <c r="K25" s="64" t="str">
        <f>_xll.qlSwapRateHelper2(,$H25,0,$B25,Calendar,$D25,$E25,$F25,$G25,$I25,$C25,Discounting2,PillarDate,,Permanent,Trigger,ObjectOverwrite)</f>
        <v>obj_005d7#0005</v>
      </c>
      <c r="L25" s="48"/>
      <c r="M25" s="10" t="str">
        <f t="shared" si="7"/>
        <v>BasSw</v>
      </c>
      <c r="N25" s="94" t="str">
        <f t="shared" si="8"/>
        <v>obj_005b0#0005</v>
      </c>
      <c r="O25" s="94" t="str">
        <f t="shared" si="9"/>
        <v>obj_005a2#0005</v>
      </c>
      <c r="P25" s="146" t="str">
        <f>IFERROR(_xll.qlRateHelperQuoteName(N25,Trigger),"--")</f>
        <v>GBP1L6L7Y_LCHQuote</v>
      </c>
      <c r="Q25" s="98">
        <f>IFERROR(_xll.qlRateHelperQuoteValue($N25,Trigger),"--")</f>
        <v>1.385025E-2</v>
      </c>
      <c r="R25" s="141" t="b">
        <v>1</v>
      </c>
      <c r="S25" s="94">
        <v>10</v>
      </c>
      <c r="T25" s="94">
        <v>1</v>
      </c>
      <c r="U25" s="99">
        <f>IFERROR(_xll.qlRateHelperEarliestDate(N25,Trigger),"--")</f>
        <v>42304</v>
      </c>
      <c r="V25" s="99">
        <f>IFERROR(_xll.qlRateHelperPillarDate(N25,Trigger),"--")</f>
        <v>44861</v>
      </c>
      <c r="X25" s="4" t="str">
        <f t="shared" si="0"/>
        <v>BasSw</v>
      </c>
      <c r="Y25" s="4" t="str">
        <v>obj_005d9</v>
      </c>
      <c r="Z25" s="4" t="str">
        <v>obj_0059d</v>
      </c>
      <c r="AA25" s="4" t="str">
        <f>IFERROR(_xll.qlRateHelperQuoteName(Y25,Trigger),"")</f>
        <v>GBP1L6L60Y_LCHQuote</v>
      </c>
      <c r="AB25" s="70">
        <f>IFERROR(_xll.qlRateHelperRate(Y25,Trigger),"")</f>
        <v>1.8918000000000101E-2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42304</v>
      </c>
      <c r="AE25" s="5">
        <f>IFERROR(_xll.qlRateHelperPillarDate(Y25,Trigger),"")</f>
        <v>64220</v>
      </c>
      <c r="AF25" s="70">
        <v>1.8858204762289867E-2</v>
      </c>
      <c r="AG25" s="77">
        <v>0.32221918572721492</v>
      </c>
      <c r="AH25" s="169">
        <v>64220</v>
      </c>
      <c r="AI25" s="170">
        <v>1.8858302853251099E-2</v>
      </c>
      <c r="AJ25" s="172">
        <f t="shared" si="1"/>
        <v>-9.8090961232061291E-8</v>
      </c>
      <c r="AK25" s="80">
        <v>0.322217755240295</v>
      </c>
      <c r="AL25" s="161">
        <f t="shared" si="2"/>
        <v>1.4304869199177617E-6</v>
      </c>
    </row>
    <row r="26" spans="1:38" ht="11.25" customHeight="1" x14ac:dyDescent="0.2">
      <c r="A26" s="59" t="s">
        <v>117</v>
      </c>
      <c r="B26" s="60" t="s">
        <v>53</v>
      </c>
      <c r="C26" s="61" t="s">
        <v>6</v>
      </c>
      <c r="D26" s="61" t="s">
        <v>158</v>
      </c>
      <c r="E26" s="61" t="s">
        <v>7</v>
      </c>
      <c r="F26" s="61" t="s">
        <v>159</v>
      </c>
      <c r="G26" s="61" t="str">
        <f t="shared" si="10"/>
        <v>GbpLibor1M</v>
      </c>
      <c r="H26" s="59" t="str">
        <f t="shared" si="11"/>
        <v>GBP1L6L4Y_LCHQuote</v>
      </c>
      <c r="I26" s="154">
        <v>0</v>
      </c>
      <c r="J26" s="64" t="str">
        <f>_xll.qlSwapRateHelper2(,$H26,0,$B26,Calendar,$D26,$E26,$F26,$G26,$I26,$C26,Discounting1,PillarDate,,Permanent,Trigger,ObjectOverwrite)</f>
        <v>obj_0059a#0005</v>
      </c>
      <c r="K26" s="64" t="str">
        <f>_xll.qlSwapRateHelper2(,$H26,0,$B26,Calendar,$D26,$E26,$F26,$G26,$I26,$C26,Discounting2,PillarDate,,Permanent,Trigger,ObjectOverwrite)</f>
        <v>obj_005cc#0005</v>
      </c>
      <c r="L26" s="48"/>
      <c r="M26" s="10" t="str">
        <f t="shared" si="7"/>
        <v>BasSw</v>
      </c>
      <c r="N26" s="94" t="str">
        <f t="shared" si="8"/>
        <v>obj_0059c#0005</v>
      </c>
      <c r="O26" s="94" t="str">
        <f t="shared" si="9"/>
        <v>obj_00584#0005</v>
      </c>
      <c r="P26" s="146" t="str">
        <f>IFERROR(_xll.qlRateHelperQuoteName(N26,Trigger),"--")</f>
        <v>GBP1L6L8Y_LCHQuote</v>
      </c>
      <c r="Q26" s="98">
        <f>IFERROR(_xll.qlRateHelperQuoteValue($N26,Trigger),"--")</f>
        <v>1.4678999999999999E-2</v>
      </c>
      <c r="R26" s="141" t="b">
        <v>1</v>
      </c>
      <c r="S26" s="94">
        <v>10</v>
      </c>
      <c r="T26" s="94">
        <v>1</v>
      </c>
      <c r="U26" s="99">
        <f>IFERROR(_xll.qlRateHelperEarliestDate(N26,Trigger),"--")</f>
        <v>42304</v>
      </c>
      <c r="V26" s="99">
        <f>IFERROR(_xll.qlRateHelperPillarDate(N26,Trigger),"--")</f>
        <v>45226</v>
      </c>
      <c r="X26" s="4" t="str">
        <f t="shared" si="0"/>
        <v/>
      </c>
      <c r="Y26" s="4" t="e">
        <v>#N/A</v>
      </c>
      <c r="Z26" s="4" t="e">
        <v>#N/A</v>
      </c>
      <c r="AA26" s="4" t="str">
        <f>IFERROR(_xll.qlRateHelperQuoteName(Y26,Trigger),"")</f>
        <v/>
      </c>
      <c r="AB26" s="70" t="str">
        <f>IFERROR(_xll.qlRateHelperRate(Y26,Trigger),"")</f>
        <v/>
      </c>
      <c r="AC26" s="104" t="str">
        <f>IF(ISERROR(_xll.qlSwapRateHelperSpread($Y26)),IF(ISERROR(_xll.qlFuturesRateHelperConvexityAdjustment($Y26)),"",_xll.qlFuturesRateHelperConvexityAdjustment($Y26)),_xll.qlSwapRateHelperSpread($Y26))</f>
        <v/>
      </c>
      <c r="AD26" s="5" t="str">
        <f>IFERROR(_xll.qlRateHelperEarliestDate(Y26,Trigger),"")</f>
        <v/>
      </c>
      <c r="AE26" s="5" t="str">
        <f>IFERROR(_xll.qlRateHelperPillarDate(Y26,Trigger),"")</f>
        <v/>
      </c>
      <c r="AF26" s="70" t="e">
        <v>#N/A</v>
      </c>
      <c r="AG26" s="77" t="e">
        <v>#N/A</v>
      </c>
      <c r="AH26" s="169" t="e">
        <v>#N/A</v>
      </c>
      <c r="AI26" s="170" t="e">
        <v>#N/A</v>
      </c>
      <c r="AJ26" s="172" t="e">
        <f t="shared" si="1"/>
        <v>#N/A</v>
      </c>
      <c r="AK26" s="80" t="e">
        <v>#N/A</v>
      </c>
      <c r="AL26" s="161" t="e">
        <f t="shared" si="2"/>
        <v>#N/A</v>
      </c>
    </row>
    <row r="27" spans="1:38" ht="11.25" customHeight="1" x14ac:dyDescent="0.2">
      <c r="A27" s="59" t="s">
        <v>117</v>
      </c>
      <c r="B27" s="60" t="s">
        <v>54</v>
      </c>
      <c r="C27" s="61" t="s">
        <v>6</v>
      </c>
      <c r="D27" s="61" t="s">
        <v>158</v>
      </c>
      <c r="E27" s="61" t="s">
        <v>7</v>
      </c>
      <c r="F27" s="61" t="s">
        <v>159</v>
      </c>
      <c r="G27" s="61" t="str">
        <f t="shared" si="10"/>
        <v>GbpLibor1M</v>
      </c>
      <c r="H27" s="59" t="str">
        <f t="shared" si="11"/>
        <v>GBP1L6L5Y_LCHQuote</v>
      </c>
      <c r="I27" s="154">
        <v>0</v>
      </c>
      <c r="J27" s="64" t="str">
        <f>_xll.qlSwapRateHelper2(,$H27,0,$B27,Calendar,$D27,$E27,$F27,$G27,$I27,$C27,Discounting1,PillarDate,,Permanent,Trigger,ObjectOverwrite)</f>
        <v>obj_00586#0005</v>
      </c>
      <c r="K27" s="64" t="str">
        <f>_xll.qlSwapRateHelper2(,$H27,0,$B27,Calendar,$D27,$E27,$F27,$G27,$I27,$C27,Discounting2,PillarDate,,Permanent,Trigger,ObjectOverwrite)</f>
        <v>obj_005c9#0005</v>
      </c>
      <c r="L27" s="48"/>
      <c r="M27" s="10" t="str">
        <f t="shared" si="7"/>
        <v>BasSw</v>
      </c>
      <c r="N27" s="94" t="str">
        <f t="shared" si="8"/>
        <v>obj_005bc#0005</v>
      </c>
      <c r="O27" s="94" t="str">
        <f t="shared" si="9"/>
        <v>obj_00587#0005</v>
      </c>
      <c r="P27" s="146" t="str">
        <f>IFERROR(_xll.qlRateHelperQuoteName(N27,Trigger),"--")</f>
        <v>GBP1L6L9Y_LCHQuote</v>
      </c>
      <c r="Q27" s="98">
        <f>IFERROR(_xll.qlRateHelperQuoteValue($N27,Trigger),"--")</f>
        <v>1.5398500000000001E-2</v>
      </c>
      <c r="R27" s="141" t="b">
        <v>1</v>
      </c>
      <c r="S27" s="94">
        <v>10</v>
      </c>
      <c r="T27" s="94">
        <v>1</v>
      </c>
      <c r="U27" s="99">
        <f>IFERROR(_xll.qlRateHelperEarliestDate(N27,Trigger),"--")</f>
        <v>42304</v>
      </c>
      <c r="V27" s="99">
        <f>IFERROR(_xll.qlRateHelperPillarDate(N27,Trigger),"--")</f>
        <v>45593</v>
      </c>
      <c r="X27" s="4" t="str">
        <f t="shared" si="0"/>
        <v/>
      </c>
      <c r="Y27" s="4" t="e">
        <v>#N/A</v>
      </c>
      <c r="Z27" s="4" t="e">
        <v>#N/A</v>
      </c>
      <c r="AA27" s="4" t="str">
        <f>IFERROR(_xll.qlRateHelperQuoteName(Y27,Trigger),"")</f>
        <v/>
      </c>
      <c r="AB27" s="70" t="str">
        <f>IFERROR(_xll.qlRateHelperRate(Y27,Trigger),"")</f>
        <v/>
      </c>
      <c r="AC27" s="104" t="str">
        <f>IF(ISERROR(_xll.qlSwapRateHelperSpread($Y27)),IF(ISERROR(_xll.qlFuturesRateHelperConvexityAdjustment($Y27)),"",_xll.qlFuturesRateHelperConvexityAdjustment($Y27)),_xll.qlSwapRateHelperSpread($Y27))</f>
        <v/>
      </c>
      <c r="AD27" s="5" t="str">
        <f>IFERROR(_xll.qlRateHelperEarliestDate(Y27,Trigger),"")</f>
        <v/>
      </c>
      <c r="AE27" s="5" t="str">
        <f>IFERROR(_xll.qlRateHelperPillarDate(Y27,Trigger),"")</f>
        <v/>
      </c>
      <c r="AF27" s="70" t="e">
        <v>#N/A</v>
      </c>
      <c r="AG27" s="77" t="e">
        <v>#N/A</v>
      </c>
      <c r="AH27" s="169" t="e">
        <v>#N/A</v>
      </c>
      <c r="AI27" s="170" t="e">
        <v>#N/A</v>
      </c>
      <c r="AJ27" s="172" t="e">
        <f t="shared" si="1"/>
        <v>#N/A</v>
      </c>
      <c r="AK27" s="80" t="e">
        <v>#N/A</v>
      </c>
      <c r="AL27" s="161" t="e">
        <f t="shared" si="2"/>
        <v>#N/A</v>
      </c>
    </row>
    <row r="28" spans="1:38" ht="11.25" customHeight="1" x14ac:dyDescent="0.2">
      <c r="A28" s="59" t="s">
        <v>117</v>
      </c>
      <c r="B28" s="60" t="s">
        <v>55</v>
      </c>
      <c r="C28" s="61" t="s">
        <v>6</v>
      </c>
      <c r="D28" s="61" t="s">
        <v>158</v>
      </c>
      <c r="E28" s="61" t="s">
        <v>7</v>
      </c>
      <c r="F28" s="61" t="s">
        <v>159</v>
      </c>
      <c r="G28" s="61" t="str">
        <f t="shared" si="10"/>
        <v>GbpLibor1M</v>
      </c>
      <c r="H28" s="59" t="str">
        <f t="shared" si="11"/>
        <v>GBP1L6L6Y_LCHQuote</v>
      </c>
      <c r="I28" s="154">
        <v>0</v>
      </c>
      <c r="J28" s="64" t="str">
        <f>_xll.qlSwapRateHelper2(,$H28,0,$B28,Calendar,$D28,$E28,$F28,$G28,$I28,$C28,Discounting1,PillarDate,,Permanent,Trigger,ObjectOverwrite)</f>
        <v>obj_00595#0005</v>
      </c>
      <c r="K28" s="64" t="str">
        <f>_xll.qlSwapRateHelper2(,$H28,0,$B28,Calendar,$D28,$E28,$F28,$G28,$I28,$C28,Discounting2,PillarDate,,Permanent,Trigger,ObjectOverwrite)</f>
        <v>obj_005c3#0005</v>
      </c>
      <c r="L28" s="48"/>
      <c r="M28" s="10" t="str">
        <f t="shared" si="7"/>
        <v>BasSw</v>
      </c>
      <c r="N28" s="94" t="str">
        <f t="shared" si="8"/>
        <v>obj_005d3#0005</v>
      </c>
      <c r="O28" s="94" t="str">
        <f t="shared" si="9"/>
        <v>obj_0057c#0005</v>
      </c>
      <c r="P28" s="146" t="str">
        <f>IFERROR(_xll.qlRateHelperQuoteName(N28,Trigger),"--")</f>
        <v>GBP1L6L10Y_LCHQuote</v>
      </c>
      <c r="Q28" s="98">
        <f>IFERROR(_xll.qlRateHelperQuoteValue($N28,Trigger),"--")</f>
        <v>1.6036499999999902E-2</v>
      </c>
      <c r="R28" s="141" t="b">
        <v>1</v>
      </c>
      <c r="S28" s="94">
        <v>10</v>
      </c>
      <c r="T28" s="94">
        <v>1</v>
      </c>
      <c r="U28" s="99">
        <f>IFERROR(_xll.qlRateHelperEarliestDate(N28,Trigger),"--")</f>
        <v>42304</v>
      </c>
      <c r="V28" s="99">
        <f>IFERROR(_xll.qlRateHelperPillarDate(N28,Trigger),"--")</f>
        <v>45957</v>
      </c>
      <c r="X28" s="4" t="str">
        <f t="shared" si="0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1"/>
        <v>#N/A</v>
      </c>
      <c r="AK28" s="80" t="e">
        <v>#N/A</v>
      </c>
      <c r="AL28" s="161" t="e">
        <f t="shared" si="2"/>
        <v>#N/A</v>
      </c>
    </row>
    <row r="29" spans="1:38" ht="11.25" customHeight="1" x14ac:dyDescent="0.2">
      <c r="A29" s="59" t="s">
        <v>117</v>
      </c>
      <c r="B29" s="60" t="s">
        <v>56</v>
      </c>
      <c r="C29" s="61" t="s">
        <v>6</v>
      </c>
      <c r="D29" s="61" t="s">
        <v>158</v>
      </c>
      <c r="E29" s="61" t="s">
        <v>7</v>
      </c>
      <c r="F29" s="61" t="s">
        <v>159</v>
      </c>
      <c r="G29" s="61" t="str">
        <f t="shared" si="10"/>
        <v>GbpLibor1M</v>
      </c>
      <c r="H29" s="59" t="str">
        <f t="shared" si="11"/>
        <v>GBP1L6L7Y_LCHQuote</v>
      </c>
      <c r="I29" s="154">
        <v>0</v>
      </c>
      <c r="J29" s="64" t="str">
        <f>_xll.qlSwapRateHelper2(,$H29,0,$B29,Calendar,$D29,$E29,$F29,$G29,$I29,$C29,Discounting1,PillarDate,,Permanent,Trigger,ObjectOverwrite)</f>
        <v>obj_005b0#0005</v>
      </c>
      <c r="K29" s="64" t="str">
        <f>_xll.qlSwapRateHelper2(,$H29,0,$B29,Calendar,$D29,$E29,$F29,$G29,$I29,$C29,Discounting2,PillarDate,,Permanent,Trigger,ObjectOverwrite)</f>
        <v>obj_005a2#0005</v>
      </c>
      <c r="L29" s="48"/>
      <c r="M29" s="10" t="str">
        <f t="shared" si="7"/>
        <v>BasSw</v>
      </c>
      <c r="N29" s="94" t="str">
        <f t="shared" si="8"/>
        <v>obj_005c0#0005</v>
      </c>
      <c r="O29" s="94" t="str">
        <f t="shared" si="9"/>
        <v>obj_005d0#0005</v>
      </c>
      <c r="P29" s="146" t="str">
        <f>IFERROR(_xll.qlRateHelperQuoteName(N29,Trigger),"--")</f>
        <v>GBP1L6L11Y_LCHQuote</v>
      </c>
      <c r="Q29" s="98" t="str">
        <f>IFERROR(_xll.qlRateHelperQuoteValue($N29,Trigger),"--")</f>
        <v>--</v>
      </c>
      <c r="R29" s="141" t="b">
        <v>0</v>
      </c>
      <c r="S29" s="94">
        <v>10</v>
      </c>
      <c r="T29" s="94">
        <v>1</v>
      </c>
      <c r="U29" s="99">
        <f>IFERROR(_xll.qlRateHelperEarliestDate(N29,Trigger),"--")</f>
        <v>42304</v>
      </c>
      <c r="V29" s="99">
        <f>IFERROR(_xll.qlRateHelperPillarDate(N29,Trigger),"--")</f>
        <v>46322</v>
      </c>
      <c r="X29" s="4" t="str">
        <f t="shared" si="0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1"/>
        <v>#N/A</v>
      </c>
      <c r="AK29" s="80" t="e">
        <v>#N/A</v>
      </c>
      <c r="AL29" s="161" t="e">
        <f t="shared" si="2"/>
        <v>#N/A</v>
      </c>
    </row>
    <row r="30" spans="1:38" ht="11.25" customHeight="1" x14ac:dyDescent="0.2">
      <c r="A30" s="59" t="s">
        <v>117</v>
      </c>
      <c r="B30" s="60" t="s">
        <v>57</v>
      </c>
      <c r="C30" s="61" t="s">
        <v>6</v>
      </c>
      <c r="D30" s="61" t="s">
        <v>158</v>
      </c>
      <c r="E30" s="61" t="s">
        <v>7</v>
      </c>
      <c r="F30" s="61" t="s">
        <v>159</v>
      </c>
      <c r="G30" s="61" t="str">
        <f t="shared" si="10"/>
        <v>GbpLibor1M</v>
      </c>
      <c r="H30" s="59" t="str">
        <f t="shared" si="11"/>
        <v>GBP1L6L8Y_LCHQuote</v>
      </c>
      <c r="I30" s="154">
        <v>0</v>
      </c>
      <c r="J30" s="64" t="str">
        <f>_xll.qlSwapRateHelper2(,$H30,0,$B30,Calendar,$D30,$E30,$F30,$G30,$I30,$C30,Discounting1,PillarDate,,Permanent,Trigger,ObjectOverwrite)</f>
        <v>obj_0059c#0005</v>
      </c>
      <c r="K30" s="64" t="str">
        <f>_xll.qlSwapRateHelper2(,$H30,0,$B30,Calendar,$D30,$E30,$F30,$G30,$I30,$C30,Discounting2,PillarDate,,Permanent,Trigger,ObjectOverwrite)</f>
        <v>obj_00584#0005</v>
      </c>
      <c r="L30" s="48"/>
      <c r="M30" s="10" t="str">
        <f t="shared" si="7"/>
        <v>BasSw</v>
      </c>
      <c r="N30" s="94" t="str">
        <f t="shared" si="8"/>
        <v>obj_005bf#0005</v>
      </c>
      <c r="O30" s="94" t="str">
        <f t="shared" si="9"/>
        <v>obj_005c5#0005</v>
      </c>
      <c r="P30" s="146" t="str">
        <f>IFERROR(_xll.qlRateHelperQuoteName(N30,Trigger),"--")</f>
        <v>GBP1L6L12Y_LCHQuote</v>
      </c>
      <c r="Q30" s="98">
        <f>IFERROR(_xll.qlRateHelperQuoteValue($N30,Trigger),"--")</f>
        <v>1.7134E-2</v>
      </c>
      <c r="R30" s="141" t="b">
        <v>1</v>
      </c>
      <c r="S30" s="94">
        <v>10</v>
      </c>
      <c r="T30" s="94">
        <v>1</v>
      </c>
      <c r="U30" s="99">
        <f>IFERROR(_xll.qlRateHelperEarliestDate(N30,Trigger),"--")</f>
        <v>42304</v>
      </c>
      <c r="V30" s="99">
        <f>IFERROR(_xll.qlRateHelperPillarDate(N30,Trigger),"--")</f>
        <v>46687</v>
      </c>
      <c r="X30" s="4" t="str">
        <f t="shared" si="0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1"/>
        <v>#N/A</v>
      </c>
      <c r="AK30" s="80" t="e">
        <v>#N/A</v>
      </c>
      <c r="AL30" s="161" t="e">
        <f t="shared" si="2"/>
        <v>#N/A</v>
      </c>
    </row>
    <row r="31" spans="1:38" ht="11.25" customHeight="1" x14ac:dyDescent="0.2">
      <c r="A31" s="59" t="s">
        <v>117</v>
      </c>
      <c r="B31" s="60" t="s">
        <v>58</v>
      </c>
      <c r="C31" s="61" t="s">
        <v>6</v>
      </c>
      <c r="D31" s="61" t="s">
        <v>158</v>
      </c>
      <c r="E31" s="61" t="s">
        <v>7</v>
      </c>
      <c r="F31" s="61" t="s">
        <v>159</v>
      </c>
      <c r="G31" s="61" t="str">
        <f t="shared" si="10"/>
        <v>GbpLibor1M</v>
      </c>
      <c r="H31" s="59" t="str">
        <f t="shared" si="11"/>
        <v>GBP1L6L9Y_LCHQuote</v>
      </c>
      <c r="I31" s="154">
        <v>0</v>
      </c>
      <c r="J31" s="64" t="str">
        <f>_xll.qlSwapRateHelper2(,$H31,0,$B31,Calendar,$D31,$E31,$F31,$G31,$I31,$C31,Discounting1,PillarDate,,Permanent,Trigger,ObjectOverwrite)</f>
        <v>obj_005bc#0005</v>
      </c>
      <c r="K31" s="64" t="str">
        <f>_xll.qlSwapRateHelper2(,$H31,0,$B31,Calendar,$D31,$E31,$F31,$G31,$I31,$C31,Discounting2,PillarDate,,Permanent,Trigger,ObjectOverwrite)</f>
        <v>obj_00587#0005</v>
      </c>
      <c r="L31" s="48"/>
      <c r="M31" s="10" t="str">
        <f t="shared" si="7"/>
        <v>BasSw</v>
      </c>
      <c r="N31" s="94" t="str">
        <f t="shared" si="8"/>
        <v>obj_005a4#0005</v>
      </c>
      <c r="O31" s="94" t="str">
        <f t="shared" si="9"/>
        <v>obj_005b4#0005</v>
      </c>
      <c r="P31" s="146" t="str">
        <f>IFERROR(_xll.qlRateHelperQuoteName(N31,Trigger),"--")</f>
        <v>GBP1L6L13Y_LCHQuote</v>
      </c>
      <c r="Q31" s="98" t="str">
        <f>IFERROR(_xll.qlRateHelperQuoteValue($N31,Trigger),"--")</f>
        <v>--</v>
      </c>
      <c r="R31" s="141" t="b">
        <v>0</v>
      </c>
      <c r="S31" s="94">
        <v>10</v>
      </c>
      <c r="T31" s="94">
        <v>1</v>
      </c>
      <c r="U31" s="99">
        <f>IFERROR(_xll.qlRateHelperEarliestDate(N31,Trigger),"--")</f>
        <v>42304</v>
      </c>
      <c r="V31" s="99">
        <f>IFERROR(_xll.qlRateHelperPillarDate(N31,Trigger),"--")</f>
        <v>47053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1"/>
        <v>#N/A</v>
      </c>
      <c r="AK31" s="80" t="e">
        <v>#N/A</v>
      </c>
      <c r="AL31" s="161" t="e">
        <f t="shared" si="2"/>
        <v>#N/A</v>
      </c>
    </row>
    <row r="32" spans="1:38" ht="11.25" customHeight="1" x14ac:dyDescent="0.2">
      <c r="A32" s="59" t="s">
        <v>117</v>
      </c>
      <c r="B32" s="60" t="s">
        <v>59</v>
      </c>
      <c r="C32" s="61" t="s">
        <v>6</v>
      </c>
      <c r="D32" s="61" t="s">
        <v>158</v>
      </c>
      <c r="E32" s="61" t="s">
        <v>7</v>
      </c>
      <c r="F32" s="61" t="s">
        <v>159</v>
      </c>
      <c r="G32" s="61" t="str">
        <f t="shared" si="10"/>
        <v>GbpLibor1M</v>
      </c>
      <c r="H32" s="59" t="str">
        <f t="shared" si="11"/>
        <v>GBP1L6L10Y_LCHQuote</v>
      </c>
      <c r="I32" s="154">
        <v>0</v>
      </c>
      <c r="J32" s="64" t="str">
        <f>_xll.qlSwapRateHelper2(,$H32,0,$B32,Calendar,$D32,$E32,$F32,$G32,$I32,$C32,Discounting1,PillarDate,,Permanent,Trigger,ObjectOverwrite)</f>
        <v>obj_005d3#0005</v>
      </c>
      <c r="K32" s="64" t="str">
        <f>_xll.qlSwapRateHelper2(,$H32,0,$B32,Calendar,$D32,$E32,$F32,$G32,$I32,$C32,Discounting2,PillarDate,,Permanent,Trigger,ObjectOverwrite)</f>
        <v>obj_0057c#0005</v>
      </c>
      <c r="L32" s="48"/>
      <c r="M32" s="10" t="str">
        <f t="shared" si="7"/>
        <v>BasSw</v>
      </c>
      <c r="N32" s="94" t="str">
        <f t="shared" si="8"/>
        <v>obj_0057b#0005</v>
      </c>
      <c r="O32" s="94" t="str">
        <f t="shared" si="9"/>
        <v>obj_005b9#0005</v>
      </c>
      <c r="P32" s="146" t="str">
        <f>IFERROR(_xll.qlRateHelperQuoteName(N32,Trigger),"--")</f>
        <v>GBP1L6L14Y_LCHQuote</v>
      </c>
      <c r="Q32" s="98" t="str">
        <f>IFERROR(_xll.qlRateHelperQuoteValue($N32,Trigger),"--")</f>
        <v>--</v>
      </c>
      <c r="R32" s="141" t="b">
        <v>0</v>
      </c>
      <c r="S32" s="94">
        <v>10</v>
      </c>
      <c r="T32" s="94">
        <v>1</v>
      </c>
      <c r="U32" s="99">
        <f>IFERROR(_xll.qlRateHelperEarliestDate(N32,Trigger),"--")</f>
        <v>42304</v>
      </c>
      <c r="V32" s="99">
        <f>IFERROR(_xll.qlRateHelperPillarDate(N32,Trigger),"--")</f>
        <v>47420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117</v>
      </c>
      <c r="B33" s="60" t="s">
        <v>97</v>
      </c>
      <c r="C33" s="61" t="s">
        <v>6</v>
      </c>
      <c r="D33" s="61" t="s">
        <v>158</v>
      </c>
      <c r="E33" s="61" t="s">
        <v>7</v>
      </c>
      <c r="F33" s="61" t="s">
        <v>159</v>
      </c>
      <c r="G33" s="61" t="str">
        <f t="shared" si="10"/>
        <v>GbpLibor1M</v>
      </c>
      <c r="H33" s="59" t="str">
        <f t="shared" si="11"/>
        <v>GBP1L6L11Y_LCHQuote</v>
      </c>
      <c r="I33" s="154">
        <v>0</v>
      </c>
      <c r="J33" s="64" t="str">
        <f>_xll.qlSwapRateHelper2(,$H33,0,$B33,Calendar,$D33,$E33,$F33,$G33,$I33,$C33,Discounting1,PillarDate,,Permanent,Trigger,ObjectOverwrite)</f>
        <v>obj_005c0#0005</v>
      </c>
      <c r="K33" s="64" t="str">
        <f>_xll.qlSwapRateHelper2(,$H33,0,$B33,Calendar,$D33,$E33,$F33,$G33,$I33,$C33,Discounting2,PillarDate,,Permanent,Trigger,ObjectOverwrite)</f>
        <v>obj_005d0#0005</v>
      </c>
      <c r="L33" s="48"/>
      <c r="M33" s="10" t="str">
        <f t="shared" si="7"/>
        <v>BasSw</v>
      </c>
      <c r="N33" s="94" t="str">
        <f t="shared" si="8"/>
        <v>obj_00578#0005</v>
      </c>
      <c r="O33" s="94" t="str">
        <f t="shared" si="9"/>
        <v>obj_00582#0005</v>
      </c>
      <c r="P33" s="146" t="str">
        <f>IFERROR(_xll.qlRateHelperQuoteName(N33,Trigger),"--")</f>
        <v>GBP1L6L15Y_LCHQuote</v>
      </c>
      <c r="Q33" s="98">
        <f>IFERROR(_xll.qlRateHelperQuoteValue($N33,Trigger),"--")</f>
        <v>1.8340749999999999E-2</v>
      </c>
      <c r="R33" s="141" t="b">
        <v>1</v>
      </c>
      <c r="S33" s="94">
        <v>10</v>
      </c>
      <c r="T33" s="94">
        <v>1</v>
      </c>
      <c r="U33" s="99">
        <f>IFERROR(_xll.qlRateHelperEarliestDate(N33,Trigger),"--")</f>
        <v>42304</v>
      </c>
      <c r="V33" s="99">
        <f>IFERROR(_xll.qlRateHelperPillarDate(N33,Trigger),"--")</f>
        <v>47784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117</v>
      </c>
      <c r="B34" s="60" t="s">
        <v>60</v>
      </c>
      <c r="C34" s="61" t="s">
        <v>6</v>
      </c>
      <c r="D34" s="61" t="s">
        <v>158</v>
      </c>
      <c r="E34" s="61" t="s">
        <v>7</v>
      </c>
      <c r="F34" s="61" t="s">
        <v>159</v>
      </c>
      <c r="G34" s="61" t="str">
        <f t="shared" si="10"/>
        <v>GbpLibor1M</v>
      </c>
      <c r="H34" s="59" t="str">
        <f t="shared" si="11"/>
        <v>GBP1L6L12Y_LCHQuote</v>
      </c>
      <c r="I34" s="154">
        <v>0</v>
      </c>
      <c r="J34" s="64" t="str">
        <f>_xll.qlSwapRateHelper2(,$H34,0,$B34,Calendar,$D34,$E34,$F34,$G34,$I34,$C34,Discounting1,PillarDate,,Permanent,Trigger,ObjectOverwrite)</f>
        <v>obj_005bf#0005</v>
      </c>
      <c r="K34" s="64" t="str">
        <f>_xll.qlSwapRateHelper2(,$H34,0,$B34,Calendar,$D34,$E34,$F34,$G34,$I34,$C34,Discounting2,PillarDate,,Permanent,Trigger,ObjectOverwrite)</f>
        <v>obj_005c5#0005</v>
      </c>
      <c r="L34" s="48"/>
      <c r="M34" s="10" t="str">
        <f t="shared" si="7"/>
        <v>BasSw</v>
      </c>
      <c r="N34" s="94" t="str">
        <f t="shared" si="8"/>
        <v>obj_005ba#0005</v>
      </c>
      <c r="O34" s="94" t="str">
        <f t="shared" si="9"/>
        <v>obj_00591#0005</v>
      </c>
      <c r="P34" s="146" t="str">
        <f>IFERROR(_xll.qlRateHelperQuoteName(N34,Trigger),"--")</f>
        <v>GBP1L6L16Y_LCHQuote</v>
      </c>
      <c r="Q34" s="98" t="str">
        <f>IFERROR(_xll.qlRateHelperQuoteValue($N34,Trigger),"--")</f>
        <v>--</v>
      </c>
      <c r="R34" s="141" t="b">
        <v>0</v>
      </c>
      <c r="S34" s="94">
        <v>10</v>
      </c>
      <c r="T34" s="94">
        <v>1</v>
      </c>
      <c r="U34" s="99">
        <f>IFERROR(_xll.qlRateHelperEarliestDate(N34,Trigger),"--")</f>
        <v>42304</v>
      </c>
      <c r="V34" s="99">
        <f>IFERROR(_xll.qlRateHelperPillarDate(N34,Trigger),"--")</f>
        <v>48148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117</v>
      </c>
      <c r="B35" s="60" t="s">
        <v>98</v>
      </c>
      <c r="C35" s="61" t="s">
        <v>6</v>
      </c>
      <c r="D35" s="61" t="s">
        <v>158</v>
      </c>
      <c r="E35" s="61" t="s">
        <v>7</v>
      </c>
      <c r="F35" s="61" t="s">
        <v>159</v>
      </c>
      <c r="G35" s="61" t="str">
        <f t="shared" si="10"/>
        <v>GbpLibor1M</v>
      </c>
      <c r="H35" s="59" t="str">
        <f t="shared" si="11"/>
        <v>GBP1L6L13Y_LCHQuote</v>
      </c>
      <c r="I35" s="154">
        <v>0</v>
      </c>
      <c r="J35" s="64" t="str">
        <f>_xll.qlSwapRateHelper2(,$H35,0,$B35,Calendar,$D35,$E35,$F35,$G35,$I35,$C35,Discounting1,PillarDate,,Permanent,Trigger,ObjectOverwrite)</f>
        <v>obj_005a4#0005</v>
      </c>
      <c r="K35" s="64" t="str">
        <f>_xll.qlSwapRateHelper2(,$H35,0,$B35,Calendar,$D35,$E35,$F35,$G35,$I35,$C35,Discounting2,PillarDate,,Permanent,Trigger,ObjectOverwrite)</f>
        <v>obj_005b4#0005</v>
      </c>
      <c r="L35" s="48"/>
      <c r="M35" s="10" t="str">
        <f t="shared" si="7"/>
        <v>BasSw</v>
      </c>
      <c r="N35" s="94" t="str">
        <f t="shared" si="8"/>
        <v>obj_0058b#0005</v>
      </c>
      <c r="O35" s="94" t="str">
        <f t="shared" si="9"/>
        <v>obj_005cf#0005</v>
      </c>
      <c r="P35" s="146" t="str">
        <f>IFERROR(_xll.qlRateHelperQuoteName(N35,Trigger),"--")</f>
        <v>GBP1L6L17Y_LCHQuote</v>
      </c>
      <c r="Q35" s="98" t="str">
        <f>IFERROR(_xll.qlRateHelperQuoteValue($N35,Trigger),"--")</f>
        <v>--</v>
      </c>
      <c r="R35" s="141" t="b">
        <v>0</v>
      </c>
      <c r="S35" s="94">
        <v>10</v>
      </c>
      <c r="T35" s="94">
        <v>1</v>
      </c>
      <c r="U35" s="99">
        <f>IFERROR(_xll.qlRateHelperEarliestDate(N35,Trigger),"--")</f>
        <v>42304</v>
      </c>
      <c r="V35" s="99">
        <f>IFERROR(_xll.qlRateHelperPillarDate(N35,Trigger),"--")</f>
        <v>48514</v>
      </c>
      <c r="X35" s="4" t="str">
        <f t="shared" ref="X35:X52" si="12">IFERROR(INDEX($M$3:$M$52,MATCH(AA35,$P$3:$P$52,0),1),"")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117</v>
      </c>
      <c r="B36" s="60" t="s">
        <v>99</v>
      </c>
      <c r="C36" s="61" t="s">
        <v>6</v>
      </c>
      <c r="D36" s="61" t="s">
        <v>158</v>
      </c>
      <c r="E36" s="61" t="s">
        <v>7</v>
      </c>
      <c r="F36" s="61" t="s">
        <v>159</v>
      </c>
      <c r="G36" s="61" t="str">
        <f t="shared" si="10"/>
        <v>GbpLibor1M</v>
      </c>
      <c r="H36" s="59" t="str">
        <f t="shared" si="11"/>
        <v>GBP1L6L14Y_LCHQuote</v>
      </c>
      <c r="I36" s="154">
        <v>0</v>
      </c>
      <c r="J36" s="64" t="str">
        <f>_xll.qlSwapRateHelper2(,$H36,0,$B36,Calendar,$D36,$E36,$F36,$G36,$I36,$C36,Discounting1,PillarDate,,Permanent,Trigger,ObjectOverwrite)</f>
        <v>obj_0057b#0005</v>
      </c>
      <c r="K36" s="64" t="str">
        <f>_xll.qlSwapRateHelper2(,$H36,0,$B36,Calendar,$D36,$E36,$F36,$G36,$I36,$C36,Discounting2,PillarDate,,Permanent,Trigger,ObjectOverwrite)</f>
        <v>obj_005b9#0005</v>
      </c>
      <c r="L36" s="48"/>
      <c r="M36" s="10" t="str">
        <f t="shared" si="7"/>
        <v>BasSw</v>
      </c>
      <c r="N36" s="94" t="str">
        <f t="shared" si="8"/>
        <v>obj_0058e#0005</v>
      </c>
      <c r="O36" s="94" t="str">
        <f t="shared" si="9"/>
        <v>obj_005af#0005</v>
      </c>
      <c r="P36" s="146" t="str">
        <f>IFERROR(_xll.qlRateHelperQuoteName(N36,Trigger),"--")</f>
        <v>GBP1L6L18Y_LCHQuote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>
        <f>IFERROR(_xll.qlRateHelperEarliestDate(N36,Trigger),"--")</f>
        <v>42304</v>
      </c>
      <c r="V36" s="99">
        <f>IFERROR(_xll.qlRateHelperPillarDate(N36,Trigger),"--")</f>
        <v>48879</v>
      </c>
      <c r="X36" s="4" t="str">
        <f t="shared" si="12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117</v>
      </c>
      <c r="B37" s="60" t="s">
        <v>61</v>
      </c>
      <c r="C37" s="61" t="s">
        <v>6</v>
      </c>
      <c r="D37" s="61" t="s">
        <v>158</v>
      </c>
      <c r="E37" s="61" t="s">
        <v>7</v>
      </c>
      <c r="F37" s="61" t="s">
        <v>159</v>
      </c>
      <c r="G37" s="61" t="str">
        <f t="shared" si="10"/>
        <v>GbpLibor1M</v>
      </c>
      <c r="H37" s="59" t="str">
        <f t="shared" si="11"/>
        <v>GBP1L6L15Y_LCHQuote</v>
      </c>
      <c r="I37" s="154">
        <v>0</v>
      </c>
      <c r="J37" s="64" t="str">
        <f>_xll.qlSwapRateHelper2(,$H37,0,$B37,Calendar,$D37,$E37,$F37,$G37,$I37,$C37,Discounting1,PillarDate,,Permanent,Trigger,ObjectOverwrite)</f>
        <v>obj_00578#0005</v>
      </c>
      <c r="K37" s="64" t="str">
        <f>_xll.qlSwapRateHelper2(,$H37,0,$B37,Calendar,$D37,$E37,$F37,$G37,$I37,$C37,Discounting2,PillarDate,,Permanent,Trigger,ObjectOverwrite)</f>
        <v>obj_00582#0005</v>
      </c>
      <c r="L37" s="48"/>
      <c r="M37" s="10" t="str">
        <f t="shared" si="7"/>
        <v>BasSw</v>
      </c>
      <c r="N37" s="94" t="str">
        <f t="shared" si="8"/>
        <v>obj_0057f#0005</v>
      </c>
      <c r="O37" s="94" t="str">
        <f t="shared" si="9"/>
        <v>obj_005c2#0005</v>
      </c>
      <c r="P37" s="146" t="str">
        <f>IFERROR(_xll.qlRateHelperQuoteName(N37,Trigger),"--")</f>
        <v>GBP1L6L19Y_LCHQuote</v>
      </c>
      <c r="Q37" s="98" t="str">
        <f>IFERROR(_xll.qlRateHelperQuoteValue($N37,Trigger),"--")</f>
        <v>--</v>
      </c>
      <c r="R37" s="141" t="b">
        <v>0</v>
      </c>
      <c r="S37" s="94">
        <v>10</v>
      </c>
      <c r="T37" s="94">
        <v>1</v>
      </c>
      <c r="U37" s="99">
        <f>IFERROR(_xll.qlRateHelperEarliestDate(N37,Trigger),"--")</f>
        <v>42304</v>
      </c>
      <c r="V37" s="99">
        <f>IFERROR(_xll.qlRateHelperPillarDate(N37,Trigger),"--")</f>
        <v>49244</v>
      </c>
      <c r="X37" s="4" t="str">
        <f t="shared" si="12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117</v>
      </c>
      <c r="B38" s="60" t="s">
        <v>100</v>
      </c>
      <c r="C38" s="61" t="s">
        <v>6</v>
      </c>
      <c r="D38" s="61" t="s">
        <v>158</v>
      </c>
      <c r="E38" s="61" t="s">
        <v>7</v>
      </c>
      <c r="F38" s="61" t="s">
        <v>159</v>
      </c>
      <c r="G38" s="61" t="str">
        <f t="shared" si="10"/>
        <v>GbpLibor1M</v>
      </c>
      <c r="H38" s="59" t="str">
        <f t="shared" si="11"/>
        <v>GBP1L6L16Y_LCHQuote</v>
      </c>
      <c r="I38" s="154">
        <v>0</v>
      </c>
      <c r="J38" s="64" t="str">
        <f>_xll.qlSwapRateHelper2(,$H38,0,$B38,Calendar,$D38,$E38,$F38,$G38,$I38,$C38,Discounting1,PillarDate,,Permanent,Trigger,ObjectOverwrite)</f>
        <v>obj_005ba#0005</v>
      </c>
      <c r="K38" s="64" t="str">
        <f>_xll.qlSwapRateHelper2(,$H38,0,$B38,Calendar,$D38,$E38,$F38,$G38,$I38,$C38,Discounting2,PillarDate,,Permanent,Trigger,ObjectOverwrite)</f>
        <v>obj_00591#0005</v>
      </c>
      <c r="L38" s="48"/>
      <c r="M38" s="10" t="str">
        <f t="shared" si="7"/>
        <v>BasSw</v>
      </c>
      <c r="N38" s="94" t="str">
        <f t="shared" si="8"/>
        <v>obj_005be#0005</v>
      </c>
      <c r="O38" s="94" t="str">
        <f t="shared" si="9"/>
        <v>obj_0059f#0005</v>
      </c>
      <c r="P38" s="146" t="str">
        <f>IFERROR(_xll.qlRateHelperQuoteName(N38,Trigger),"--")</f>
        <v>GBP1L6L20Y_LCHQuote</v>
      </c>
      <c r="Q38" s="98">
        <f>IFERROR(_xll.qlRateHelperQuoteValue($N38,Trigger),"--")</f>
        <v>1.924E-2</v>
      </c>
      <c r="R38" s="141" t="b">
        <v>1</v>
      </c>
      <c r="S38" s="94">
        <v>10</v>
      </c>
      <c r="T38" s="94">
        <v>1</v>
      </c>
      <c r="U38" s="99">
        <f>IFERROR(_xll.qlRateHelperEarliestDate(N38,Trigger),"--")</f>
        <v>42304</v>
      </c>
      <c r="V38" s="99">
        <f>IFERROR(_xll.qlRateHelperPillarDate(N38,Trigger),"--")</f>
        <v>49611</v>
      </c>
      <c r="X38" s="4" t="str">
        <f t="shared" si="12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117</v>
      </c>
      <c r="B39" s="60" t="s">
        <v>101</v>
      </c>
      <c r="C39" s="61" t="s">
        <v>6</v>
      </c>
      <c r="D39" s="61" t="s">
        <v>158</v>
      </c>
      <c r="E39" s="61" t="s">
        <v>7</v>
      </c>
      <c r="F39" s="61" t="s">
        <v>159</v>
      </c>
      <c r="G39" s="61" t="str">
        <f t="shared" si="10"/>
        <v>GbpLibor1M</v>
      </c>
      <c r="H39" s="59" t="str">
        <f t="shared" si="11"/>
        <v>GBP1L6L17Y_LCHQuote</v>
      </c>
      <c r="I39" s="154">
        <v>0</v>
      </c>
      <c r="J39" s="64" t="str">
        <f>_xll.qlSwapRateHelper2(,$H39,0,$B39,Calendar,$D39,$E39,$F39,$G39,$I39,$C39,Discounting1,PillarDate,,Permanent,Trigger,ObjectOverwrite)</f>
        <v>obj_0058b#0005</v>
      </c>
      <c r="K39" s="64" t="str">
        <f>_xll.qlSwapRateHelper2(,$H39,0,$B39,Calendar,$D39,$E39,$F39,$G39,$I39,$C39,Discounting2,PillarDate,,Permanent,Trigger,ObjectOverwrite)</f>
        <v>obj_005cf#0005</v>
      </c>
      <c r="L39" s="48"/>
      <c r="M39" s="10" t="str">
        <f t="shared" si="7"/>
        <v>BasSw</v>
      </c>
      <c r="N39" s="94" t="str">
        <f t="shared" si="8"/>
        <v>obj_005a1#0005</v>
      </c>
      <c r="O39" s="94" t="str">
        <f t="shared" si="9"/>
        <v>obj_005c8#0005</v>
      </c>
      <c r="P39" s="146" t="str">
        <f>IFERROR(_xll.qlRateHelperQuoteName(N39,Trigger),"--")</f>
        <v>GBP1L6L21Y_LCHQuote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>
        <f>IFERROR(_xll.qlRateHelperEarliestDate(N39,Trigger),"--")</f>
        <v>42304</v>
      </c>
      <c r="V39" s="99">
        <f>IFERROR(_xll.qlRateHelperPillarDate(N39,Trigger),"--")</f>
        <v>49975</v>
      </c>
      <c r="X39" s="4" t="str">
        <f t="shared" si="12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117</v>
      </c>
      <c r="B40" s="60" t="s">
        <v>102</v>
      </c>
      <c r="C40" s="61" t="s">
        <v>6</v>
      </c>
      <c r="D40" s="61" t="s">
        <v>158</v>
      </c>
      <c r="E40" s="61" t="s">
        <v>7</v>
      </c>
      <c r="F40" s="61" t="s">
        <v>159</v>
      </c>
      <c r="G40" s="61" t="str">
        <f t="shared" si="10"/>
        <v>GbpLibor1M</v>
      </c>
      <c r="H40" s="59" t="str">
        <f t="shared" si="11"/>
        <v>GBP1L6L18Y_LCHQuote</v>
      </c>
      <c r="I40" s="154">
        <v>0</v>
      </c>
      <c r="J40" s="64" t="str">
        <f>_xll.qlSwapRateHelper2(,$H40,0,$B40,Calendar,$D40,$E40,$F40,$G40,$I40,$C40,Discounting1,PillarDate,,Permanent,Trigger,ObjectOverwrite)</f>
        <v>obj_0058e#0005</v>
      </c>
      <c r="K40" s="64" t="str">
        <f>_xll.qlSwapRateHelper2(,$H40,0,$B40,Calendar,$D40,$E40,$F40,$G40,$I40,$C40,Discounting2,PillarDate,,Permanent,Trigger,ObjectOverwrite)</f>
        <v>obj_005af#0005</v>
      </c>
      <c r="L40" s="48"/>
      <c r="M40" s="10" t="str">
        <f t="shared" si="7"/>
        <v>BasSw</v>
      </c>
      <c r="N40" s="94" t="str">
        <f t="shared" si="8"/>
        <v>obj_00588#0005</v>
      </c>
      <c r="O40" s="94" t="str">
        <f t="shared" si="9"/>
        <v>obj_0059b#0005</v>
      </c>
      <c r="P40" s="146" t="str">
        <f>IFERROR(_xll.qlRateHelperQuoteName(N40,Trigger),"--")</f>
        <v>GBP1L6L22Y_LCHQuote</v>
      </c>
      <c r="Q40" s="98" t="str">
        <f>IFERROR(_xll.qlRateHelperQuoteValue($N40,Trigger),"--")</f>
        <v>--</v>
      </c>
      <c r="R40" s="141" t="b">
        <v>0</v>
      </c>
      <c r="S40" s="94">
        <v>10</v>
      </c>
      <c r="T40" s="94">
        <v>1</v>
      </c>
      <c r="U40" s="99">
        <f>IFERROR(_xll.qlRateHelperEarliestDate(N40,Trigger),"--")</f>
        <v>42304</v>
      </c>
      <c r="V40" s="99">
        <f>IFERROR(_xll.qlRateHelperPillarDate(N40,Trigger),"--")</f>
        <v>50340</v>
      </c>
      <c r="X40" s="4" t="str">
        <f t="shared" si="12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117</v>
      </c>
      <c r="B41" s="60" t="s">
        <v>103</v>
      </c>
      <c r="C41" s="61" t="s">
        <v>6</v>
      </c>
      <c r="D41" s="61" t="s">
        <v>158</v>
      </c>
      <c r="E41" s="61" t="s">
        <v>7</v>
      </c>
      <c r="F41" s="61" t="s">
        <v>159</v>
      </c>
      <c r="G41" s="61" t="str">
        <f t="shared" si="10"/>
        <v>GbpLibor1M</v>
      </c>
      <c r="H41" s="59" t="str">
        <f t="shared" si="11"/>
        <v>GBP1L6L19Y_LCHQuote</v>
      </c>
      <c r="I41" s="154">
        <v>0</v>
      </c>
      <c r="J41" s="64" t="str">
        <f>_xll.qlSwapRateHelper2(,$H41,0,$B41,Calendar,$D41,$E41,$F41,$G41,$I41,$C41,Discounting1,PillarDate,,Permanent,Trigger,ObjectOverwrite)</f>
        <v>obj_0057f#0005</v>
      </c>
      <c r="K41" s="64" t="str">
        <f>_xll.qlSwapRateHelper2(,$H41,0,$B41,Calendar,$D41,$E41,$F41,$G41,$I41,$C41,Discounting2,PillarDate,,Permanent,Trigger,ObjectOverwrite)</f>
        <v>obj_005c2#0005</v>
      </c>
      <c r="M41" s="10" t="str">
        <f t="shared" si="7"/>
        <v>BasSw</v>
      </c>
      <c r="N41" s="94" t="str">
        <f t="shared" si="8"/>
        <v>obj_00596#0005</v>
      </c>
      <c r="O41" s="94" t="str">
        <f t="shared" si="9"/>
        <v>obj_0058a#0005</v>
      </c>
      <c r="P41" s="146" t="str">
        <f>IFERROR(_xll.qlRateHelperQuoteName(N41,Trigger),"--")</f>
        <v>GBP1L6L23Y_LCHQuote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>
        <f>IFERROR(_xll.qlRateHelperEarliestDate(N41,Trigger),"--")</f>
        <v>42304</v>
      </c>
      <c r="V41" s="99">
        <f>IFERROR(_xll.qlRateHelperPillarDate(N41,Trigger),"--")</f>
        <v>50705</v>
      </c>
      <c r="X41" s="4" t="str">
        <f t="shared" si="12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117</v>
      </c>
      <c r="B42" s="60" t="s">
        <v>62</v>
      </c>
      <c r="C42" s="61" t="s">
        <v>6</v>
      </c>
      <c r="D42" s="61" t="s">
        <v>158</v>
      </c>
      <c r="E42" s="61" t="s">
        <v>7</v>
      </c>
      <c r="F42" s="61" t="s">
        <v>159</v>
      </c>
      <c r="G42" s="61" t="str">
        <f t="shared" si="10"/>
        <v>GbpLibor1M</v>
      </c>
      <c r="H42" s="59" t="str">
        <f t="shared" si="11"/>
        <v>GBP1L6L20Y_LCHQuote</v>
      </c>
      <c r="I42" s="154">
        <v>0</v>
      </c>
      <c r="J42" s="64" t="str">
        <f>_xll.qlSwapRateHelper2(,$H42,0,$B42,Calendar,$D42,$E42,$F42,$G42,$I42,$C42,Discounting1,PillarDate,,Permanent,Trigger,ObjectOverwrite)</f>
        <v>obj_005be#0005</v>
      </c>
      <c r="K42" s="64" t="str">
        <f>_xll.qlSwapRateHelper2(,$H42,0,$B42,Calendar,$D42,$E42,$F42,$G42,$I42,$C42,Discounting2,PillarDate,,Permanent,Trigger,ObjectOverwrite)</f>
        <v>obj_0059f#0005</v>
      </c>
      <c r="M42" s="10" t="str">
        <f t="shared" si="7"/>
        <v>BasSw</v>
      </c>
      <c r="N42" s="94" t="str">
        <f t="shared" si="8"/>
        <v>obj_005a6#0005</v>
      </c>
      <c r="O42" s="94" t="str">
        <f t="shared" si="9"/>
        <v>obj_005bb#0005</v>
      </c>
      <c r="P42" s="146" t="str">
        <f>IFERROR(_xll.qlRateHelperQuoteName(N42,Trigger),"--")</f>
        <v>GBP1L6L24Y_LCHQuote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>
        <f>IFERROR(_xll.qlRateHelperEarliestDate(N42,Trigger),"--")</f>
        <v>42304</v>
      </c>
      <c r="V42" s="99">
        <f>IFERROR(_xll.qlRateHelperPillarDate(N42,Trigger),"--")</f>
        <v>51070</v>
      </c>
      <c r="X42" s="4" t="str">
        <f t="shared" si="12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117</v>
      </c>
      <c r="B43" s="60" t="s">
        <v>104</v>
      </c>
      <c r="C43" s="61" t="s">
        <v>6</v>
      </c>
      <c r="D43" s="61" t="s">
        <v>158</v>
      </c>
      <c r="E43" s="61" t="s">
        <v>7</v>
      </c>
      <c r="F43" s="61" t="s">
        <v>159</v>
      </c>
      <c r="G43" s="61" t="str">
        <f t="shared" si="10"/>
        <v>GbpLibor1M</v>
      </c>
      <c r="H43" s="59" t="str">
        <f t="shared" si="11"/>
        <v>GBP1L6L21Y_LCHQuote</v>
      </c>
      <c r="I43" s="154">
        <v>0</v>
      </c>
      <c r="J43" s="64" t="str">
        <f>_xll.qlSwapRateHelper2(,$H43,0,$B43,Calendar,$D43,$E43,$F43,$G43,$I43,$C43,Discounting1,PillarDate,,Permanent,Trigger,ObjectOverwrite)</f>
        <v>obj_005a1#0005</v>
      </c>
      <c r="K43" s="64" t="str">
        <f>_xll.qlSwapRateHelper2(,$H43,0,$B43,Calendar,$D43,$E43,$F43,$G43,$I43,$C43,Discounting2,PillarDate,,Permanent,Trigger,ObjectOverwrite)</f>
        <v>obj_005c8#0005</v>
      </c>
      <c r="M43" s="10" t="str">
        <f t="shared" si="7"/>
        <v>BasSw</v>
      </c>
      <c r="N43" s="94" t="str">
        <f t="shared" si="8"/>
        <v>obj_005aa#0005</v>
      </c>
      <c r="O43" s="94" t="str">
        <f t="shared" si="9"/>
        <v>obj_005d6#0005</v>
      </c>
      <c r="P43" s="146" t="str">
        <f>IFERROR(_xll.qlRateHelperQuoteName(N43,Trigger),"--")</f>
        <v>GBP1L6L25Y_LCHQuote</v>
      </c>
      <c r="Q43" s="98">
        <f>IFERROR(_xll.qlRateHelperQuoteValue($N43,Trigger),"--")</f>
        <v>1.9476E-2</v>
      </c>
      <c r="R43" s="141" t="b">
        <v>1</v>
      </c>
      <c r="S43" s="94">
        <v>10</v>
      </c>
      <c r="T43" s="94">
        <v>1</v>
      </c>
      <c r="U43" s="99">
        <f>IFERROR(_xll.qlRateHelperEarliestDate(N43,Trigger),"--")</f>
        <v>42304</v>
      </c>
      <c r="V43" s="99">
        <f>IFERROR(_xll.qlRateHelperPillarDate(N43,Trigger),"--")</f>
        <v>51438</v>
      </c>
      <c r="X43" s="4" t="str">
        <f t="shared" si="12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117</v>
      </c>
      <c r="B44" s="60" t="s">
        <v>105</v>
      </c>
      <c r="C44" s="61" t="s">
        <v>6</v>
      </c>
      <c r="D44" s="61" t="s">
        <v>158</v>
      </c>
      <c r="E44" s="61" t="s">
        <v>7</v>
      </c>
      <c r="F44" s="61" t="s">
        <v>159</v>
      </c>
      <c r="G44" s="61" t="str">
        <f t="shared" si="10"/>
        <v>GbpLibor1M</v>
      </c>
      <c r="H44" s="59" t="str">
        <f t="shared" si="11"/>
        <v>GBP1L6L22Y_LCHQuote</v>
      </c>
      <c r="I44" s="154">
        <v>0</v>
      </c>
      <c r="J44" s="64" t="str">
        <f>_xll.qlSwapRateHelper2(,$H44,0,$B44,Calendar,$D44,$E44,$F44,$G44,$I44,$C44,Discounting1,PillarDate,,Permanent,Trigger,ObjectOverwrite)</f>
        <v>obj_00588#0005</v>
      </c>
      <c r="K44" s="64" t="str">
        <f>_xll.qlSwapRateHelper2(,$H44,0,$B44,Calendar,$D44,$E44,$F44,$G44,$I44,$C44,Discounting2,PillarDate,,Permanent,Trigger,ObjectOverwrite)</f>
        <v>obj_0059b#0005</v>
      </c>
      <c r="M44" s="10" t="str">
        <f t="shared" si="7"/>
        <v>BasSw</v>
      </c>
      <c r="N44" s="94" t="str">
        <f t="shared" si="8"/>
        <v>obj_005ab#0005</v>
      </c>
      <c r="O44" s="94" t="str">
        <f t="shared" si="9"/>
        <v>obj_005d8#0005</v>
      </c>
      <c r="P44" s="146" t="str">
        <f>IFERROR(_xll.qlRateHelperQuoteName(N44,Trigger),"--")</f>
        <v>GBP1L6L26Y_LCHQuote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>
        <f>IFERROR(_xll.qlRateHelperEarliestDate(N44,Trigger),"--")</f>
        <v>42304</v>
      </c>
      <c r="V44" s="99">
        <f>IFERROR(_xll.qlRateHelperPillarDate(N44,Trigger),"--")</f>
        <v>51802</v>
      </c>
      <c r="X44" s="4" t="str">
        <f t="shared" si="12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117</v>
      </c>
      <c r="B45" s="60" t="s">
        <v>106</v>
      </c>
      <c r="C45" s="61" t="s">
        <v>6</v>
      </c>
      <c r="D45" s="61" t="s">
        <v>158</v>
      </c>
      <c r="E45" s="61" t="s">
        <v>7</v>
      </c>
      <c r="F45" s="61" t="s">
        <v>159</v>
      </c>
      <c r="G45" s="61" t="str">
        <f t="shared" si="10"/>
        <v>GbpLibor1M</v>
      </c>
      <c r="H45" s="59" t="str">
        <f t="shared" si="11"/>
        <v>GBP1L6L23Y_LCHQuote</v>
      </c>
      <c r="I45" s="154">
        <v>0</v>
      </c>
      <c r="J45" s="64" t="str">
        <f>_xll.qlSwapRateHelper2(,$H45,0,$B45,Calendar,$D45,$E45,$F45,$G45,$I45,$C45,Discounting1,PillarDate,,Permanent,Trigger,ObjectOverwrite)</f>
        <v>obj_00596#0005</v>
      </c>
      <c r="K45" s="64" t="str">
        <f>_xll.qlSwapRateHelper2(,$H45,0,$B45,Calendar,$D45,$E45,$F45,$G45,$I45,$C45,Discounting2,PillarDate,,Permanent,Trigger,ObjectOverwrite)</f>
        <v>obj_0058a#0005</v>
      </c>
      <c r="M45" s="10" t="str">
        <f t="shared" si="7"/>
        <v>BasSw</v>
      </c>
      <c r="N45" s="94" t="str">
        <f t="shared" si="8"/>
        <v>obj_00593#0005</v>
      </c>
      <c r="O45" s="94" t="str">
        <f t="shared" si="9"/>
        <v>obj_0057d#0005</v>
      </c>
      <c r="P45" s="146" t="str">
        <f>IFERROR(_xll.qlRateHelperQuoteName(N45,Trigger),"--")</f>
        <v>GBP1L6L27Y_LCHQuote</v>
      </c>
      <c r="Q45" s="98" t="str">
        <f>IFERROR(_xll.qlRateHelperQuoteValue($N45,Trigger),"--")</f>
        <v>--</v>
      </c>
      <c r="R45" s="141" t="b">
        <v>0</v>
      </c>
      <c r="S45" s="94">
        <v>10</v>
      </c>
      <c r="T45" s="94">
        <v>1</v>
      </c>
      <c r="U45" s="99">
        <f>IFERROR(_xll.qlRateHelperEarliestDate(N45,Trigger),"--")</f>
        <v>42304</v>
      </c>
      <c r="V45" s="99">
        <f>IFERROR(_xll.qlRateHelperPillarDate(N45,Trigger),"--")</f>
        <v>52166</v>
      </c>
      <c r="X45" s="4" t="str">
        <f t="shared" si="12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117</v>
      </c>
      <c r="B46" s="60" t="s">
        <v>107</v>
      </c>
      <c r="C46" s="61" t="s">
        <v>6</v>
      </c>
      <c r="D46" s="61" t="s">
        <v>158</v>
      </c>
      <c r="E46" s="61" t="s">
        <v>7</v>
      </c>
      <c r="F46" s="61" t="s">
        <v>159</v>
      </c>
      <c r="G46" s="61" t="str">
        <f t="shared" si="10"/>
        <v>GbpLibor1M</v>
      </c>
      <c r="H46" s="59" t="str">
        <f t="shared" si="11"/>
        <v>GBP1L6L24Y_LCHQuote</v>
      </c>
      <c r="I46" s="154">
        <v>0</v>
      </c>
      <c r="J46" s="64" t="str">
        <f>_xll.qlSwapRateHelper2(,$H46,0,$B46,Calendar,$D46,$E46,$F46,$G46,$I46,$C46,Discounting1,PillarDate,,Permanent,Trigger,ObjectOverwrite)</f>
        <v>obj_005a6#0005</v>
      </c>
      <c r="K46" s="64" t="str">
        <f>_xll.qlSwapRateHelper2(,$H46,0,$B46,Calendar,$D46,$E46,$F46,$G46,$I46,$C46,Discounting2,PillarDate,,Permanent,Trigger,ObjectOverwrite)</f>
        <v>obj_005bb#0005</v>
      </c>
      <c r="M46" s="10" t="str">
        <f t="shared" si="7"/>
        <v>BasSw</v>
      </c>
      <c r="N46" s="94" t="str">
        <f t="shared" si="8"/>
        <v>obj_00594#0005</v>
      </c>
      <c r="O46" s="94" t="str">
        <f t="shared" si="9"/>
        <v>obj_005cb#0005</v>
      </c>
      <c r="P46" s="146" t="str">
        <f>IFERROR(_xll.qlRateHelperQuoteName(N46,Trigger),"--")</f>
        <v>GBP1L6L28Y_LCHQuote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>
        <f>IFERROR(_xll.qlRateHelperEarliestDate(N46,Trigger),"--")</f>
        <v>42304</v>
      </c>
      <c r="V46" s="99">
        <f>IFERROR(_xll.qlRateHelperPillarDate(N46,Trigger),"--")</f>
        <v>52531</v>
      </c>
      <c r="X46" s="4" t="str">
        <f t="shared" si="12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117</v>
      </c>
      <c r="B47" s="60" t="s">
        <v>63</v>
      </c>
      <c r="C47" s="61" t="s">
        <v>6</v>
      </c>
      <c r="D47" s="61" t="s">
        <v>158</v>
      </c>
      <c r="E47" s="61" t="s">
        <v>7</v>
      </c>
      <c r="F47" s="61" t="s">
        <v>159</v>
      </c>
      <c r="G47" s="61" t="str">
        <f t="shared" si="10"/>
        <v>GbpLibor1M</v>
      </c>
      <c r="H47" s="59" t="str">
        <f t="shared" si="11"/>
        <v>GBP1L6L25Y_LCHQuote</v>
      </c>
      <c r="I47" s="154">
        <v>0</v>
      </c>
      <c r="J47" s="64" t="str">
        <f>_xll.qlSwapRateHelper2(,$H47,0,$B47,Calendar,$D47,$E47,$F47,$G47,$I47,$C47,Discounting1,PillarDate,,Permanent,Trigger,ObjectOverwrite)</f>
        <v>obj_005aa#0005</v>
      </c>
      <c r="K47" s="64" t="str">
        <f>_xll.qlSwapRateHelper2(,$H47,0,$B47,Calendar,$D47,$E47,$F47,$G47,$I47,$C47,Discounting2,PillarDate,,Permanent,Trigger,ObjectOverwrite)</f>
        <v>obj_005d6#0005</v>
      </c>
      <c r="M47" s="10" t="str">
        <f t="shared" si="7"/>
        <v>BasSw</v>
      </c>
      <c r="N47" s="94" t="str">
        <f t="shared" si="8"/>
        <v>obj_0057a#0005</v>
      </c>
      <c r="O47" s="94" t="str">
        <f t="shared" si="9"/>
        <v>obj_005c1#0005</v>
      </c>
      <c r="P47" s="146" t="str">
        <f>IFERROR(_xll.qlRateHelperQuoteName(N47,Trigger),"--")</f>
        <v>GBP1L6L29Y_LCHQuote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>
        <f>IFERROR(_xll.qlRateHelperEarliestDate(N47,Trigger),"--")</f>
        <v>42304</v>
      </c>
      <c r="V47" s="99">
        <f>IFERROR(_xll.qlRateHelperPillarDate(N47,Trigger),"--")</f>
        <v>52897</v>
      </c>
      <c r="X47" s="4" t="str">
        <f t="shared" si="12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117</v>
      </c>
      <c r="B48" s="60" t="s">
        <v>108</v>
      </c>
      <c r="C48" s="61" t="s">
        <v>6</v>
      </c>
      <c r="D48" s="61" t="s">
        <v>158</v>
      </c>
      <c r="E48" s="61" t="s">
        <v>7</v>
      </c>
      <c r="F48" s="61" t="s">
        <v>159</v>
      </c>
      <c r="G48" s="61" t="str">
        <f t="shared" si="10"/>
        <v>GbpLibor1M</v>
      </c>
      <c r="H48" s="59" t="str">
        <f t="shared" si="11"/>
        <v>GBP1L6L26Y_LCHQuote</v>
      </c>
      <c r="I48" s="154">
        <v>0</v>
      </c>
      <c r="J48" s="64" t="str">
        <f>_xll.qlSwapRateHelper2(,$H48,0,$B48,Calendar,$D48,$E48,$F48,$G48,$I48,$C48,Discounting1,PillarDate,,Permanent,Trigger,ObjectOverwrite)</f>
        <v>obj_005ab#0005</v>
      </c>
      <c r="K48" s="64" t="str">
        <f>_xll.qlSwapRateHelper2(,$H48,0,$B48,Calendar,$D48,$E48,$F48,$G48,$I48,$C48,Discounting2,PillarDate,,Permanent,Trigger,ObjectOverwrite)</f>
        <v>obj_005d8#0005</v>
      </c>
      <c r="M48" s="10" t="str">
        <f t="shared" si="7"/>
        <v>BasSw</v>
      </c>
      <c r="N48" s="94" t="str">
        <f t="shared" si="8"/>
        <v>obj_0058f#0005</v>
      </c>
      <c r="O48" s="94" t="str">
        <f t="shared" si="9"/>
        <v>obj_005a9#0005</v>
      </c>
      <c r="P48" s="146" t="str">
        <f>IFERROR(_xll.qlRateHelperQuoteName(N48,Trigger),"--")</f>
        <v>GBP1L6L30Y_LCHQuote</v>
      </c>
      <c r="Q48" s="98">
        <f>IFERROR(_xll.qlRateHelperQuoteValue($N48,Trigger),"--")</f>
        <v>1.9511000000000001E-2</v>
      </c>
      <c r="R48" s="141" t="b">
        <v>1</v>
      </c>
      <c r="S48" s="94">
        <v>10</v>
      </c>
      <c r="T48" s="94">
        <v>1</v>
      </c>
      <c r="U48" s="99">
        <f>IFERROR(_xll.qlRateHelperEarliestDate(N48,Trigger),"--")</f>
        <v>42304</v>
      </c>
      <c r="V48" s="99">
        <f>IFERROR(_xll.qlRateHelperPillarDate(N48,Trigger),"--")</f>
        <v>53262</v>
      </c>
      <c r="X48" s="4" t="str">
        <f t="shared" si="12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117</v>
      </c>
      <c r="B49" s="60" t="s">
        <v>64</v>
      </c>
      <c r="C49" s="61" t="s">
        <v>6</v>
      </c>
      <c r="D49" s="61" t="s">
        <v>158</v>
      </c>
      <c r="E49" s="61" t="s">
        <v>7</v>
      </c>
      <c r="F49" s="61" t="s">
        <v>159</v>
      </c>
      <c r="G49" s="61" t="str">
        <f t="shared" si="10"/>
        <v>GbpLibor1M</v>
      </c>
      <c r="H49" s="59" t="str">
        <f t="shared" si="11"/>
        <v>GBP1L6L27Y_LCHQuote</v>
      </c>
      <c r="I49" s="154">
        <v>0</v>
      </c>
      <c r="J49" s="64" t="str">
        <f>_xll.qlSwapRateHelper2(,$H49,0,$B49,Calendar,$D49,$E49,$F49,$G49,$I49,$C49,Discounting1,PillarDate,,Permanent,Trigger,ObjectOverwrite)</f>
        <v>obj_00593#0005</v>
      </c>
      <c r="K49" s="64" t="str">
        <f>_xll.qlSwapRateHelper2(,$H49,0,$B49,Calendar,$D49,$E49,$F49,$G49,$I49,$C49,Discounting2,PillarDate,,Permanent,Trigger,ObjectOverwrite)</f>
        <v>obj_0057d#0005</v>
      </c>
      <c r="M49" s="10" t="str">
        <f t="shared" si="7"/>
        <v>BasSw</v>
      </c>
      <c r="N49" s="94" t="str">
        <f t="shared" si="8"/>
        <v>obj_0059e#0005</v>
      </c>
      <c r="O49" s="94" t="str">
        <f t="shared" si="9"/>
        <v>obj_005d5#0005</v>
      </c>
      <c r="P49" s="146" t="str">
        <f>IFERROR(_xll.qlRateHelperQuoteName(N49,Trigger),"--")</f>
        <v>GBP1L6L35Y_LCHQuote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>
        <f>IFERROR(_xll.qlRateHelperEarliestDate(N49,Trigger),"--")</f>
        <v>42304</v>
      </c>
      <c r="V49" s="99">
        <f>IFERROR(_xll.qlRateHelperPillarDate(N49,Trigger),"--")</f>
        <v>55088</v>
      </c>
      <c r="X49" s="4" t="str">
        <f t="shared" si="12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117</v>
      </c>
      <c r="B50" s="60" t="s">
        <v>109</v>
      </c>
      <c r="C50" s="61" t="s">
        <v>6</v>
      </c>
      <c r="D50" s="61" t="s">
        <v>158</v>
      </c>
      <c r="E50" s="61" t="s">
        <v>7</v>
      </c>
      <c r="F50" s="61" t="s">
        <v>159</v>
      </c>
      <c r="G50" s="61" t="str">
        <f t="shared" si="10"/>
        <v>GbpLibor1M</v>
      </c>
      <c r="H50" s="59" t="str">
        <f t="shared" si="11"/>
        <v>GBP1L6L28Y_LCHQuote</v>
      </c>
      <c r="I50" s="154">
        <v>0</v>
      </c>
      <c r="J50" s="64" t="str">
        <f>_xll.qlSwapRateHelper2(,$H50,0,$B50,Calendar,$D50,$E50,$F50,$G50,$I50,$C50,Discounting1,PillarDate,,Permanent,Trigger,ObjectOverwrite)</f>
        <v>obj_00594#0005</v>
      </c>
      <c r="K50" s="64" t="str">
        <f>_xll.qlSwapRateHelper2(,$H50,0,$B50,Calendar,$D50,$E50,$F50,$G50,$I50,$C50,Discounting2,PillarDate,,Permanent,Trigger,ObjectOverwrite)</f>
        <v>obj_005cb#0005</v>
      </c>
      <c r="M50" s="10" t="str">
        <f t="shared" si="7"/>
        <v>BasSw</v>
      </c>
      <c r="N50" s="94" t="str">
        <f t="shared" si="8"/>
        <v>obj_005ce#0005</v>
      </c>
      <c r="O50" s="94" t="str">
        <f t="shared" si="9"/>
        <v>obj_00589#0005</v>
      </c>
      <c r="P50" s="146" t="str">
        <f>IFERROR(_xll.qlRateHelperQuoteName(N50,Trigger),"--")</f>
        <v>GBP1L6L40Y_LCHQuote</v>
      </c>
      <c r="Q50" s="98">
        <f>IFERROR(_xll.qlRateHelperQuoteValue($N50,Trigger),"--")</f>
        <v>1.90739999999999E-2</v>
      </c>
      <c r="R50" s="141" t="b">
        <v>1</v>
      </c>
      <c r="S50" s="94">
        <v>10</v>
      </c>
      <c r="T50" s="94">
        <v>1</v>
      </c>
      <c r="U50" s="99">
        <f>IFERROR(_xll.qlRateHelperEarliestDate(N50,Trigger),"--")</f>
        <v>42304</v>
      </c>
      <c r="V50" s="99">
        <f>IFERROR(_xll.qlRateHelperPillarDate(N50,Trigger),"--")</f>
        <v>56914</v>
      </c>
      <c r="X50" s="4" t="str">
        <f t="shared" si="12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117</v>
      </c>
      <c r="B51" s="60" t="s">
        <v>110</v>
      </c>
      <c r="C51" s="61" t="s">
        <v>6</v>
      </c>
      <c r="D51" s="61" t="s">
        <v>158</v>
      </c>
      <c r="E51" s="61" t="s">
        <v>7</v>
      </c>
      <c r="F51" s="61" t="s">
        <v>159</v>
      </c>
      <c r="G51" s="61" t="str">
        <f t="shared" si="10"/>
        <v>GbpLibor1M</v>
      </c>
      <c r="H51" s="59" t="str">
        <f t="shared" si="11"/>
        <v>GBP1L6L29Y_LCHQuote</v>
      </c>
      <c r="I51" s="154">
        <v>0</v>
      </c>
      <c r="J51" s="64" t="str">
        <f>_xll.qlSwapRateHelper2(,$H51,0,$B51,Calendar,$D51,$E51,$F51,$G51,$I51,$C51,Discounting1,PillarDate,,Permanent,Trigger,ObjectOverwrite)</f>
        <v>obj_0057a#0005</v>
      </c>
      <c r="K51" s="64" t="str">
        <f>_xll.qlSwapRateHelper2(,$H51,0,$B51,Calendar,$D51,$E51,$F51,$G51,$I51,$C51,Discounting2,PillarDate,,Permanent,Trigger,ObjectOverwrite)</f>
        <v>obj_005c1#0005</v>
      </c>
      <c r="M51" s="10" t="str">
        <f t="shared" si="7"/>
        <v>BasSw</v>
      </c>
      <c r="N51" s="94" t="str">
        <f t="shared" si="8"/>
        <v>obj_005ae#0005</v>
      </c>
      <c r="O51" s="94" t="str">
        <f t="shared" si="9"/>
        <v>obj_005b7#0005</v>
      </c>
      <c r="P51" s="146" t="str">
        <f>IFERROR(_xll.qlRateHelperQuoteName(N51,Trigger),"--")</f>
        <v>GBP1L6L50Y_LCHQuote</v>
      </c>
      <c r="Q51" s="98">
        <f>IFERROR(_xll.qlRateHelperQuoteValue($N51,Trigger),"--")</f>
        <v>1.88335000000001E-2</v>
      </c>
      <c r="R51" s="141" t="b">
        <v>1</v>
      </c>
      <c r="S51" s="94">
        <v>10</v>
      </c>
      <c r="T51" s="94">
        <v>1</v>
      </c>
      <c r="U51" s="99">
        <f>IFERROR(_xll.qlRateHelperEarliestDate(N51,Trigger),"--")</f>
        <v>42304</v>
      </c>
      <c r="V51" s="99">
        <f>IFERROR(_xll.qlRateHelperPillarDate(N51,Trigger),"--")</f>
        <v>60567</v>
      </c>
      <c r="X51" s="4" t="str">
        <f t="shared" si="12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117</v>
      </c>
      <c r="B52" s="60" t="s">
        <v>65</v>
      </c>
      <c r="C52" s="61" t="s">
        <v>6</v>
      </c>
      <c r="D52" s="61" t="s">
        <v>158</v>
      </c>
      <c r="E52" s="61" t="s">
        <v>7</v>
      </c>
      <c r="F52" s="61" t="s">
        <v>159</v>
      </c>
      <c r="G52" s="61" t="str">
        <f t="shared" si="10"/>
        <v>GbpLibor1M</v>
      </c>
      <c r="H52" s="59" t="str">
        <f t="shared" si="11"/>
        <v>GBP1L6L30Y_LCHQuote</v>
      </c>
      <c r="I52" s="154">
        <v>0</v>
      </c>
      <c r="J52" s="64" t="str">
        <f>_xll.qlSwapRateHelper2(,$H52,0,$B52,Calendar,$D52,$E52,$F52,$G52,$I52,$C52,Discounting1,PillarDate,,Permanent,Trigger,ObjectOverwrite)</f>
        <v>obj_0058f#0005</v>
      </c>
      <c r="K52" s="64" t="str">
        <f>_xll.qlSwapRateHelper2(,$H52,0,$B52,Calendar,$D52,$E52,$F52,$G52,$I52,$C52,Discounting2,PillarDate,,Permanent,Trigger,ObjectOverwrite)</f>
        <v>obj_005a9#0005</v>
      </c>
      <c r="M52" s="11" t="str">
        <f t="shared" si="7"/>
        <v>BasSw</v>
      </c>
      <c r="N52" s="95" t="str">
        <f t="shared" si="8"/>
        <v>obj_005d9#0005</v>
      </c>
      <c r="O52" s="95" t="str">
        <f t="shared" si="9"/>
        <v>obj_0059d#0005</v>
      </c>
      <c r="P52" s="147" t="str">
        <f>IFERROR(_xll.qlRateHelperQuoteName(N52,Trigger),"--")</f>
        <v>GBP1L6L60Y_LCHQuote</v>
      </c>
      <c r="Q52" s="101">
        <f>IFERROR(_xll.qlRateHelperQuoteValue($N52,Trigger),"--")</f>
        <v>1.8918000000000101E-2</v>
      </c>
      <c r="R52" s="144" t="b">
        <v>1</v>
      </c>
      <c r="S52" s="95">
        <v>10</v>
      </c>
      <c r="T52" s="95">
        <v>1</v>
      </c>
      <c r="U52" s="102">
        <f>IFERROR(_xll.qlRateHelperEarliestDate(N52,Trigger),"--")</f>
        <v>42304</v>
      </c>
      <c r="V52" s="102">
        <f>IFERROR(_xll.qlRateHelperPillarDate(N52,Trigger),"--")</f>
        <v>64220</v>
      </c>
      <c r="X52" s="6" t="str">
        <f t="shared" si="12"/>
        <v/>
      </c>
      <c r="Y52" s="6" t="e">
        <v>#N/A</v>
      </c>
      <c r="Z52" s="6" t="e">
        <v>#N/A</v>
      </c>
      <c r="AA52" s="6" t="str">
        <f>IFERROR(_xll.qlRateHelperQuoteName(Y52,Trigger),"")</f>
        <v/>
      </c>
      <c r="AB52" s="79" t="str">
        <f>IFERROR(_xll.qlRateHelperRate(Y52,Trigger),"")</f>
        <v/>
      </c>
      <c r="AC52" s="105" t="str">
        <f>IF(ISERROR(_xll.qlSwapRateHelperSpread($Y52)),IF(ISERROR(_xll.qlFuturesRateHelperConvexityAdjustment($Y52)),"",_xll.qlFuturesRateHelperConvexityAdjustment($Y52)),_xll.qlSwapRateHelperSpread($Y52))</f>
        <v/>
      </c>
      <c r="AD52" s="12" t="str">
        <f>IFERROR(_xll.qlRateHelperEarliestDate(Y52,Trigger),"")</f>
        <v/>
      </c>
      <c r="AE52" s="12" t="str">
        <f>IFERROR(_xll.qlRateHelperPillarDate(Y52,Trigger),"")</f>
        <v/>
      </c>
      <c r="AF52" s="79" t="e">
        <v>#N/A</v>
      </c>
      <c r="AG52" s="78" t="e">
        <v>#N/A</v>
      </c>
      <c r="AH52" s="169" t="e">
        <v>#N/A</v>
      </c>
      <c r="AI52" s="170" t="e">
        <v>#N/A</v>
      </c>
      <c r="AJ52" s="172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117</v>
      </c>
      <c r="B53" s="60" t="s">
        <v>66</v>
      </c>
      <c r="C53" s="61" t="s">
        <v>6</v>
      </c>
      <c r="D53" s="61" t="s">
        <v>158</v>
      </c>
      <c r="E53" s="61" t="s">
        <v>7</v>
      </c>
      <c r="F53" s="61" t="s">
        <v>159</v>
      </c>
      <c r="G53" s="61" t="str">
        <f t="shared" si="10"/>
        <v>GbpLibor1M</v>
      </c>
      <c r="H53" s="59" t="str">
        <f t="shared" si="11"/>
        <v>GBP1L6L35Y_LCHQuote</v>
      </c>
      <c r="I53" s="154">
        <v>0</v>
      </c>
      <c r="J53" s="64" t="str">
        <f>_xll.qlSwapRateHelper2(,$H53,0,$B53,Calendar,$D53,$E53,$F53,$G53,$I53,$C53,Discounting1,PillarDate,,Permanent,Trigger,ObjectOverwrite)</f>
        <v>obj_0059e#0005</v>
      </c>
      <c r="K53" s="64" t="str">
        <f>_xll.qlSwapRateHelper2(,$H53,0,$B53,Calendar,$D53,$E53,$F53,$G53,$I53,$C53,Discounting2,PillarDate,,Permanent,Trigger,ObjectOverwrite)</f>
        <v>obj_005d5#0005</v>
      </c>
      <c r="M53" s="160"/>
      <c r="AH53" s="169"/>
      <c r="AI53" s="170"/>
    </row>
    <row r="54" spans="1:38" ht="11.25" customHeight="1" x14ac:dyDescent="0.2">
      <c r="A54" s="59" t="s">
        <v>117</v>
      </c>
      <c r="B54" s="60" t="s">
        <v>67</v>
      </c>
      <c r="C54" s="61" t="s">
        <v>6</v>
      </c>
      <c r="D54" s="61" t="s">
        <v>158</v>
      </c>
      <c r="E54" s="61" t="s">
        <v>7</v>
      </c>
      <c r="F54" s="61" t="s">
        <v>159</v>
      </c>
      <c r="G54" s="61" t="str">
        <f t="shared" si="10"/>
        <v>GbpLibor1M</v>
      </c>
      <c r="H54" s="59" t="str">
        <f t="shared" si="11"/>
        <v>GBP1L6L40Y_LCHQuote</v>
      </c>
      <c r="I54" s="154">
        <v>0</v>
      </c>
      <c r="J54" s="64" t="str">
        <f>_xll.qlSwapRateHelper2(,$H54,0,$B54,Calendar,$D54,$E54,$F54,$G54,$I54,$C54,Discounting1,PillarDate,,Permanent,Trigger,ObjectOverwrite)</f>
        <v>obj_005ce#0005</v>
      </c>
      <c r="K54" s="64" t="str">
        <f>_xll.qlSwapRateHelper2(,$H54,0,$B54,Calendar,$D54,$E54,$F54,$G54,$I54,$C54,Discounting2,PillarDate,,Permanent,Trigger,ObjectOverwrite)</f>
        <v>obj_00589#0005</v>
      </c>
      <c r="AH54" s="169"/>
      <c r="AI54" s="170"/>
    </row>
    <row r="55" spans="1:38" ht="11.25" customHeight="1" x14ac:dyDescent="0.2">
      <c r="A55" s="59" t="s">
        <v>117</v>
      </c>
      <c r="B55" s="60" t="s">
        <v>68</v>
      </c>
      <c r="C55" s="61" t="s">
        <v>6</v>
      </c>
      <c r="D55" s="61" t="s">
        <v>158</v>
      </c>
      <c r="E55" s="61" t="s">
        <v>7</v>
      </c>
      <c r="F55" s="61" t="s">
        <v>159</v>
      </c>
      <c r="G55" s="61" t="str">
        <f t="shared" si="10"/>
        <v>GbpLibor1M</v>
      </c>
      <c r="H55" s="59" t="str">
        <f t="shared" si="11"/>
        <v>GBP1L6L50Y_LCHQuote</v>
      </c>
      <c r="I55" s="154">
        <v>0</v>
      </c>
      <c r="J55" s="64" t="str">
        <f>_xll.qlSwapRateHelper2(,$H55,0,$B55,Calendar,$D55,$E55,$F55,$G55,$I55,$C55,Discounting1,PillarDate,,Permanent,Trigger,ObjectOverwrite)</f>
        <v>obj_005ae#0005</v>
      </c>
      <c r="K55" s="64" t="str">
        <f>_xll.qlSwapRateHelper2(,$H55,0,$B55,Calendar,$D55,$E55,$F55,$G55,$I55,$C55,Discounting2,PillarDate,,Permanent,Trigger,ObjectOverwrite)</f>
        <v>obj_005b7#0005</v>
      </c>
      <c r="AH55" s="169"/>
      <c r="AI55" s="170"/>
    </row>
    <row r="56" spans="1:38" ht="11.25" customHeight="1" x14ac:dyDescent="0.2">
      <c r="A56" s="1" t="s">
        <v>117</v>
      </c>
      <c r="B56" s="8" t="s">
        <v>111</v>
      </c>
      <c r="C56" s="7" t="s">
        <v>6</v>
      </c>
      <c r="D56" s="7" t="s">
        <v>158</v>
      </c>
      <c r="E56" s="7" t="s">
        <v>7</v>
      </c>
      <c r="F56" s="7" t="s">
        <v>159</v>
      </c>
      <c r="G56" s="7" t="str">
        <f t="shared" si="10"/>
        <v>GbpLibor1M</v>
      </c>
      <c r="H56" s="1" t="str">
        <f t="shared" si="11"/>
        <v>GBP1L6L60Y_LCHQuote</v>
      </c>
      <c r="I56" s="155">
        <v>0</v>
      </c>
      <c r="J56" s="3" t="str">
        <f>_xll.qlSwapRateHelper2(,$H56,0,$B56,Calendar,$D56,$E56,$F56,$G56,$I56,$C56,Discounting1,PillarDate,,Permanent,Trigger,ObjectOverwrite)</f>
        <v>obj_005d9#0005</v>
      </c>
      <c r="K56" s="3" t="str">
        <f>_xll.qlSwapRateHelper2(,$H56,0,$B56,Calendar,$D56,$E56,$F56,$G56,$I56,$C56,Discounting2,PillarDate,,Permanent,Trigger,ObjectOverwrite)</f>
        <v>obj_0059d#0005</v>
      </c>
      <c r="AH56" s="169"/>
      <c r="AI56" s="170"/>
    </row>
    <row r="57" spans="1:38" ht="11.25" customHeight="1" x14ac:dyDescent="0.2">
      <c r="AH57" s="169"/>
      <c r="AI57" s="170"/>
    </row>
    <row r="58" spans="1:38" ht="11.25" customHeight="1" x14ac:dyDescent="0.2">
      <c r="AH58" s="169"/>
      <c r="AI58" s="170"/>
    </row>
    <row r="59" spans="1:38" ht="11.25" customHeight="1" x14ac:dyDescent="0.2">
      <c r="AH59" s="169"/>
      <c r="AI59" s="170"/>
    </row>
    <row r="60" spans="1:38" ht="11.25" customHeight="1" x14ac:dyDescent="0.2">
      <c r="AH60" s="169"/>
      <c r="AI60" s="170"/>
    </row>
    <row r="61" spans="1:38" ht="11.25" customHeight="1" x14ac:dyDescent="0.2">
      <c r="AH61" s="169"/>
      <c r="AI61" s="170"/>
    </row>
    <row r="62" spans="1:38" ht="11.25" customHeight="1" x14ac:dyDescent="0.2">
      <c r="AH62" s="169"/>
      <c r="AI62" s="170"/>
    </row>
    <row r="63" spans="1:38" ht="11.25" customHeight="1" x14ac:dyDescent="0.2">
      <c r="AH63" s="169"/>
      <c r="AI63" s="170"/>
    </row>
    <row r="64" spans="1:38" ht="11.25" customHeight="1" x14ac:dyDescent="0.2">
      <c r="AH64" s="169"/>
      <c r="AI64" s="170"/>
    </row>
    <row r="65" spans="34:35" ht="11.25" customHeight="1" x14ac:dyDescent="0.2">
      <c r="AH65" s="169"/>
      <c r="AI65" s="170"/>
    </row>
    <row r="66" spans="34:35" ht="11.25" customHeight="1" x14ac:dyDescent="0.2">
      <c r="AH66" s="169"/>
      <c r="AI66" s="170"/>
    </row>
    <row r="67" spans="34:35" ht="11.25" customHeight="1" x14ac:dyDescent="0.2">
      <c r="AH67" s="169"/>
      <c r="AI67" s="170"/>
    </row>
    <row r="68" spans="34:35" ht="11.25" customHeight="1" x14ac:dyDescent="0.2">
      <c r="AH68" s="169"/>
      <c r="AI68" s="170"/>
    </row>
    <row r="69" spans="34:35" ht="11.25" customHeight="1" x14ac:dyDescent="0.2">
      <c r="AH69" s="169"/>
      <c r="AI69" s="170"/>
    </row>
    <row r="70" spans="34:35" ht="11.25" customHeight="1" x14ac:dyDescent="0.2">
      <c r="AH70" s="169"/>
      <c r="AI70" s="170"/>
    </row>
    <row r="71" spans="34:35" ht="11.25" customHeight="1" x14ac:dyDescent="0.2">
      <c r="AH71" s="169"/>
      <c r="AI71" s="170"/>
    </row>
    <row r="72" spans="34:35" ht="11.25" customHeight="1" x14ac:dyDescent="0.2">
      <c r="AH72" s="169"/>
      <c r="AI72" s="170"/>
    </row>
    <row r="73" spans="34:35" ht="11.25" customHeight="1" x14ac:dyDescent="0.2">
      <c r="AH73" s="169"/>
      <c r="AI73" s="170"/>
    </row>
    <row r="74" spans="34:35" ht="11.25" customHeight="1" x14ac:dyDescent="0.2">
      <c r="AH74" s="169"/>
      <c r="AI74" s="170"/>
    </row>
    <row r="75" spans="34:35" ht="11.25" customHeight="1" x14ac:dyDescent="0.2">
      <c r="AH75" s="169"/>
      <c r="AI75" s="170"/>
    </row>
    <row r="76" spans="34:35" ht="11.25" customHeight="1" x14ac:dyDescent="0.2">
      <c r="AH76" s="169"/>
      <c r="AI76" s="170"/>
    </row>
    <row r="77" spans="34:35" ht="11.25" customHeight="1" x14ac:dyDescent="0.2">
      <c r="AH77" s="169"/>
      <c r="AI77" s="170"/>
    </row>
    <row r="78" spans="34:35" ht="11.25" customHeight="1" x14ac:dyDescent="0.2">
      <c r="AH78" s="169"/>
      <c r="AI78" s="170"/>
    </row>
    <row r="79" spans="34:35" ht="11.25" customHeight="1" x14ac:dyDescent="0.2">
      <c r="AH79" s="169"/>
      <c r="AI79" s="170"/>
    </row>
    <row r="80" spans="34:35" ht="11.25" customHeight="1" x14ac:dyDescent="0.2">
      <c r="AH80" s="169"/>
      <c r="AI80" s="170"/>
    </row>
    <row r="81" spans="12:35" x14ac:dyDescent="0.2">
      <c r="AH81" s="169"/>
      <c r="AI81" s="170"/>
    </row>
    <row r="82" spans="12:35" x14ac:dyDescent="0.2">
      <c r="AH82" s="169"/>
      <c r="AI82" s="170"/>
    </row>
    <row r="83" spans="12:35" x14ac:dyDescent="0.2">
      <c r="AH83" s="169"/>
      <c r="AI83" s="170"/>
    </row>
    <row r="84" spans="12:35" x14ac:dyDescent="0.2">
      <c r="AH84" s="169"/>
      <c r="AI84" s="170"/>
    </row>
    <row r="85" spans="12:35" x14ac:dyDescent="0.2">
      <c r="AH85" s="169"/>
      <c r="AI85" s="170"/>
    </row>
    <row r="86" spans="12:35" x14ac:dyDescent="0.2">
      <c r="AH86" s="169"/>
      <c r="AI86" s="170"/>
    </row>
    <row r="87" spans="12:35" x14ac:dyDescent="0.2">
      <c r="AH87" s="169"/>
      <c r="AI87" s="170"/>
    </row>
    <row r="88" spans="12:35" x14ac:dyDescent="0.2">
      <c r="AH88" s="169"/>
      <c r="AI88" s="170"/>
    </row>
    <row r="89" spans="12:35" x14ac:dyDescent="0.2">
      <c r="AH89" s="169"/>
      <c r="AI89" s="170"/>
    </row>
    <row r="90" spans="12:35" x14ac:dyDescent="0.2">
      <c r="L90" s="46" t="s">
        <v>35</v>
      </c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6:D16 D19:D56">
      <formula1>"Annual,Semiannual,EveryFourthMonth,Quarterly,Bimonthly,Monthly,Biweekly,Weekly,Daily,Once,NoFrequency"</formula1>
    </dataValidation>
    <dataValidation type="list" allowBlank="1" showInputMessage="1" showErrorMessage="1" sqref="E6:E16 E19:E56">
      <formula1>"Following,Modified Following,Preceding,Modified Preceding,Unadjusted,Half-Month Modified Following"</formula1>
    </dataValidation>
    <dataValidation type="list" allowBlank="1" showInputMessage="1" showErrorMessage="1" sqref="F6:F16 F19:F5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2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11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9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5" width="10.85546875" style="46" hidden="1" customWidth="1" outlineLevel="1"/>
    <col min="36" max="36" width="10" style="46" hidden="1" customWidth="1" outlineLevel="1"/>
    <col min="37" max="37" width="12" style="46" hidden="1" customWidth="1" outlineLevel="1"/>
    <col min="38" max="38" width="10.85546875" style="46" hidden="1" customWidth="1" outlineLevel="1"/>
    <col min="39" max="39" width="3.28515625" style="46" customWidth="1" collapsed="1"/>
    <col min="40" max="40" width="24.42578125" style="46" bestFit="1" customWidth="1"/>
    <col min="41" max="41" width="9" style="46" bestFit="1" customWidth="1"/>
    <col min="42" max="16384" width="9.140625" style="46"/>
  </cols>
  <sheetData>
    <row r="1" spans="1:41" ht="18" customHeight="1" x14ac:dyDescent="0.2">
      <c r="G1" s="50" t="s">
        <v>27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GBP1Y</v>
      </c>
      <c r="Y1" s="66"/>
      <c r="Z1" s="66"/>
      <c r="AA1" s="66"/>
      <c r="AB1" s="69"/>
      <c r="AC1" s="69"/>
      <c r="AD1" s="66"/>
      <c r="AE1" s="66"/>
      <c r="AF1" s="73" t="s">
        <v>131</v>
      </c>
      <c r="AG1" s="73" t="s">
        <v>139</v>
      </c>
      <c r="AN1" s="46" t="s">
        <v>120</v>
      </c>
    </row>
    <row r="2" spans="1:41" ht="21.75" customHeight="1" x14ac:dyDescent="0.2">
      <c r="A2" s="65" t="s">
        <v>9</v>
      </c>
      <c r="B2" s="65" t="s">
        <v>28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136</v>
      </c>
      <c r="K2" s="65" t="s">
        <v>138</v>
      </c>
      <c r="M2" s="73" t="s">
        <v>9</v>
      </c>
      <c r="N2" s="73" t="s">
        <v>136</v>
      </c>
      <c r="O2" s="73" t="s">
        <v>137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136</v>
      </c>
      <c r="Z2" s="73" t="s">
        <v>137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71">
        <f t="array" ref="AF2:AF53">_xll.qlPiecewiseYieldCurveData(yieldcurve1_1Y,Trigger)</f>
        <v>1.0135816928296336E-2</v>
      </c>
      <c r="AG2" s="76">
        <f t="array" ref="AG2:AG53">_xll.qlPiecewiseYieldCurveData(yieldcurve2_1Y,Trigger)</f>
        <v>1</v>
      </c>
      <c r="AJ2" s="46" t="s">
        <v>140</v>
      </c>
      <c r="AL2" s="46" t="s">
        <v>141</v>
      </c>
      <c r="AN2" s="213" t="s">
        <v>84</v>
      </c>
      <c r="AO2" s="214"/>
    </row>
    <row r="3" spans="1:41" ht="11.25" customHeight="1" x14ac:dyDescent="0.2">
      <c r="A3" s="1" t="s">
        <v>26</v>
      </c>
      <c r="B3" s="8" t="s">
        <v>27</v>
      </c>
      <c r="C3" s="124"/>
      <c r="D3" s="124"/>
      <c r="E3" s="124"/>
      <c r="F3" s="124"/>
      <c r="G3" s="7" t="str">
        <f>PROPER(Currency)&amp;FamilyName&amp;B3</f>
        <v>GbpLibor1Y</v>
      </c>
      <c r="H3" s="121" t="str">
        <f>IF(LCHQuoteOverwrite,Currency&amp;SUBSTITUTE($B3,"1Y","12M")&amp;"D"&amp;LCHQuoteSuffix,Currency&amp;$B3&amp;"D"&amp;QuoteSuffix)</f>
        <v>GBP12MD_LCHQuote</v>
      </c>
      <c r="I3" s="124"/>
      <c r="J3" s="3" t="str">
        <f>_xll.qlDepositRateHelper(,H3,G3,Permanent,Trigger,ObjectOverwrite)</f>
        <v>obj_00679#0005</v>
      </c>
      <c r="K3" s="3" t="str">
        <f>J3</f>
        <v>obj_00679#0005</v>
      </c>
      <c r="L3" s="49"/>
      <c r="M3" s="11" t="str">
        <f>A3</f>
        <v>Dp</v>
      </c>
      <c r="N3" s="95" t="str">
        <f>IF(ISBLANK(J3),"--",J3)</f>
        <v>obj_00679#0005</v>
      </c>
      <c r="O3" s="95" t="str">
        <f>IF(ISBLANK(K3),"--",K3)</f>
        <v>obj_00679#0005</v>
      </c>
      <c r="P3" s="147" t="str">
        <f>IFERROR(_xll.qlRateHelperQuoteName(N3,Trigger),"--")</f>
        <v>GBP12MD_LCHQuote</v>
      </c>
      <c r="Q3" s="101">
        <f>IFERROR(_xll.qlRateHelperQuoteValue($N3,Trigger),"--")</f>
        <v>1.01875E-2</v>
      </c>
      <c r="R3" s="100" t="b">
        <v>1</v>
      </c>
      <c r="S3" s="95">
        <v>30</v>
      </c>
      <c r="T3" s="95">
        <v>1</v>
      </c>
      <c r="U3" s="102">
        <f>IFERROR(_xll.qlRateHelperEarliestDate(N3,Trigger),"--")</f>
        <v>42304</v>
      </c>
      <c r="V3" s="102">
        <f>IFERROR(_xll.qlRateHelperPillarDate(N3,Trigger),"--")</f>
        <v>42670</v>
      </c>
      <c r="X3" s="4" t="str">
        <f t="shared" ref="X3:X16" si="0">IFERROR(INDEX($M$3:$M$53,MATCH(AA3,$P$3:$P$53,0),1),"")</f>
        <v>Dp</v>
      </c>
      <c r="Y3" s="4" t="str">
        <f t="array" ref="Y3:Y53">_xll.qlRateHelperSelection(_xll.ohFilter(RateHelpers1,IncludeFlag),_xll.ohFilter(Priority,IncludeFlag),$AO$3,$AO$4,$AO$5,$AO$6,_xll.ohFilter(MinDistance,IncludeFlag),Trigger)</f>
        <v>obj_00679</v>
      </c>
      <c r="Z3" s="4" t="str">
        <f t="array" ref="Z3:Z53">_xll.qlRateHelperSelection(_xll.ohFilter(RateHelpers2,IncludeFlag),_xll.ohFilter(Priority,IncludeFlag),$AO$3,$AO$4,$AO$5,$AO$6,_xll.ohFilter(MinDistance,IncludeFlag),Trigger)</f>
        <v>obj_00679</v>
      </c>
      <c r="AA3" s="4" t="str">
        <f>IFERROR(_xll.qlRateHelperQuoteName(Y3,Trigger),"")</f>
        <v>GBP12MD_LCHQuote</v>
      </c>
      <c r="AB3" s="70">
        <f>IFERROR(_xll.qlRateHelperRate(Y3,Trigger),"")</f>
        <v>1.01875E-2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42304</v>
      </c>
      <c r="AE3" s="5">
        <f>IFERROR(_xll.qlRateHelperPillarDate(Y3,Trigger),"")</f>
        <v>42670</v>
      </c>
      <c r="AF3" s="70">
        <v>1.0135816928296336E-2</v>
      </c>
      <c r="AG3" s="77">
        <v>0.98988788841658293</v>
      </c>
      <c r="AH3" s="169">
        <f t="array" ref="AH3:AH53">_xll.ohFilter([1]REP00100!$C$2:$C$2000,([1]REP00100!$A$2:$A$2000="GBP_LIBOR_12M_EOD"))</f>
        <v>42670</v>
      </c>
      <c r="AI3" s="170">
        <f t="array" ref="AI3:AI53">_xll.ohFilter([1]REP00100!$E$2:$E$2000,([1]REP00100!$A$2:$A$2000="GBP_LIBOR_12M_EOD"))</f>
        <v>1.01358169282964E-2</v>
      </c>
      <c r="AJ3" s="172">
        <f>AF3-AI3</f>
        <v>-6.4184768611141862E-17</v>
      </c>
      <c r="AK3" s="80">
        <f t="array" ref="AK3:AK53">_xll.ohFilter([1]REP00101!$F$2:$F$2000,([1]REP00101!$A$2:$A$2000="GBP_LIBOR_12M_EOD"))</f>
        <v>0.98988788841658304</v>
      </c>
      <c r="AL3" s="161">
        <f>AG3-AK3</f>
        <v>0</v>
      </c>
      <c r="AM3" s="161"/>
      <c r="AN3" s="107" t="s">
        <v>85</v>
      </c>
      <c r="AO3" s="108">
        <v>0</v>
      </c>
    </row>
    <row r="4" spans="1:41" ht="11.25" customHeight="1" x14ac:dyDescent="0.2">
      <c r="B4" s="46"/>
      <c r="C4" s="46" t="s">
        <v>115</v>
      </c>
      <c r="D4" s="46"/>
      <c r="E4" s="46"/>
      <c r="F4" s="46"/>
      <c r="G4" s="46"/>
      <c r="H4" s="46"/>
      <c r="L4" s="48"/>
      <c r="M4" s="68" t="str">
        <f t="shared" ref="M4" si="1">A6</f>
        <v>FRA</v>
      </c>
      <c r="N4" s="131" t="str">
        <f t="shared" ref="N4" si="2">IF(ISBLANK(J6),"--",J6)</f>
        <v>obj_00678#0005</v>
      </c>
      <c r="O4" s="131" t="str">
        <f t="shared" ref="O4" si="3">IF(ISBLANK(K6),"--",K6)</f>
        <v>obj_00678#0005</v>
      </c>
      <c r="P4" s="145" t="str">
        <f>IFERROR(_xll.qlRateHelperQuoteName(N4,Trigger),"--")</f>
        <v>GBP1x13F_LCHQuote</v>
      </c>
      <c r="Q4" s="133">
        <f>IFERROR(_xll.qlRateHelperQuoteValue($N4,Trigger),"--")</f>
        <v>1.06E-2</v>
      </c>
      <c r="R4" s="132" t="b">
        <v>1</v>
      </c>
      <c r="S4" s="131">
        <v>10</v>
      </c>
      <c r="T4" s="131">
        <v>1</v>
      </c>
      <c r="U4" s="134">
        <f>IFERROR(_xll.qlRateHelperEarliestDate(N4,Trigger),"--")</f>
        <v>42335</v>
      </c>
      <c r="V4" s="134">
        <f>IFERROR(_xll.qlRateHelperPillarDate(N4,Trigger),"--")</f>
        <v>42702</v>
      </c>
      <c r="X4" s="4" t="str">
        <f t="shared" si="0"/>
        <v>FRA</v>
      </c>
      <c r="Y4" s="4" t="str">
        <v>obj_00678</v>
      </c>
      <c r="Z4" s="4" t="str">
        <v>obj_00678</v>
      </c>
      <c r="AA4" s="4" t="str">
        <f>IFERROR(_xll.qlRateHelperQuoteName(Y4,Trigger),"")</f>
        <v>GBP1x13F_LCHQuote</v>
      </c>
      <c r="AB4" s="70">
        <f>IFERROR(_xll.qlRateHelperRate(Y4,Trigger),"")</f>
        <v>1.06E-2</v>
      </c>
      <c r="AC4" s="104" t="str">
        <f>IF(ISERROR(_xll.qlSwapRateHelperSpread($Y4)),IF(ISERROR(_xll.qlFuturesRateHelperConvexityAdjustment($Y4)),"",_xll.qlFuturesRateHelperConvexityAdjustment($Y4)),_xll.qlSwapRateHelperSpread($Y4))</f>
        <v/>
      </c>
      <c r="AD4" s="5">
        <f>IFERROR(_xll.qlRateHelperEarliestDate(Y4,Trigger),"")</f>
        <v>42335</v>
      </c>
      <c r="AE4" s="5">
        <f>IFERROR(_xll.qlRateHelperPillarDate(Y4,Trigger),"")</f>
        <v>42702</v>
      </c>
      <c r="AF4" s="70">
        <v>1.0512124180009902E-2</v>
      </c>
      <c r="AG4" s="77">
        <v>0.9886029091595504</v>
      </c>
      <c r="AH4" s="169">
        <v>42702</v>
      </c>
      <c r="AI4" s="170">
        <v>1.0512124180009699E-2</v>
      </c>
      <c r="AJ4" s="172">
        <f t="shared" ref="AJ4:AJ53" si="4">AF4-AI4</f>
        <v>2.0296264668928643E-16</v>
      </c>
      <c r="AK4" s="80">
        <v>0.98860290915951199</v>
      </c>
      <c r="AL4" s="161">
        <f t="shared" ref="AL4:AL53" si="5">AG4-AK4</f>
        <v>3.8413716652030416E-14</v>
      </c>
      <c r="AM4" s="161"/>
      <c r="AN4" s="107" t="s">
        <v>86</v>
      </c>
      <c r="AO4" s="108">
        <v>0</v>
      </c>
    </row>
    <row r="5" spans="1:41" ht="11.25" customHeight="1" x14ac:dyDescent="0.2">
      <c r="A5" s="65" t="s">
        <v>9</v>
      </c>
      <c r="B5" s="65" t="s">
        <v>90</v>
      </c>
      <c r="C5" s="65" t="s">
        <v>91</v>
      </c>
      <c r="D5" s="65"/>
      <c r="E5" s="65"/>
      <c r="F5" s="65"/>
      <c r="G5" s="65" t="s">
        <v>4</v>
      </c>
      <c r="H5" s="65" t="s">
        <v>1</v>
      </c>
      <c r="I5" s="65"/>
      <c r="J5" s="65" t="s">
        <v>136</v>
      </c>
      <c r="K5" s="65" t="s">
        <v>138</v>
      </c>
      <c r="L5" s="48"/>
      <c r="M5" s="10" t="str">
        <f t="shared" ref="M5:M15" si="6">A7</f>
        <v>FRA</v>
      </c>
      <c r="N5" s="94" t="str">
        <f t="shared" ref="N5:N15" si="7">IF(ISBLANK(J7),"--",J7)</f>
        <v>obj_00672#0005</v>
      </c>
      <c r="O5" s="94" t="str">
        <f t="shared" ref="O5:O15" si="8">IF(ISBLANK(K7),"--",K7)</f>
        <v>obj_00672#0005</v>
      </c>
      <c r="P5" s="146" t="str">
        <f>IFERROR(_xll.qlRateHelperQuoteName(N5,Trigger),"--")</f>
        <v>GBP2x14F_LCHQuote</v>
      </c>
      <c r="Q5" s="98">
        <f>IFERROR(_xll.qlRateHelperQuoteValue($N5,Trigger),"--")</f>
        <v>1.0800000000000001E-2</v>
      </c>
      <c r="R5" s="97" t="b">
        <v>1</v>
      </c>
      <c r="S5" s="94">
        <v>10</v>
      </c>
      <c r="T5" s="94">
        <v>1</v>
      </c>
      <c r="U5" s="99">
        <f>IFERROR(_xll.qlRateHelperEarliestDate(N5,Trigger),"--")</f>
        <v>42367</v>
      </c>
      <c r="V5" s="99">
        <f>IFERROR(_xll.qlRateHelperPillarDate(N5,Trigger),"--")</f>
        <v>42732</v>
      </c>
      <c r="X5" s="4" t="str">
        <f t="shared" si="0"/>
        <v>FRA</v>
      </c>
      <c r="Y5" s="4" t="str">
        <v>obj_00672</v>
      </c>
      <c r="Z5" s="4" t="str">
        <v>obj_00672</v>
      </c>
      <c r="AA5" s="4" t="str">
        <f>IFERROR(_xll.qlRateHelperQuoteName(Y5,Trigger),"")</f>
        <v>GBP2x14F_LCHQuote</v>
      </c>
      <c r="AB5" s="70">
        <f>IFERROR(_xll.qlRateHelperRate(Y5,Trigger),"")</f>
        <v>1.0800000000000001E-2</v>
      </c>
      <c r="AC5" s="104" t="str">
        <f>IF(ISERROR(_xll.qlSwapRateHelperSpread($Y5)),IF(ISERROR(_xll.qlFuturesRateHelperConvexityAdjustment($Y5)),"",_xll.qlFuturesRateHelperConvexityAdjustment($Y5)),_xll.qlSwapRateHelperSpread($Y5))</f>
        <v/>
      </c>
      <c r="AD5" s="5">
        <f>IFERROR(_xll.qlRateHelperEarliestDate(Y5,Trigger),"")</f>
        <v>42367</v>
      </c>
      <c r="AE5" s="5">
        <f>IFERROR(_xll.qlRateHelperPillarDate(Y5,Trigger),"")</f>
        <v>42732</v>
      </c>
      <c r="AF5" s="70">
        <v>1.0648605520799123E-2</v>
      </c>
      <c r="AG5" s="77">
        <v>0.98759033161984222</v>
      </c>
      <c r="AH5" s="169">
        <v>42732</v>
      </c>
      <c r="AI5" s="170">
        <v>1.0648605520799E-2</v>
      </c>
      <c r="AJ5" s="172">
        <f t="shared" si="4"/>
        <v>1.231653667943533E-16</v>
      </c>
      <c r="AK5" s="80">
        <v>0.98759033161901599</v>
      </c>
      <c r="AL5" s="161">
        <f t="shared" si="5"/>
        <v>8.262279749260415E-13</v>
      </c>
      <c r="AM5" s="161"/>
      <c r="AN5" s="107" t="s">
        <v>87</v>
      </c>
      <c r="AO5" s="108">
        <v>0</v>
      </c>
    </row>
    <row r="6" spans="1:41" ht="11.25" customHeight="1" x14ac:dyDescent="0.2">
      <c r="A6" s="53" t="s">
        <v>92</v>
      </c>
      <c r="B6" s="115">
        <v>1</v>
      </c>
      <c r="C6" s="56" t="str">
        <f t="shared" ref="C6:C17" si="9">"x"&amp;B6+SUBSTITUTE($C$4,"M","")&amp;"F"</f>
        <v>x13F</v>
      </c>
      <c r="D6" s="129"/>
      <c r="E6" s="129"/>
      <c r="F6" s="129"/>
      <c r="G6" s="55" t="str">
        <f t="shared" ref="G6:G17" si="10">PROPER(Currency)&amp;FamilyName&amp;Tenor</f>
        <v>GbpLibor1Y</v>
      </c>
      <c r="H6" s="118" t="str">
        <f t="shared" ref="H6:H17" si="11">IF(LCHQuoteOverwrite,Currency&amp;B6&amp;C6&amp;LCHQuoteSuffix,Currency&amp;B6&amp;C6&amp;QuoteSuffix)</f>
        <v>GBP1x13F_LCHQuote</v>
      </c>
      <c r="I6" s="129"/>
      <c r="J6" s="58" t="str">
        <f>_xll.qlFraRateHelper(,H6,B6&amp;"M",G6,PillarDate,,Permanent,Trigger,ObjectOverwrite)</f>
        <v>obj_00678#0005</v>
      </c>
      <c r="K6" s="58" t="str">
        <f>J6</f>
        <v>obj_00678#0005</v>
      </c>
      <c r="L6" s="48"/>
      <c r="M6" s="10" t="str">
        <f t="shared" si="6"/>
        <v>FRA</v>
      </c>
      <c r="N6" s="94" t="str">
        <f t="shared" si="7"/>
        <v>obj_00674#0005</v>
      </c>
      <c r="O6" s="94" t="str">
        <f t="shared" si="8"/>
        <v>obj_00674#0005</v>
      </c>
      <c r="P6" s="146" t="str">
        <f>IFERROR(_xll.qlRateHelperQuoteName(N6,Trigger),"--")</f>
        <v>GBP3x15F_LCHQuote</v>
      </c>
      <c r="Q6" s="98">
        <f>IFERROR(_xll.qlRateHelperQuoteValue($N6,Trigger),"--")</f>
        <v>1.0999999999999999E-2</v>
      </c>
      <c r="R6" s="97" t="b">
        <v>1</v>
      </c>
      <c r="S6" s="94">
        <v>10</v>
      </c>
      <c r="T6" s="94">
        <v>1</v>
      </c>
      <c r="U6" s="99">
        <f>IFERROR(_xll.qlRateHelperEarliestDate(N6,Trigger),"--")</f>
        <v>42396</v>
      </c>
      <c r="V6" s="99">
        <f>IFERROR(_xll.qlRateHelperPillarDate(N6,Trigger),"--")</f>
        <v>42762</v>
      </c>
      <c r="X6" s="4" t="str">
        <f t="shared" si="0"/>
        <v>FRA</v>
      </c>
      <c r="Y6" s="4" t="str">
        <v>obj_00674</v>
      </c>
      <c r="Z6" s="4" t="str">
        <v>obj_00674</v>
      </c>
      <c r="AA6" s="4" t="str">
        <f>IFERROR(_xll.qlRateHelperQuoteName(Y6,Trigger),"")</f>
        <v>GBP3x15F_LCHQuote</v>
      </c>
      <c r="AB6" s="70">
        <f>IFERROR(_xll.qlRateHelperRate(Y6,Trigger),"")</f>
        <v>1.0999999999999999E-2</v>
      </c>
      <c r="AC6" s="104" t="str">
        <f>IF(ISERROR(_xll.qlSwapRateHelperSpread($Y6)),IF(ISERROR(_xll.qlFuturesRateHelperConvexityAdjustment($Y6)),"",_xll.qlFuturesRateHelperConvexityAdjustment($Y6)),_xll.qlSwapRateHelperSpread($Y6))</f>
        <v/>
      </c>
      <c r="AD6" s="5">
        <f>IFERROR(_xll.qlRateHelperEarliestDate(Y6,Trigger),"")</f>
        <v>42396</v>
      </c>
      <c r="AE6" s="5">
        <f>IFERROR(_xll.qlRateHelperPillarDate(Y6,Trigger),"")</f>
        <v>42762</v>
      </c>
      <c r="AF6" s="70">
        <v>1.077828258897527E-2</v>
      </c>
      <c r="AG6" s="77">
        <v>0.98656651560983111</v>
      </c>
      <c r="AH6" s="169">
        <v>42762</v>
      </c>
      <c r="AI6" s="170">
        <v>1.0778282588974701E-2</v>
      </c>
      <c r="AJ6" s="172">
        <f t="shared" si="4"/>
        <v>5.6898930012039273E-16</v>
      </c>
      <c r="AK6" s="80">
        <v>0.98656651560983</v>
      </c>
      <c r="AL6" s="161">
        <f t="shared" si="5"/>
        <v>1.1102230246251565E-15</v>
      </c>
      <c r="AM6" s="161"/>
      <c r="AN6" s="107" t="s">
        <v>88</v>
      </c>
      <c r="AO6" s="109" t="s">
        <v>89</v>
      </c>
    </row>
    <row r="7" spans="1:41" ht="11.25" customHeight="1" x14ac:dyDescent="0.2">
      <c r="A7" s="59" t="s">
        <v>92</v>
      </c>
      <c r="B7" s="116">
        <v>2</v>
      </c>
      <c r="C7" s="62" t="str">
        <f t="shared" si="9"/>
        <v>x14F</v>
      </c>
      <c r="D7" s="123"/>
      <c r="E7" s="123"/>
      <c r="F7" s="123"/>
      <c r="G7" s="61" t="str">
        <f t="shared" si="10"/>
        <v>GbpLibor1Y</v>
      </c>
      <c r="H7" s="119" t="str">
        <f t="shared" si="11"/>
        <v>GBP2x14F_LCHQuote</v>
      </c>
      <c r="I7" s="123"/>
      <c r="J7" s="64" t="str">
        <f>_xll.qlFraRateHelper(,H7,B7&amp;"M",G7,PillarDate,,Permanent,Trigger,ObjectOverwrite)</f>
        <v>obj_00672#0005</v>
      </c>
      <c r="K7" s="64" t="str">
        <f t="shared" ref="K7:K17" si="12">J7</f>
        <v>obj_00672#0005</v>
      </c>
      <c r="L7" s="48"/>
      <c r="M7" s="10" t="str">
        <f t="shared" si="6"/>
        <v>FRA</v>
      </c>
      <c r="N7" s="94" t="str">
        <f t="shared" si="7"/>
        <v>obj_0066e#0005</v>
      </c>
      <c r="O7" s="94" t="str">
        <f t="shared" si="8"/>
        <v>obj_0066e#0005</v>
      </c>
      <c r="P7" s="146" t="str">
        <f>IFERROR(_xll.qlRateHelperQuoteName(N7,Trigger),"--")</f>
        <v>GBP4x16F_LCHQuote</v>
      </c>
      <c r="Q7" s="98">
        <f>IFERROR(_xll.qlRateHelperQuoteValue($N7,Trigger),"--")</f>
        <v>1.125E-2</v>
      </c>
      <c r="R7" s="97" t="b">
        <v>1</v>
      </c>
      <c r="S7" s="94">
        <v>10</v>
      </c>
      <c r="T7" s="94">
        <v>1</v>
      </c>
      <c r="U7" s="99">
        <f>IFERROR(_xll.qlRateHelperEarliestDate(N7,Trigger),"--")</f>
        <v>42429</v>
      </c>
      <c r="V7" s="99">
        <f>IFERROR(_xll.qlRateHelperPillarDate(N7,Trigger),"--")</f>
        <v>42793</v>
      </c>
      <c r="X7" s="4" t="str">
        <f t="shared" si="0"/>
        <v>FRA</v>
      </c>
      <c r="Y7" s="4" t="str">
        <v>obj_0066e</v>
      </c>
      <c r="Z7" s="4" t="str">
        <v>obj_0066e</v>
      </c>
      <c r="AA7" s="4" t="str">
        <f>IFERROR(_xll.qlRateHelperQuoteName(Y7,Trigger),"")</f>
        <v>GBP4x16F_LCHQuote</v>
      </c>
      <c r="AB7" s="70">
        <f>IFERROR(_xll.qlRateHelperRate(Y7,Trigger),"")</f>
        <v>1.125E-2</v>
      </c>
      <c r="AC7" s="104" t="str">
        <f>IF(ISERROR(_xll.qlSwapRateHelperSpread($Y7)),IF(ISERROR(_xll.qlFuturesRateHelperConvexityAdjustment($Y7)),"",_xll.qlFuturesRateHelperConvexityAdjustment($Y7)),_xll.qlSwapRateHelperSpread($Y7))</f>
        <v/>
      </c>
      <c r="AD7" s="5">
        <f>IFERROR(_xll.qlRateHelperEarliestDate(Y7,Trigger),"")</f>
        <v>42429</v>
      </c>
      <c r="AE7" s="5">
        <f>IFERROR(_xll.qlRateHelperPillarDate(Y7,Trigger),"")</f>
        <v>42793</v>
      </c>
      <c r="AF7" s="70">
        <v>1.0915585452270813E-2</v>
      </c>
      <c r="AG7" s="77">
        <v>0.98548347224002997</v>
      </c>
      <c r="AH7" s="169">
        <v>42793</v>
      </c>
      <c r="AI7" s="170">
        <v>1.0915585452266801E-2</v>
      </c>
      <c r="AJ7" s="172">
        <f t="shared" si="4"/>
        <v>4.0124153999343548E-15</v>
      </c>
      <c r="AK7" s="80">
        <v>0.98548347224016097</v>
      </c>
      <c r="AL7" s="161">
        <f t="shared" si="5"/>
        <v>-1.3100631690576847E-13</v>
      </c>
      <c r="AM7" s="161"/>
    </row>
    <row r="8" spans="1:41" ht="11.25" customHeight="1" x14ac:dyDescent="0.2">
      <c r="A8" s="59" t="s">
        <v>92</v>
      </c>
      <c r="B8" s="116">
        <v>3</v>
      </c>
      <c r="C8" s="62" t="str">
        <f t="shared" si="9"/>
        <v>x15F</v>
      </c>
      <c r="D8" s="123"/>
      <c r="E8" s="123"/>
      <c r="F8" s="123"/>
      <c r="G8" s="61" t="str">
        <f t="shared" si="10"/>
        <v>GbpLibor1Y</v>
      </c>
      <c r="H8" s="119" t="str">
        <f t="shared" si="11"/>
        <v>GBP3x15F_LCHQuote</v>
      </c>
      <c r="I8" s="123"/>
      <c r="J8" s="64" t="str">
        <f>_xll.qlFraRateHelper(,H8,B8&amp;"M",G8,PillarDate,,Permanent,Trigger,ObjectOverwrite)</f>
        <v>obj_00674#0005</v>
      </c>
      <c r="K8" s="64" t="str">
        <f t="shared" si="12"/>
        <v>obj_00674#0005</v>
      </c>
      <c r="L8" s="48"/>
      <c r="M8" s="10" t="str">
        <f t="shared" si="6"/>
        <v>FRA</v>
      </c>
      <c r="N8" s="94" t="str">
        <f t="shared" si="7"/>
        <v>obj_00673#0005</v>
      </c>
      <c r="O8" s="94" t="str">
        <f t="shared" si="8"/>
        <v>obj_00673#0005</v>
      </c>
      <c r="P8" s="146" t="str">
        <f>IFERROR(_xll.qlRateHelperQuoteName(N8,Trigger),"--")</f>
        <v>GBP5x17F_LCHQuote</v>
      </c>
      <c r="Q8" s="98">
        <f>IFERROR(_xll.qlRateHelperQuoteValue($N8,Trigger),"--")</f>
        <v>1.145E-2</v>
      </c>
      <c r="R8" s="97" t="b">
        <v>1</v>
      </c>
      <c r="S8" s="94">
        <v>10</v>
      </c>
      <c r="T8" s="94">
        <v>1</v>
      </c>
      <c r="U8" s="99">
        <f>IFERROR(_xll.qlRateHelperEarliestDate(N8,Trigger),"--")</f>
        <v>42458</v>
      </c>
      <c r="V8" s="99">
        <f>IFERROR(_xll.qlRateHelperPillarDate(N8,Trigger),"--")</f>
        <v>42821</v>
      </c>
      <c r="X8" s="4" t="str">
        <f t="shared" si="0"/>
        <v>FRA</v>
      </c>
      <c r="Y8" s="4" t="str">
        <v>obj_00673</v>
      </c>
      <c r="Z8" s="4" t="str">
        <v>obj_00673</v>
      </c>
      <c r="AA8" s="4" t="str">
        <f>IFERROR(_xll.qlRateHelperQuoteName(Y8,Trigger),"")</f>
        <v>GBP5x17F_LCHQuote</v>
      </c>
      <c r="AB8" s="70">
        <f>IFERROR(_xll.qlRateHelperRate(Y8,Trigger),"")</f>
        <v>1.145E-2</v>
      </c>
      <c r="AC8" s="104" t="str">
        <f>IF(ISERROR(_xll.qlSwapRateHelperSpread($Y8)),IF(ISERROR(_xll.qlFuturesRateHelperConvexityAdjustment($Y8)),"",_xll.qlFuturesRateHelperConvexityAdjustment($Y8)),_xll.qlSwapRateHelperSpread($Y8))</f>
        <v/>
      </c>
      <c r="AD8" s="5">
        <f>IFERROR(_xll.qlRateHelperEarliestDate(Y8,Trigger),"")</f>
        <v>42458</v>
      </c>
      <c r="AE8" s="5">
        <f>IFERROR(_xll.qlRateHelperPillarDate(Y8,Trigger),"")</f>
        <v>42821</v>
      </c>
      <c r="AF8" s="70">
        <v>1.1010692422573959E-2</v>
      </c>
      <c r="AG8" s="77">
        <v>0.98452605615893651</v>
      </c>
      <c r="AH8" s="169">
        <v>42821</v>
      </c>
      <c r="AI8" s="170">
        <v>1.1010692422587801E-2</v>
      </c>
      <c r="AJ8" s="172">
        <f t="shared" si="4"/>
        <v>-1.3841358614818944E-14</v>
      </c>
      <c r="AK8" s="80">
        <v>0.98452605615928901</v>
      </c>
      <c r="AL8" s="161">
        <f t="shared" si="5"/>
        <v>-3.524958103184872E-13</v>
      </c>
      <c r="AM8" s="161"/>
    </row>
    <row r="9" spans="1:41" ht="11.25" customHeight="1" x14ac:dyDescent="0.2">
      <c r="A9" s="59" t="s">
        <v>92</v>
      </c>
      <c r="B9" s="116">
        <v>4</v>
      </c>
      <c r="C9" s="62" t="str">
        <f t="shared" si="9"/>
        <v>x16F</v>
      </c>
      <c r="D9" s="123"/>
      <c r="E9" s="123"/>
      <c r="F9" s="123"/>
      <c r="G9" s="61" t="str">
        <f t="shared" si="10"/>
        <v>GbpLibor1Y</v>
      </c>
      <c r="H9" s="119" t="str">
        <f t="shared" si="11"/>
        <v>GBP4x16F_LCHQuote</v>
      </c>
      <c r="I9" s="123"/>
      <c r="J9" s="64" t="str">
        <f>_xll.qlFraRateHelper(,H9,B9&amp;"M",G9,PillarDate,,Permanent,Trigger,ObjectOverwrite)</f>
        <v>obj_0066e#0005</v>
      </c>
      <c r="K9" s="64" t="str">
        <f t="shared" si="12"/>
        <v>obj_0066e#0005</v>
      </c>
      <c r="L9" s="48"/>
      <c r="M9" s="10" t="str">
        <f t="shared" si="6"/>
        <v>FRA</v>
      </c>
      <c r="N9" s="94" t="str">
        <f t="shared" si="7"/>
        <v>obj_0066f#0005</v>
      </c>
      <c r="O9" s="94" t="str">
        <f t="shared" si="8"/>
        <v>obj_0066f#0005</v>
      </c>
      <c r="P9" s="146" t="str">
        <f>IFERROR(_xll.qlRateHelperQuoteName(N9,Trigger),"--")</f>
        <v>GBP6x18F_LCHQuote</v>
      </c>
      <c r="Q9" s="98">
        <f>IFERROR(_xll.qlRateHelperQuoteValue($N9,Trigger),"--")</f>
        <v>1.1599999999999999E-2</v>
      </c>
      <c r="R9" s="97" t="b">
        <v>1</v>
      </c>
      <c r="S9" s="94">
        <v>10</v>
      </c>
      <c r="T9" s="94">
        <v>1</v>
      </c>
      <c r="U9" s="99">
        <f>IFERROR(_xll.qlRateHelperEarliestDate(N9,Trigger),"--")</f>
        <v>42487</v>
      </c>
      <c r="V9" s="99">
        <f>IFERROR(_xll.qlRateHelperPillarDate(N9,Trigger),"--")</f>
        <v>42852</v>
      </c>
      <c r="X9" s="4" t="str">
        <f t="shared" si="0"/>
        <v>FRA</v>
      </c>
      <c r="Y9" s="4" t="str">
        <v>obj_0066f</v>
      </c>
      <c r="Z9" s="4" t="str">
        <v>obj_0066f</v>
      </c>
      <c r="AA9" s="4" t="str">
        <f>IFERROR(_xll.qlRateHelperQuoteName(Y9,Trigger),"")</f>
        <v>GBP6x18F_LCHQuote</v>
      </c>
      <c r="AB9" s="70">
        <f>IFERROR(_xll.qlRateHelperRate(Y9,Trigger),"")</f>
        <v>1.1599999999999999E-2</v>
      </c>
      <c r="AC9" s="104" t="str">
        <f>IF(ISERROR(_xll.qlSwapRateHelperSpread($Y9)),IF(ISERROR(_xll.qlFuturesRateHelperConvexityAdjustment($Y9)),"",_xll.qlFuturesRateHelperConvexityAdjustment($Y9)),_xll.qlSwapRateHelperSpread($Y9))</f>
        <v/>
      </c>
      <c r="AD9" s="5">
        <f>IFERROR(_xll.qlRateHelperEarliestDate(Y9,Trigger),"")</f>
        <v>42487</v>
      </c>
      <c r="AE9" s="5">
        <f>IFERROR(_xll.qlRateHelperPillarDate(Y9,Trigger),"")</f>
        <v>42852</v>
      </c>
      <c r="AF9" s="70">
        <v>1.1066579507060033E-2</v>
      </c>
      <c r="AG9" s="77">
        <v>0.98352223934470917</v>
      </c>
      <c r="AH9" s="169">
        <v>42852</v>
      </c>
      <c r="AI9" s="170">
        <v>1.10665795070301E-2</v>
      </c>
      <c r="AJ9" s="172">
        <f t="shared" si="4"/>
        <v>2.9932653577979806E-14</v>
      </c>
      <c r="AK9" s="80">
        <v>0.98352223934475302</v>
      </c>
      <c r="AL9" s="161">
        <f t="shared" si="5"/>
        <v>-4.3853809472693683E-14</v>
      </c>
      <c r="AM9" s="161"/>
    </row>
    <row r="10" spans="1:41" ht="11.25" customHeight="1" x14ac:dyDescent="0.2">
      <c r="A10" s="59" t="s">
        <v>92</v>
      </c>
      <c r="B10" s="116">
        <v>5</v>
      </c>
      <c r="C10" s="62" t="str">
        <f t="shared" si="9"/>
        <v>x17F</v>
      </c>
      <c r="D10" s="123"/>
      <c r="E10" s="123"/>
      <c r="F10" s="123"/>
      <c r="G10" s="61" t="str">
        <f t="shared" si="10"/>
        <v>GbpLibor1Y</v>
      </c>
      <c r="H10" s="119" t="str">
        <f t="shared" si="11"/>
        <v>GBP5x17F_LCHQuote</v>
      </c>
      <c r="I10" s="123"/>
      <c r="J10" s="64" t="str">
        <f>_xll.qlFraRateHelper(,H10,B10&amp;"M",G10,PillarDate,,Permanent,Trigger,ObjectOverwrite)</f>
        <v>obj_00673#0005</v>
      </c>
      <c r="K10" s="64" t="str">
        <f t="shared" si="12"/>
        <v>obj_00673#0005</v>
      </c>
      <c r="L10" s="48"/>
      <c r="M10" s="10" t="str">
        <f t="shared" si="6"/>
        <v>FRA</v>
      </c>
      <c r="N10" s="94" t="str">
        <f t="shared" si="7"/>
        <v>obj_00676#0005</v>
      </c>
      <c r="O10" s="94" t="str">
        <f t="shared" si="8"/>
        <v>obj_00676#0005</v>
      </c>
      <c r="P10" s="146" t="str">
        <f>IFERROR(_xll.qlRateHelperQuoteName(N10,Trigger),"--")</f>
        <v>GBP7x19F_LCHQuote</v>
      </c>
      <c r="Q10" s="98" t="str">
        <f>IFERROR(_xll.qlRateHelperQuoteValue($N10,Trigger),"--")</f>
        <v>--</v>
      </c>
      <c r="R10" s="97" t="b">
        <v>0</v>
      </c>
      <c r="S10" s="94">
        <v>10</v>
      </c>
      <c r="T10" s="94">
        <v>1</v>
      </c>
      <c r="U10" s="99">
        <f>IFERROR(_xll.qlRateHelperEarliestDate(N10,Trigger),"--")</f>
        <v>42517</v>
      </c>
      <c r="V10" s="99">
        <f>IFERROR(_xll.qlRateHelperPillarDate(N10,Trigger),"--")</f>
        <v>42885</v>
      </c>
      <c r="X10" s="4" t="str">
        <f t="shared" si="0"/>
        <v>FRA</v>
      </c>
      <c r="Y10" s="4" t="str">
        <v>obj_0066d</v>
      </c>
      <c r="Z10" s="4" t="str">
        <v>obj_0066d</v>
      </c>
      <c r="AA10" s="4" t="str">
        <f>IFERROR(_xll.qlRateHelperQuoteName(Y10,Trigger),"")</f>
        <v>GBP9x21F_LCHQuote</v>
      </c>
      <c r="AB10" s="70">
        <f>IFERROR(_xll.qlRateHelperRate(Y10,Trigger),"")</f>
        <v>1.24E-2</v>
      </c>
      <c r="AC10" s="104" t="str">
        <f>IF(ISERROR(_xll.qlSwapRateHelperSpread($Y10)),IF(ISERROR(_xll.qlFuturesRateHelperConvexityAdjustment($Y10)),"",_xll.qlFuturesRateHelperConvexityAdjustment($Y10)),_xll.qlSwapRateHelperSpread($Y10))</f>
        <v/>
      </c>
      <c r="AD10" s="5">
        <f>IFERROR(_xll.qlRateHelperEarliestDate(Y10,Trigger),"")</f>
        <v>42578</v>
      </c>
      <c r="AE10" s="5">
        <f>IFERROR(_xll.qlRateHelperPillarDate(Y10,Trigger),"")</f>
        <v>42943</v>
      </c>
      <c r="AF10" s="70">
        <v>1.1385575077898122E-2</v>
      </c>
      <c r="AG10" s="77">
        <v>0.98026478530486938</v>
      </c>
      <c r="AH10" s="169">
        <v>42943</v>
      </c>
      <c r="AI10" s="170">
        <v>1.13855750772471E-2</v>
      </c>
      <c r="AJ10" s="172">
        <f t="shared" si="4"/>
        <v>6.5102263857585996E-13</v>
      </c>
      <c r="AK10" s="80">
        <v>0.98026478530598604</v>
      </c>
      <c r="AL10" s="161">
        <f t="shared" si="5"/>
        <v>-1.1166623181679824E-12</v>
      </c>
      <c r="AM10" s="161"/>
    </row>
    <row r="11" spans="1:41" ht="11.25" customHeight="1" x14ac:dyDescent="0.2">
      <c r="A11" s="59" t="s">
        <v>92</v>
      </c>
      <c r="B11" s="116">
        <v>6</v>
      </c>
      <c r="C11" s="62" t="str">
        <f t="shared" si="9"/>
        <v>x18F</v>
      </c>
      <c r="D11" s="123"/>
      <c r="E11" s="123"/>
      <c r="F11" s="123"/>
      <c r="G11" s="61" t="str">
        <f t="shared" si="10"/>
        <v>GbpLibor1Y</v>
      </c>
      <c r="H11" s="119" t="str">
        <f t="shared" si="11"/>
        <v>GBP6x18F_LCHQuote</v>
      </c>
      <c r="I11" s="123"/>
      <c r="J11" s="64" t="str">
        <f>_xll.qlFraRateHelper(,H11,B11&amp;"M",G11,PillarDate,,Permanent,Trigger,ObjectOverwrite)</f>
        <v>obj_0066f#0005</v>
      </c>
      <c r="K11" s="64" t="str">
        <f t="shared" si="12"/>
        <v>obj_0066f#0005</v>
      </c>
      <c r="L11" s="48"/>
      <c r="M11" s="10" t="str">
        <f t="shared" si="6"/>
        <v>FRA</v>
      </c>
      <c r="N11" s="94" t="str">
        <f t="shared" si="7"/>
        <v>obj_00675#0005</v>
      </c>
      <c r="O11" s="94" t="str">
        <f t="shared" si="8"/>
        <v>obj_00675#0005</v>
      </c>
      <c r="P11" s="146" t="str">
        <f>IFERROR(_xll.qlRateHelperQuoteName(N11,Trigger),"--")</f>
        <v>GBP8x20F_LCHQuote</v>
      </c>
      <c r="Q11" s="98" t="str">
        <f>IFERROR(_xll.qlRateHelperQuoteValue($N11,Trigger),"--")</f>
        <v>--</v>
      </c>
      <c r="R11" s="97" t="b">
        <v>0</v>
      </c>
      <c r="S11" s="94">
        <v>10</v>
      </c>
      <c r="T11" s="94">
        <v>1</v>
      </c>
      <c r="U11" s="99">
        <f>IFERROR(_xll.qlRateHelperEarliestDate(N11,Trigger),"--")</f>
        <v>42548</v>
      </c>
      <c r="V11" s="99">
        <f>IFERROR(_xll.qlRateHelperPillarDate(N11,Trigger),"--")</f>
        <v>42913</v>
      </c>
      <c r="X11" s="4" t="str">
        <f t="shared" si="0"/>
        <v>BasSw</v>
      </c>
      <c r="Y11" s="4" t="str">
        <v>obj_0054d</v>
      </c>
      <c r="Z11" s="4" t="str">
        <v>obj_00570</v>
      </c>
      <c r="AA11" s="4" t="str">
        <f>IFERROR(_xll.qlRateHelperQuoteName(Y11,Trigger),"")</f>
        <v>GBP6L12L2Y_LCHQuote</v>
      </c>
      <c r="AB11" s="70">
        <f>IFERROR(_xll.qlRateHelperRate(Y11,Trigger),"")</f>
        <v>1.1292E-2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42304</v>
      </c>
      <c r="AE11" s="5">
        <f>IFERROR(_xll.qlRateHelperPillarDate(Y11,Trigger),"")</f>
        <v>43035</v>
      </c>
      <c r="AF11" s="70">
        <v>1.1251602888202851E-2</v>
      </c>
      <c r="AG11" s="77">
        <v>0.97771796284565071</v>
      </c>
      <c r="AH11" s="169">
        <v>43035</v>
      </c>
      <c r="AI11" s="170">
        <v>1.1251602888202801E-2</v>
      </c>
      <c r="AJ11" s="172">
        <f t="shared" si="4"/>
        <v>5.0306980803327406E-17</v>
      </c>
      <c r="AK11" s="80">
        <v>0.97771796284565105</v>
      </c>
      <c r="AL11" s="161">
        <f t="shared" si="5"/>
        <v>0</v>
      </c>
      <c r="AM11" s="161"/>
    </row>
    <row r="12" spans="1:41" ht="11.25" customHeight="1" x14ac:dyDescent="0.2">
      <c r="A12" s="59" t="s">
        <v>92</v>
      </c>
      <c r="B12" s="116">
        <v>7</v>
      </c>
      <c r="C12" s="62" t="str">
        <f t="shared" si="9"/>
        <v>x19F</v>
      </c>
      <c r="D12" s="123"/>
      <c r="E12" s="123"/>
      <c r="F12" s="123"/>
      <c r="G12" s="61" t="str">
        <f t="shared" si="10"/>
        <v>GbpLibor1Y</v>
      </c>
      <c r="H12" s="119" t="str">
        <f t="shared" si="11"/>
        <v>GBP7x19F_LCHQuote</v>
      </c>
      <c r="I12" s="123"/>
      <c r="J12" s="64" t="str">
        <f>_xll.qlFraRateHelper(,H12,B12&amp;"M",G12,PillarDate,,Permanent,Trigger,ObjectOverwrite)</f>
        <v>obj_00676#0005</v>
      </c>
      <c r="K12" s="64" t="str">
        <f t="shared" si="12"/>
        <v>obj_00676#0005</v>
      </c>
      <c r="L12" s="48" t="s">
        <v>35</v>
      </c>
      <c r="M12" s="10" t="str">
        <f t="shared" si="6"/>
        <v>FRA</v>
      </c>
      <c r="N12" s="94" t="str">
        <f t="shared" si="7"/>
        <v>obj_0066d#0005</v>
      </c>
      <c r="O12" s="94" t="str">
        <f t="shared" si="8"/>
        <v>obj_0066d#0005</v>
      </c>
      <c r="P12" s="146" t="str">
        <f>IFERROR(_xll.qlRateHelperQuoteName(N12,Trigger),"--")</f>
        <v>GBP9x21F_LCHQuote</v>
      </c>
      <c r="Q12" s="98">
        <f>IFERROR(_xll.qlRateHelperQuoteValue($N12,Trigger),"--")</f>
        <v>1.24E-2</v>
      </c>
      <c r="R12" s="97" t="b">
        <v>1</v>
      </c>
      <c r="S12" s="94">
        <v>10</v>
      </c>
      <c r="T12" s="94">
        <v>1</v>
      </c>
      <c r="U12" s="99">
        <f>IFERROR(_xll.qlRateHelperEarliestDate(N12,Trigger),"--")</f>
        <v>42578</v>
      </c>
      <c r="V12" s="99">
        <f>IFERROR(_xll.qlRateHelperPillarDate(N12,Trigger),"--")</f>
        <v>42943</v>
      </c>
      <c r="X12" s="4" t="str">
        <f t="shared" si="0"/>
        <v>BasSw</v>
      </c>
      <c r="Y12" s="4" t="str">
        <v>obj_0053d</v>
      </c>
      <c r="Z12" s="4" t="str">
        <v>obj_00555</v>
      </c>
      <c r="AA12" s="4" t="str">
        <f>IFERROR(_xll.qlRateHelperQuoteName(Y12,Trigger),"")</f>
        <v>GBP6L12L3Y_LCHQuote</v>
      </c>
      <c r="AB12" s="70">
        <f>IFERROR(_xll.qlRateHelperRate(Y12,Trigger),"")</f>
        <v>1.2708250000000001E-2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42304</v>
      </c>
      <c r="AE12" s="5">
        <f>IFERROR(_xll.qlRateHelperPillarDate(Y12,Trigger),"")</f>
        <v>43402</v>
      </c>
      <c r="AF12" s="70">
        <v>1.2668129459609575E-2</v>
      </c>
      <c r="AG12" s="77">
        <v>0.9626085069268755</v>
      </c>
      <c r="AH12" s="169">
        <v>43402</v>
      </c>
      <c r="AI12" s="170">
        <v>1.2668129459680899E-2</v>
      </c>
      <c r="AJ12" s="172">
        <f t="shared" si="4"/>
        <v>-7.13248904382624E-14</v>
      </c>
      <c r="AK12" s="80">
        <v>0.96260850692674205</v>
      </c>
      <c r="AL12" s="161">
        <f t="shared" si="5"/>
        <v>1.3344880755994382E-13</v>
      </c>
      <c r="AM12" s="161"/>
    </row>
    <row r="13" spans="1:41" ht="11.25" customHeight="1" x14ac:dyDescent="0.2">
      <c r="A13" s="59" t="s">
        <v>92</v>
      </c>
      <c r="B13" s="116">
        <v>8</v>
      </c>
      <c r="C13" s="62" t="str">
        <f t="shared" si="9"/>
        <v>x20F</v>
      </c>
      <c r="D13" s="123"/>
      <c r="E13" s="123"/>
      <c r="F13" s="123"/>
      <c r="G13" s="61" t="str">
        <f t="shared" si="10"/>
        <v>GbpLibor1Y</v>
      </c>
      <c r="H13" s="119" t="str">
        <f t="shared" si="11"/>
        <v>GBP8x20F_LCHQuote</v>
      </c>
      <c r="I13" s="123"/>
      <c r="J13" s="64" t="str">
        <f>_xll.qlFraRateHelper(,H13,B13&amp;"M",G13,PillarDate,,Permanent,Trigger,ObjectOverwrite)</f>
        <v>obj_00675#0005</v>
      </c>
      <c r="K13" s="64" t="str">
        <f t="shared" si="12"/>
        <v>obj_00675#0005</v>
      </c>
      <c r="L13" s="48"/>
      <c r="M13" s="10" t="str">
        <f t="shared" si="6"/>
        <v>FRA</v>
      </c>
      <c r="N13" s="94" t="str">
        <f t="shared" si="7"/>
        <v>obj_00671#0005</v>
      </c>
      <c r="O13" s="94" t="str">
        <f t="shared" si="8"/>
        <v>obj_00671#0005</v>
      </c>
      <c r="P13" s="146" t="str">
        <f>IFERROR(_xll.qlRateHelperQuoteName(N13,Trigger),"--")</f>
        <v>GBP10x22F_LCHQuote</v>
      </c>
      <c r="Q13" s="98" t="str">
        <f>IFERROR(_xll.qlRateHelperQuoteValue($N13,Trigger),"--")</f>
        <v>--</v>
      </c>
      <c r="R13" s="97" t="b">
        <v>0</v>
      </c>
      <c r="S13" s="94">
        <v>10</v>
      </c>
      <c r="T13" s="94">
        <v>1</v>
      </c>
      <c r="U13" s="99">
        <f>IFERROR(_xll.qlRateHelperEarliestDate(N13,Trigger),"--")</f>
        <v>42612</v>
      </c>
      <c r="V13" s="99">
        <f>IFERROR(_xll.qlRateHelperPillarDate(N13,Trigger),"--")</f>
        <v>42976</v>
      </c>
      <c r="X13" s="4" t="str">
        <f t="shared" si="0"/>
        <v>BasSw</v>
      </c>
      <c r="Y13" s="4" t="str">
        <v>obj_00542</v>
      </c>
      <c r="Z13" s="4" t="str">
        <v>obj_00565</v>
      </c>
      <c r="AA13" s="4" t="str">
        <f>IFERROR(_xll.qlRateHelperQuoteName(Y13,Trigger),"")</f>
        <v>GBP6L12L4Y_LCHQuote</v>
      </c>
      <c r="AB13" s="70">
        <f>IFERROR(_xll.qlRateHelperRate(Y13,Trigger),"")</f>
        <v>1.4089000000000001E-2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42304</v>
      </c>
      <c r="AE13" s="5">
        <f>IFERROR(_xll.qlRateHelperPillarDate(Y13,Trigger),"")</f>
        <v>43766</v>
      </c>
      <c r="AF13" s="70">
        <v>1.4055066565310845E-2</v>
      </c>
      <c r="AG13" s="77">
        <v>0.94525818662845873</v>
      </c>
      <c r="AH13" s="169">
        <v>43766</v>
      </c>
      <c r="AI13" s="170">
        <v>1.40550665652269E-2</v>
      </c>
      <c r="AJ13" s="172">
        <f t="shared" si="4"/>
        <v>8.3945003725993672E-14</v>
      </c>
      <c r="AK13" s="80">
        <v>0.94525818662782402</v>
      </c>
      <c r="AL13" s="161">
        <f t="shared" si="5"/>
        <v>6.3471450317820199E-13</v>
      </c>
      <c r="AM13" s="161"/>
    </row>
    <row r="14" spans="1:41" ht="11.25" customHeight="1" x14ac:dyDescent="0.2">
      <c r="A14" s="59" t="s">
        <v>92</v>
      </c>
      <c r="B14" s="116">
        <v>9</v>
      </c>
      <c r="C14" s="62" t="str">
        <f t="shared" si="9"/>
        <v>x21F</v>
      </c>
      <c r="D14" s="123"/>
      <c r="E14" s="123"/>
      <c r="F14" s="123"/>
      <c r="G14" s="61" t="str">
        <f t="shared" si="10"/>
        <v>GbpLibor1Y</v>
      </c>
      <c r="H14" s="119" t="str">
        <f t="shared" si="11"/>
        <v>GBP9x21F_LCHQuote</v>
      </c>
      <c r="I14" s="123"/>
      <c r="J14" s="64" t="str">
        <f>_xll.qlFraRateHelper(,H14,B14&amp;"M",G14,PillarDate,,Permanent,Trigger,ObjectOverwrite)</f>
        <v>obj_0066d#0005</v>
      </c>
      <c r="K14" s="64" t="str">
        <f t="shared" si="12"/>
        <v>obj_0066d#0005</v>
      </c>
      <c r="L14" s="48"/>
      <c r="M14" s="10" t="str">
        <f t="shared" si="6"/>
        <v>FRA</v>
      </c>
      <c r="N14" s="94" t="str">
        <f t="shared" si="7"/>
        <v>obj_005da#0005</v>
      </c>
      <c r="O14" s="94" t="str">
        <f t="shared" si="8"/>
        <v>obj_005da#0005</v>
      </c>
      <c r="P14" s="146" t="str">
        <f>IFERROR(_xll.qlRateHelperQuoteName(N14,Trigger),"--")</f>
        <v>GBP11x23F_LCHQuote</v>
      </c>
      <c r="Q14" s="98" t="str">
        <f>IFERROR(_xll.qlRateHelperQuoteValue($N14,Trigger),"--")</f>
        <v>--</v>
      </c>
      <c r="R14" s="97" t="b">
        <v>0</v>
      </c>
      <c r="S14" s="94">
        <v>10</v>
      </c>
      <c r="T14" s="94">
        <v>1</v>
      </c>
      <c r="U14" s="99">
        <f>IFERROR(_xll.qlRateHelperEarliestDate(N14,Trigger),"--")</f>
        <v>42640</v>
      </c>
      <c r="V14" s="99">
        <f>IFERROR(_xll.qlRateHelperPillarDate(N14,Trigger),"--")</f>
        <v>43005</v>
      </c>
      <c r="X14" s="4" t="str">
        <f t="shared" si="0"/>
        <v>BasSw</v>
      </c>
      <c r="Y14" s="4" t="str">
        <v>obj_00540</v>
      </c>
      <c r="Z14" s="4" t="str">
        <v>obj_0055e</v>
      </c>
      <c r="AA14" s="4" t="str">
        <f>IFERROR(_xll.qlRateHelperQuoteName(Y14,Trigger),"")</f>
        <v>GBP6L12L5Y_LCHQuote</v>
      </c>
      <c r="AB14" s="70">
        <f>IFERROR(_xll.qlRateHelperRate(Y14,Trigger),"")</f>
        <v>1.5364249999999999E-2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42304</v>
      </c>
      <c r="AE14" s="5">
        <f>IFERROR(_xll.qlRateHelperPillarDate(Y14,Trigger),"")</f>
        <v>44131</v>
      </c>
      <c r="AF14" s="70">
        <v>1.5343821267520503E-2</v>
      </c>
      <c r="AG14" s="77">
        <v>0.9260739670979744</v>
      </c>
      <c r="AH14" s="169">
        <v>44131</v>
      </c>
      <c r="AI14" s="170">
        <v>1.53438212667148E-2</v>
      </c>
      <c r="AJ14" s="172">
        <f t="shared" si="4"/>
        <v>8.0570272675828392E-13</v>
      </c>
      <c r="AK14" s="80">
        <v>0.92607396709797496</v>
      </c>
      <c r="AL14" s="161">
        <f t="shared" si="5"/>
        <v>0</v>
      </c>
      <c r="AM14" s="161"/>
    </row>
    <row r="15" spans="1:41" ht="11.25" customHeight="1" x14ac:dyDescent="0.2">
      <c r="A15" s="59" t="s">
        <v>92</v>
      </c>
      <c r="B15" s="116">
        <v>10</v>
      </c>
      <c r="C15" s="62" t="str">
        <f t="shared" si="9"/>
        <v>x22F</v>
      </c>
      <c r="D15" s="123"/>
      <c r="E15" s="123"/>
      <c r="F15" s="123"/>
      <c r="G15" s="61" t="str">
        <f t="shared" si="10"/>
        <v>GbpLibor1Y</v>
      </c>
      <c r="H15" s="119" t="str">
        <f t="shared" si="11"/>
        <v>GBP10x22F_LCHQuote</v>
      </c>
      <c r="I15" s="123"/>
      <c r="J15" s="64" t="str">
        <f>_xll.qlFraRateHelper(,H15,B15&amp;"M",G15,PillarDate,,Permanent,Trigger,ObjectOverwrite)</f>
        <v>obj_00671#0005</v>
      </c>
      <c r="K15" s="64" t="str">
        <f t="shared" si="12"/>
        <v>obj_00671#0005</v>
      </c>
      <c r="L15" s="48"/>
      <c r="M15" s="10" t="str">
        <f t="shared" si="6"/>
        <v>FRA</v>
      </c>
      <c r="N15" s="94" t="str">
        <f t="shared" si="7"/>
        <v>obj_00670#0005</v>
      </c>
      <c r="O15" s="94" t="str">
        <f t="shared" si="8"/>
        <v>obj_00670#0005</v>
      </c>
      <c r="P15" s="146" t="str">
        <f>IFERROR(_xll.qlRateHelperQuoteName(N15,Trigger),"--")</f>
        <v>GBP12x24F_LCHQuote</v>
      </c>
      <c r="Q15" s="98" t="str">
        <f>IFERROR(_xll.qlRateHelperQuoteValue($N15,Trigger),"--")</f>
        <v>--</v>
      </c>
      <c r="R15" s="97" t="b">
        <v>0</v>
      </c>
      <c r="S15" s="94">
        <v>10</v>
      </c>
      <c r="T15" s="94">
        <v>1</v>
      </c>
      <c r="U15" s="99">
        <f>IFERROR(_xll.qlRateHelperEarliestDate(N15,Trigger),"--")</f>
        <v>42670</v>
      </c>
      <c r="V15" s="99">
        <f>IFERROR(_xll.qlRateHelperPillarDate(N15,Trigger),"--")</f>
        <v>43035</v>
      </c>
      <c r="X15" s="4" t="str">
        <f t="shared" si="0"/>
        <v>BasSw</v>
      </c>
      <c r="Y15" s="4" t="str">
        <v>obj_0053a</v>
      </c>
      <c r="Z15" s="4" t="str">
        <v>obj_00560</v>
      </c>
      <c r="AA15" s="4" t="str">
        <f>IFERROR(_xll.qlRateHelperQuoteName(Y15,Trigger),"")</f>
        <v>GBP6L12L6Y_LCHQuote</v>
      </c>
      <c r="AB15" s="70">
        <f>IFERROR(_xll.qlRateHelperRate(Y15,Trigger),"")</f>
        <v>1.6472000000000001E-2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42304</v>
      </c>
      <c r="AE15" s="5">
        <f>IFERROR(_xll.qlRateHelperPillarDate(Y15,Trigger),"")</f>
        <v>44496</v>
      </c>
      <c r="AF15" s="70">
        <v>1.6470665906883272E-2</v>
      </c>
      <c r="AG15" s="77">
        <v>0.90582306860745787</v>
      </c>
      <c r="AH15" s="169">
        <v>44496</v>
      </c>
      <c r="AI15" s="170">
        <v>1.6470665906584098E-2</v>
      </c>
      <c r="AJ15" s="172">
        <f t="shared" si="4"/>
        <v>2.9917388011391211E-13</v>
      </c>
      <c r="AK15" s="80">
        <v>0.90582306861253903</v>
      </c>
      <c r="AL15" s="161">
        <f t="shared" si="5"/>
        <v>-5.0811577168019539E-12</v>
      </c>
      <c r="AM15" s="161"/>
    </row>
    <row r="16" spans="1:41" ht="11.25" customHeight="1" x14ac:dyDescent="0.2">
      <c r="A16" s="59" t="s">
        <v>92</v>
      </c>
      <c r="B16" s="116">
        <v>11</v>
      </c>
      <c r="C16" s="62" t="str">
        <f t="shared" ref="C16" si="13">"x"&amp;B16+SUBSTITUTE($C$4,"M","")&amp;"F"</f>
        <v>x23F</v>
      </c>
      <c r="D16" s="123"/>
      <c r="E16" s="123"/>
      <c r="F16" s="123"/>
      <c r="G16" s="61" t="str">
        <f t="shared" si="10"/>
        <v>GbpLibor1Y</v>
      </c>
      <c r="H16" s="119" t="str">
        <f t="shared" ref="H16" si="14">IF(LCHQuoteOverwrite,Currency&amp;B16&amp;C16&amp;LCHQuoteSuffix,Currency&amp;B16&amp;C16&amp;QuoteSuffix)</f>
        <v>GBP11x23F_LCHQuote</v>
      </c>
      <c r="I16" s="123"/>
      <c r="J16" s="64" t="str">
        <f>_xll.qlFraRateHelper(,H16,B16&amp;"M",G16,PillarDate,,Permanent,Trigger,ObjectOverwrite)</f>
        <v>obj_005da#0005</v>
      </c>
      <c r="K16" s="64" t="str">
        <f t="shared" ref="K16" si="15">J16</f>
        <v>obj_005da#0005</v>
      </c>
      <c r="L16" s="48"/>
      <c r="M16" s="68" t="str">
        <f>A20</f>
        <v>BasSw</v>
      </c>
      <c r="N16" s="131" t="str">
        <f>IF(ISBLANK(J20),"--",J20)</f>
        <v>obj_0053c#0005</v>
      </c>
      <c r="O16" s="131" t="str">
        <f>IF(ISBLANK(K20),"--",K20)</f>
        <v>obj_00544#0005</v>
      </c>
      <c r="P16" s="145" t="str">
        <f>IFERROR(_xll.qlRateHelperQuoteName(N16,Trigger),"--")</f>
        <v>GBP6L12L6M_LCHQuote</v>
      </c>
      <c r="Q16" s="133" t="str">
        <f>IFERROR(_xll.qlRateHelperQuoteValue($N16,Trigger),"--")</f>
        <v>--</v>
      </c>
      <c r="R16" s="132" t="b">
        <v>0</v>
      </c>
      <c r="S16" s="131">
        <v>20</v>
      </c>
      <c r="T16" s="131">
        <v>1</v>
      </c>
      <c r="U16" s="134">
        <f>IFERROR(_xll.qlRateHelperEarliestDate(N16,Trigger),"--")</f>
        <v>42304</v>
      </c>
      <c r="V16" s="134">
        <f>IFERROR(_xll.qlRateHelperPillarDate(N16,Trigger),"--")</f>
        <v>42487</v>
      </c>
      <c r="X16" s="4" t="str">
        <f t="shared" si="0"/>
        <v>BasSw</v>
      </c>
      <c r="Y16" s="4" t="str">
        <v>obj_0056b</v>
      </c>
      <c r="Z16" s="4" t="str">
        <v>obj_00571</v>
      </c>
      <c r="AA16" s="4" t="str">
        <f>IFERROR(_xll.qlRateHelperQuoteName(Y16,Trigger),"")</f>
        <v>GBP6L12L7Y_LCHQuote</v>
      </c>
      <c r="AB16" s="70">
        <f>IFERROR(_xll.qlRateHelperRate(Y16,Trigger),"")</f>
        <v>1.738775E-2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42304</v>
      </c>
      <c r="AE16" s="5">
        <f>IFERROR(_xll.qlRateHelperPillarDate(Y16,Trigger),"")</f>
        <v>44861</v>
      </c>
      <c r="AF16" s="70">
        <v>1.7407708082975155E-2</v>
      </c>
      <c r="AG16" s="77">
        <v>0.88519708853434131</v>
      </c>
      <c r="AH16" s="169">
        <v>44861</v>
      </c>
      <c r="AI16" s="170">
        <v>1.7407708082653E-2</v>
      </c>
      <c r="AJ16" s="172">
        <f t="shared" si="4"/>
        <v>3.2215549672365285E-13</v>
      </c>
      <c r="AK16" s="80">
        <v>0.88519708853424905</v>
      </c>
      <c r="AL16" s="161">
        <f t="shared" si="5"/>
        <v>9.2259533346350509E-14</v>
      </c>
      <c r="AM16" s="161"/>
    </row>
    <row r="17" spans="1:39" ht="11.25" customHeight="1" x14ac:dyDescent="0.2">
      <c r="A17" s="1" t="s">
        <v>92</v>
      </c>
      <c r="B17" s="117">
        <v>12</v>
      </c>
      <c r="C17" s="9" t="str">
        <f t="shared" si="9"/>
        <v>x24F</v>
      </c>
      <c r="D17" s="124"/>
      <c r="E17" s="124"/>
      <c r="F17" s="124"/>
      <c r="G17" s="7" t="str">
        <f t="shared" si="10"/>
        <v>GbpLibor1Y</v>
      </c>
      <c r="H17" s="120" t="str">
        <f t="shared" si="11"/>
        <v>GBP12x24F_LCHQuote</v>
      </c>
      <c r="I17" s="124"/>
      <c r="J17" s="3" t="str">
        <f>_xll.qlFraRateHelper(,H17,B17&amp;"M",G17,PillarDate,,Permanent,Trigger,ObjectOverwrite)</f>
        <v>obj_00670#0005</v>
      </c>
      <c r="K17" s="3" t="str">
        <f t="shared" si="12"/>
        <v>obj_00670#0005</v>
      </c>
      <c r="L17" s="48"/>
      <c r="M17" s="10" t="str">
        <f t="shared" ref="M17:M53" si="16">A21</f>
        <v>BasSw</v>
      </c>
      <c r="N17" s="94" t="str">
        <f t="shared" ref="N17:O17" si="17">IF(ISBLANK(J21),"--",J21)</f>
        <v>obj_0056c#0005</v>
      </c>
      <c r="O17" s="94" t="str">
        <f t="shared" si="17"/>
        <v>obj_00563#0005</v>
      </c>
      <c r="P17" s="146" t="str">
        <f>IFERROR(_xll.qlRateHelperQuoteName(N17,Trigger),"--")</f>
        <v>GBP6L12L1Y_LCHQuote</v>
      </c>
      <c r="Q17" s="98" t="str">
        <f>IFERROR(_xll.qlRateHelperQuoteValue($N17,Trigger),"--")</f>
        <v>--</v>
      </c>
      <c r="R17" s="97" t="b">
        <v>0</v>
      </c>
      <c r="S17" s="94">
        <v>20</v>
      </c>
      <c r="T17" s="94">
        <v>1</v>
      </c>
      <c r="U17" s="99">
        <f>IFERROR(_xll.qlRateHelperEarliestDate(N17,Trigger),"--")</f>
        <v>42304</v>
      </c>
      <c r="V17" s="99">
        <f>IFERROR(_xll.qlRateHelperPillarDate(N17,Trigger),"--")</f>
        <v>42670</v>
      </c>
      <c r="X17" s="4" t="str">
        <f t="shared" ref="X17:X53" si="18">IFERROR(INDEX($M$3:$M$53,MATCH(AA17,$P$3:$P$53,0),1),"")</f>
        <v>BasSw</v>
      </c>
      <c r="Y17" s="4" t="str">
        <v>obj_0056e</v>
      </c>
      <c r="Z17" s="4" t="str">
        <v>obj_00577</v>
      </c>
      <c r="AA17" s="4" t="str">
        <f>IFERROR(_xll.qlRateHelperQuoteName(Y17,Trigger),"")</f>
        <v>GBP6L12L8Y_LCHQuote</v>
      </c>
      <c r="AB17" s="70">
        <f>IFERROR(_xll.qlRateHelperRate(Y17,Trigger),"")</f>
        <v>1.8128999999999999E-2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42304</v>
      </c>
      <c r="AE17" s="5">
        <f>IFERROR(_xll.qlRateHelperPillarDate(Y17,Trigger),"")</f>
        <v>45226</v>
      </c>
      <c r="AF17" s="70">
        <v>1.8170249402533811E-2</v>
      </c>
      <c r="AG17" s="77">
        <v>0.86462779775207399</v>
      </c>
      <c r="AH17" s="169">
        <v>45226</v>
      </c>
      <c r="AI17" s="170">
        <v>1.8170249402194E-2</v>
      </c>
      <c r="AJ17" s="172">
        <f t="shared" si="4"/>
        <v>3.3981151226214479E-13</v>
      </c>
      <c r="AK17" s="80">
        <v>0.86462779775198595</v>
      </c>
      <c r="AL17" s="161">
        <f t="shared" si="5"/>
        <v>8.8040685852774914E-14</v>
      </c>
      <c r="AM17" s="161"/>
    </row>
    <row r="18" spans="1:39" ht="11.25" customHeight="1" x14ac:dyDescent="0.2">
      <c r="B18" s="46"/>
      <c r="C18" s="46"/>
      <c r="D18" s="46"/>
      <c r="E18" s="46"/>
      <c r="F18" s="46"/>
      <c r="G18" s="50" t="s">
        <v>154</v>
      </c>
      <c r="H18" s="46" t="s">
        <v>152</v>
      </c>
      <c r="L18" s="48"/>
      <c r="M18" s="10" t="str">
        <f t="shared" si="16"/>
        <v>BasSw</v>
      </c>
      <c r="N18" s="94" t="str">
        <f t="shared" ref="N18:O18" si="19">IF(ISBLANK(J22),"--",J22)</f>
        <v>obj_00561#0005</v>
      </c>
      <c r="O18" s="94" t="str">
        <f t="shared" si="19"/>
        <v>obj_0054a#0005</v>
      </c>
      <c r="P18" s="146" t="str">
        <f>IFERROR(_xll.qlRateHelperQuoteName(N18,Trigger),"--")</f>
        <v>GBP6L12L15M_LCHQuote</v>
      </c>
      <c r="Q18" s="98" t="str">
        <f>IFERROR(_xll.qlRateHelperQuoteValue($N18,Trigger),"--")</f>
        <v>--</v>
      </c>
      <c r="R18" s="97" t="b">
        <v>0</v>
      </c>
      <c r="S18" s="94">
        <v>20</v>
      </c>
      <c r="T18" s="94">
        <v>1</v>
      </c>
      <c r="U18" s="99">
        <f>IFERROR(_xll.qlRateHelperEarliestDate(N18,Trigger),"--")</f>
        <v>42304</v>
      </c>
      <c r="V18" s="99">
        <f>IFERROR(_xll.qlRateHelperPillarDate(N18,Trigger),"--")</f>
        <v>42762</v>
      </c>
      <c r="X18" s="4" t="str">
        <f t="shared" si="18"/>
        <v>BasSw</v>
      </c>
      <c r="Y18" s="4" t="str">
        <v>obj_00566</v>
      </c>
      <c r="Z18" s="4" t="str">
        <v>obj_00549</v>
      </c>
      <c r="AA18" s="4" t="str">
        <f>IFERROR(_xll.qlRateHelperQuoteName(Y18,Trigger),"")</f>
        <v>GBP6L12L9Y_LCHQuote</v>
      </c>
      <c r="AB18" s="70">
        <f>IFERROR(_xll.qlRateHelperRate(Y18,Trigger),"")</f>
        <v>1.8735999999999999E-2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42304</v>
      </c>
      <c r="AE18" s="5">
        <f>IFERROR(_xll.qlRateHelperPillarDate(Y18,Trigger),"")</f>
        <v>45593</v>
      </c>
      <c r="AF18" s="70">
        <v>1.8798274472735969E-2</v>
      </c>
      <c r="AG18" s="77">
        <v>0.84418459313225291</v>
      </c>
      <c r="AH18" s="169">
        <v>45593</v>
      </c>
      <c r="AI18" s="170">
        <v>1.8798274472382599E-2</v>
      </c>
      <c r="AJ18" s="172">
        <f t="shared" si="4"/>
        <v>3.5337011095037951E-13</v>
      </c>
      <c r="AK18" s="80">
        <v>0.84418459313217198</v>
      </c>
      <c r="AL18" s="161">
        <f t="shared" si="5"/>
        <v>8.0935258495173912E-14</v>
      </c>
      <c r="AM18" s="161"/>
    </row>
    <row r="19" spans="1:39" ht="11.25" customHeight="1" x14ac:dyDescent="0.2">
      <c r="A19" s="65" t="s">
        <v>9</v>
      </c>
      <c r="B19" s="65" t="s">
        <v>28</v>
      </c>
      <c r="C19" s="65" t="s">
        <v>113</v>
      </c>
      <c r="D19" s="65" t="s">
        <v>5</v>
      </c>
      <c r="E19" s="65" t="s">
        <v>33</v>
      </c>
      <c r="F19" s="65" t="s">
        <v>114</v>
      </c>
      <c r="G19" s="65" t="s">
        <v>4</v>
      </c>
      <c r="H19" s="65" t="s">
        <v>1</v>
      </c>
      <c r="I19" s="65" t="s">
        <v>112</v>
      </c>
      <c r="J19" s="65" t="s">
        <v>136</v>
      </c>
      <c r="K19" s="65" t="s">
        <v>138</v>
      </c>
      <c r="L19" s="48"/>
      <c r="M19" s="10" t="str">
        <f t="shared" si="16"/>
        <v>BasSw</v>
      </c>
      <c r="N19" s="94" t="str">
        <f t="shared" ref="N19:O19" si="20">IF(ISBLANK(J23),"--",J23)</f>
        <v>obj_0055f#0005</v>
      </c>
      <c r="O19" s="94" t="str">
        <f t="shared" si="20"/>
        <v>obj_0052e#0005</v>
      </c>
      <c r="P19" s="146" t="str">
        <f>IFERROR(_xll.qlRateHelperQuoteName(N19,Trigger),"--")</f>
        <v>GBP6L12L18M_LCHQuote</v>
      </c>
      <c r="Q19" s="98" t="str">
        <f>IFERROR(_xll.qlRateHelperQuoteValue($N19,Trigger),"--")</f>
        <v>--</v>
      </c>
      <c r="R19" s="97" t="b">
        <v>0</v>
      </c>
      <c r="S19" s="94">
        <v>20</v>
      </c>
      <c r="T19" s="94">
        <v>1</v>
      </c>
      <c r="U19" s="99">
        <f>IFERROR(_xll.qlRateHelperEarliestDate(N19,Trigger),"--")</f>
        <v>42304</v>
      </c>
      <c r="V19" s="99">
        <f>IFERROR(_xll.qlRateHelperPillarDate(N19,Trigger),"--")</f>
        <v>42852</v>
      </c>
      <c r="X19" s="4" t="str">
        <f t="shared" si="18"/>
        <v>BasSw</v>
      </c>
      <c r="Y19" s="4" t="str">
        <v>obj_0054e</v>
      </c>
      <c r="Z19" s="4" t="str">
        <v>obj_0052f</v>
      </c>
      <c r="AA19" s="4" t="str">
        <f>IFERROR(_xll.qlRateHelperQuoteName(Y19,Trigger),"")</f>
        <v>GBP6L12L10Y_LCHQuote</v>
      </c>
      <c r="AB19" s="70">
        <f>IFERROR(_xll.qlRateHelperRate(Y19,Trigger),"")</f>
        <v>1.9273999999999899E-2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42304</v>
      </c>
      <c r="AE19" s="5">
        <f>IFERROR(_xll.qlRateHelperPillarDate(Y19,Trigger),"")</f>
        <v>45957</v>
      </c>
      <c r="AF19" s="70">
        <v>1.935913742008771E-2</v>
      </c>
      <c r="AG19" s="77">
        <v>0.82387086587812208</v>
      </c>
      <c r="AH19" s="169">
        <v>45957</v>
      </c>
      <c r="AI19" s="170">
        <v>1.9359137420110001E-2</v>
      </c>
      <c r="AJ19" s="172">
        <f t="shared" si="4"/>
        <v>-2.2291196666301971E-14</v>
      </c>
      <c r="AK19" s="80">
        <v>0.823870865877944</v>
      </c>
      <c r="AL19" s="161">
        <f t="shared" si="5"/>
        <v>1.7807977314987511E-13</v>
      </c>
      <c r="AM19" s="161"/>
    </row>
    <row r="20" spans="1:39" ht="11.25" customHeight="1" x14ac:dyDescent="0.2">
      <c r="A20" s="53" t="s">
        <v>117</v>
      </c>
      <c r="B20" s="54" t="s">
        <v>3</v>
      </c>
      <c r="C20" s="55" t="s">
        <v>6</v>
      </c>
      <c r="D20" s="55" t="s">
        <v>158</v>
      </c>
      <c r="E20" s="55" t="s">
        <v>7</v>
      </c>
      <c r="F20" s="55" t="s">
        <v>159</v>
      </c>
      <c r="G20" s="55" t="str">
        <f t="shared" ref="G20:G57" si="21">PROPER(Currency)&amp;FamilyName&amp;Tenor</f>
        <v>GbpLibor1Y</v>
      </c>
      <c r="H20" s="53" t="str">
        <f t="shared" ref="H20:H57" si="22">IF(LCHQuoteOverwrite,Currency&amp;$H$18&amp;$G$18&amp;$B20&amp;LCHQuoteSuffix,Currency&amp;$H$18&amp;$G$18&amp;"BASIS"&amp;$B20&amp;QuoteSuffix)</f>
        <v>GBP6L12L6M_LCHQuote</v>
      </c>
      <c r="I20" s="126">
        <v>0</v>
      </c>
      <c r="J20" s="64" t="str">
        <f>_xll.qlSwapRateHelper2(,$H20,0,$B20,Calendar,$D20,$E20,$F20,$G20,$I20,$C20,Discounting1,PillarDate,,Permanent,Trigger,ObjectOverwrite)</f>
        <v>obj_0053c#0005</v>
      </c>
      <c r="K20" s="64" t="str">
        <f>_xll.qlSwapRateHelper2(,$H20,0,$B20,Calendar,$D20,$E20,$F20,$G20,$I20,$C20,Discounting2,PillarDate,,Permanent,Trigger,ObjectOverwrite)</f>
        <v>obj_00544#0005</v>
      </c>
      <c r="L20" s="48"/>
      <c r="M20" s="10" t="str">
        <f t="shared" si="16"/>
        <v>BasSw</v>
      </c>
      <c r="N20" s="94" t="str">
        <f t="shared" ref="N20:O20" si="23">IF(ISBLANK(J24),"--",J24)</f>
        <v>obj_00536#0005</v>
      </c>
      <c r="O20" s="94" t="str">
        <f t="shared" si="23"/>
        <v>obj_00575#0005</v>
      </c>
      <c r="P20" s="146" t="str">
        <f>IFERROR(_xll.qlRateHelperQuoteName(N20,Trigger),"--")</f>
        <v>GBP6L12L21M_LCHQuote</v>
      </c>
      <c r="Q20" s="98" t="str">
        <f>IFERROR(_xll.qlRateHelperQuoteValue($N20,Trigger),"--")</f>
        <v>--</v>
      </c>
      <c r="R20" s="97" t="b">
        <v>0</v>
      </c>
      <c r="S20" s="94">
        <v>20</v>
      </c>
      <c r="T20" s="94">
        <v>1</v>
      </c>
      <c r="U20" s="99">
        <f>IFERROR(_xll.qlRateHelperEarliestDate(N20,Trigger),"--")</f>
        <v>42304</v>
      </c>
      <c r="V20" s="99">
        <f>IFERROR(_xll.qlRateHelperPillarDate(N20,Trigger),"--")</f>
        <v>42943</v>
      </c>
      <c r="X20" s="4" t="str">
        <f t="shared" si="18"/>
        <v>BasSw</v>
      </c>
      <c r="Y20" s="4" t="str">
        <v>obj_00547</v>
      </c>
      <c r="Z20" s="4" t="str">
        <v>obj_0052c</v>
      </c>
      <c r="AA20" s="4" t="str">
        <f>IFERROR(_xll.qlRateHelperQuoteName(Y20,Trigger),"")</f>
        <v>GBP6L12L12Y_LCHQuote</v>
      </c>
      <c r="AB20" s="70">
        <f>IFERROR(_xll.qlRateHelperRate(Y20,Trigger),"")</f>
        <v>2.0159E-2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42304</v>
      </c>
      <c r="AE20" s="5">
        <f>IFERROR(_xll.qlRateHelperPillarDate(Y20,Trigger),"")</f>
        <v>46687</v>
      </c>
      <c r="AF20" s="70">
        <v>2.0292096761093264E-2</v>
      </c>
      <c r="AG20" s="77">
        <v>0.783758443515985</v>
      </c>
      <c r="AH20" s="169">
        <v>46687</v>
      </c>
      <c r="AI20" s="170">
        <v>2.02920967609257E-2</v>
      </c>
      <c r="AJ20" s="172">
        <f t="shared" si="4"/>
        <v>1.675638794385037E-13</v>
      </c>
      <c r="AK20" s="80">
        <v>0.78375844351551205</v>
      </c>
      <c r="AL20" s="161">
        <f t="shared" si="5"/>
        <v>4.7295500849031669E-13</v>
      </c>
      <c r="AM20" s="161"/>
    </row>
    <row r="21" spans="1:39" ht="11.25" customHeight="1" x14ac:dyDescent="0.2">
      <c r="A21" s="59" t="s">
        <v>117</v>
      </c>
      <c r="B21" s="60" t="s">
        <v>27</v>
      </c>
      <c r="C21" s="61" t="s">
        <v>6</v>
      </c>
      <c r="D21" s="61" t="s">
        <v>158</v>
      </c>
      <c r="E21" s="61" t="s">
        <v>7</v>
      </c>
      <c r="F21" s="61" t="s">
        <v>159</v>
      </c>
      <c r="G21" s="61" t="str">
        <f t="shared" si="21"/>
        <v>GbpLibor1Y</v>
      </c>
      <c r="H21" s="59" t="str">
        <f t="shared" si="22"/>
        <v>GBP6L12L1Y_LCHQuote</v>
      </c>
      <c r="I21" s="127">
        <v>0</v>
      </c>
      <c r="J21" s="64" t="str">
        <f>_xll.qlSwapRateHelper2(,$H21,0,$B21,Calendar,$D21,$E21,$F21,$G21,$I21,$C21,Discounting1,PillarDate,,Permanent,Trigger,ObjectOverwrite)</f>
        <v>obj_0056c#0005</v>
      </c>
      <c r="K21" s="64" t="str">
        <f>_xll.qlSwapRateHelper2(,$H21,0,$B21,Calendar,$D21,$E21,$F21,$G21,$I21,$C21,Discounting2,PillarDate,,Permanent,Trigger,ObjectOverwrite)</f>
        <v>obj_00563#0005</v>
      </c>
      <c r="L21" s="48"/>
      <c r="M21" s="10" t="str">
        <f t="shared" si="16"/>
        <v>BasSw</v>
      </c>
      <c r="N21" s="94" t="str">
        <f t="shared" ref="N21:O21" si="24">IF(ISBLANK(J25),"--",J25)</f>
        <v>obj_0054d#0005</v>
      </c>
      <c r="O21" s="94" t="str">
        <f t="shared" si="24"/>
        <v>obj_00570#0005</v>
      </c>
      <c r="P21" s="146" t="str">
        <f>IFERROR(_xll.qlRateHelperQuoteName(N21,Trigger),"--")</f>
        <v>GBP6L12L2Y_LCHQuote</v>
      </c>
      <c r="Q21" s="98">
        <f>IFERROR(_xll.qlRateHelperQuoteValue($N21,Trigger),"--")</f>
        <v>1.1292E-2</v>
      </c>
      <c r="R21" s="97" t="b">
        <v>1</v>
      </c>
      <c r="S21" s="94">
        <v>20</v>
      </c>
      <c r="T21" s="94">
        <v>1</v>
      </c>
      <c r="U21" s="99">
        <f>IFERROR(_xll.qlRateHelperEarliestDate(N21,Trigger),"--")</f>
        <v>42304</v>
      </c>
      <c r="V21" s="99">
        <f>IFERROR(_xll.qlRateHelperPillarDate(N21,Trigger),"--")</f>
        <v>43035</v>
      </c>
      <c r="X21" s="4" t="str">
        <f t="shared" si="18"/>
        <v>BasSw</v>
      </c>
      <c r="Y21" s="4" t="str">
        <v>obj_0053f</v>
      </c>
      <c r="Z21" s="4" t="str">
        <v>obj_00534</v>
      </c>
      <c r="AA21" s="4" t="str">
        <f>IFERROR(_xll.qlRateHelperQuoteName(Y21,Trigger),"")</f>
        <v>GBP6L12L15Y_LCHQuote</v>
      </c>
      <c r="AB21" s="70">
        <f>IFERROR(_xll.qlRateHelperRate(Y21,Trigger),"")</f>
        <v>2.104075E-2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42304</v>
      </c>
      <c r="AE21" s="5">
        <f>IFERROR(_xll.qlRateHelperPillarDate(Y21,Trigger),"")</f>
        <v>47784</v>
      </c>
      <c r="AF21" s="70">
        <v>2.1232880184454902E-2</v>
      </c>
      <c r="AG21" s="77">
        <v>0.72707407421283776</v>
      </c>
      <c r="AH21" s="169">
        <v>47784</v>
      </c>
      <c r="AI21" s="170">
        <v>2.1232880184483799E-2</v>
      </c>
      <c r="AJ21" s="172">
        <f t="shared" si="4"/>
        <v>-2.8897023662821653E-14</v>
      </c>
      <c r="AK21" s="80">
        <v>0.72707407421379999</v>
      </c>
      <c r="AL21" s="161">
        <f t="shared" si="5"/>
        <v>-9.6223029544262317E-13</v>
      </c>
      <c r="AM21" s="161"/>
    </row>
    <row r="22" spans="1:39" ht="11.25" customHeight="1" x14ac:dyDescent="0.2">
      <c r="A22" s="59" t="s">
        <v>117</v>
      </c>
      <c r="B22" s="60" t="s">
        <v>48</v>
      </c>
      <c r="C22" s="61" t="s">
        <v>6</v>
      </c>
      <c r="D22" s="61" t="s">
        <v>158</v>
      </c>
      <c r="E22" s="61" t="s">
        <v>7</v>
      </c>
      <c r="F22" s="61" t="s">
        <v>159</v>
      </c>
      <c r="G22" s="61" t="str">
        <f t="shared" si="21"/>
        <v>GbpLibor1Y</v>
      </c>
      <c r="H22" s="59" t="str">
        <f t="shared" si="22"/>
        <v>GBP6L12L15M_LCHQuote</v>
      </c>
      <c r="I22" s="127">
        <v>0</v>
      </c>
      <c r="J22" s="64" t="str">
        <f>_xll.qlSwapRateHelper2(,$H22,0,$B22,Calendar,$D22,$E22,$F22,$G22,$I22,$C22,Discounting1,PillarDate,,Permanent,Trigger,ObjectOverwrite)</f>
        <v>obj_00561#0005</v>
      </c>
      <c r="K22" s="64" t="str">
        <f>_xll.qlSwapRateHelper2(,$H22,0,$B22,Calendar,$D22,$E22,$F22,$G22,$I22,$C22,Discounting2,PillarDate,,Permanent,Trigger,ObjectOverwrite)</f>
        <v>obj_0054a#0005</v>
      </c>
      <c r="L22" s="48"/>
      <c r="M22" s="10" t="str">
        <f t="shared" si="16"/>
        <v>BasSw</v>
      </c>
      <c r="N22" s="94" t="str">
        <f t="shared" ref="N22:O22" si="25">IF(ISBLANK(J26),"--",J26)</f>
        <v>obj_0053d#0005</v>
      </c>
      <c r="O22" s="94" t="str">
        <f t="shared" si="25"/>
        <v>obj_00555#0005</v>
      </c>
      <c r="P22" s="146" t="str">
        <f>IFERROR(_xll.qlRateHelperQuoteName(N22,Trigger),"--")</f>
        <v>GBP6L12L3Y_LCHQuote</v>
      </c>
      <c r="Q22" s="98">
        <f>IFERROR(_xll.qlRateHelperQuoteValue($N22,Trigger),"--")</f>
        <v>1.2708250000000001E-2</v>
      </c>
      <c r="R22" s="97" t="b">
        <v>1</v>
      </c>
      <c r="S22" s="94">
        <v>20</v>
      </c>
      <c r="T22" s="94">
        <v>1</v>
      </c>
      <c r="U22" s="99">
        <f>IFERROR(_xll.qlRateHelperEarliestDate(N22,Trigger),"--")</f>
        <v>42304</v>
      </c>
      <c r="V22" s="99">
        <f>IFERROR(_xll.qlRateHelperPillarDate(N22,Trigger),"--")</f>
        <v>43402</v>
      </c>
      <c r="X22" s="4" t="str">
        <f t="shared" si="18"/>
        <v>BasSw</v>
      </c>
      <c r="Y22" s="4" t="str">
        <v>obj_0053e</v>
      </c>
      <c r="Z22" s="4" t="str">
        <v>obj_00572</v>
      </c>
      <c r="AA22" s="4" t="str">
        <f>IFERROR(_xll.qlRateHelperQuoteName(Y22,Trigger),"")</f>
        <v>GBP6L12L20Y_LCHQuote</v>
      </c>
      <c r="AB22" s="70">
        <f>IFERROR(_xll.qlRateHelperRate(Y22,Trigger),"")</f>
        <v>2.1614999999999999E-2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42304</v>
      </c>
      <c r="AE22" s="5">
        <f>IFERROR(_xll.qlRateHelperPillarDate(Y22,Trigger),"")</f>
        <v>49611</v>
      </c>
      <c r="AF22" s="70">
        <v>2.1827259189857298E-2</v>
      </c>
      <c r="AG22" s="77">
        <v>0.64612798553365658</v>
      </c>
      <c r="AH22" s="169">
        <v>49611</v>
      </c>
      <c r="AI22" s="170">
        <v>2.1827259190609599E-2</v>
      </c>
      <c r="AJ22" s="172">
        <f t="shared" si="4"/>
        <v>-7.5230099927381389E-13</v>
      </c>
      <c r="AK22" s="80">
        <v>0.64612798555250694</v>
      </c>
      <c r="AL22" s="161">
        <f t="shared" si="5"/>
        <v>-1.885036571280807E-11</v>
      </c>
      <c r="AM22" s="161"/>
    </row>
    <row r="23" spans="1:39" ht="11.25" customHeight="1" x14ac:dyDescent="0.2">
      <c r="A23" s="59" t="s">
        <v>117</v>
      </c>
      <c r="B23" s="60" t="s">
        <v>49</v>
      </c>
      <c r="C23" s="61" t="s">
        <v>6</v>
      </c>
      <c r="D23" s="61" t="s">
        <v>158</v>
      </c>
      <c r="E23" s="61" t="s">
        <v>7</v>
      </c>
      <c r="F23" s="61" t="s">
        <v>159</v>
      </c>
      <c r="G23" s="61" t="str">
        <f t="shared" si="21"/>
        <v>GbpLibor1Y</v>
      </c>
      <c r="H23" s="59" t="str">
        <f t="shared" si="22"/>
        <v>GBP6L12L18M_LCHQuote</v>
      </c>
      <c r="I23" s="127">
        <v>0</v>
      </c>
      <c r="J23" s="64" t="str">
        <f>_xll.qlSwapRateHelper2(,$H23,0,$B23,Calendar,$D23,$E23,$F23,$G23,$I23,$C23,Discounting1,PillarDate,,Permanent,Trigger,ObjectOverwrite)</f>
        <v>obj_0055f#0005</v>
      </c>
      <c r="K23" s="64" t="str">
        <f>_xll.qlSwapRateHelper2(,$H23,0,$B23,Calendar,$D23,$E23,$F23,$G23,$I23,$C23,Discounting2,PillarDate,,Permanent,Trigger,ObjectOverwrite)</f>
        <v>obj_0052e#0005</v>
      </c>
      <c r="L23" s="48"/>
      <c r="M23" s="10" t="str">
        <f t="shared" si="16"/>
        <v>BasSw</v>
      </c>
      <c r="N23" s="94" t="str">
        <f t="shared" ref="N23:O23" si="26">IF(ISBLANK(J27),"--",J27)</f>
        <v>obj_00542#0005</v>
      </c>
      <c r="O23" s="94" t="str">
        <f t="shared" si="26"/>
        <v>obj_00565#0005</v>
      </c>
      <c r="P23" s="146" t="str">
        <f>IFERROR(_xll.qlRateHelperQuoteName(N23,Trigger),"--")</f>
        <v>GBP6L12L4Y_LCHQuote</v>
      </c>
      <c r="Q23" s="98">
        <f>IFERROR(_xll.qlRateHelperQuoteValue($N23,Trigger),"--")</f>
        <v>1.4089000000000001E-2</v>
      </c>
      <c r="R23" s="97" t="b">
        <v>1</v>
      </c>
      <c r="S23" s="94">
        <v>20</v>
      </c>
      <c r="T23" s="94">
        <v>1</v>
      </c>
      <c r="U23" s="99">
        <f>IFERROR(_xll.qlRateHelperEarliestDate(N23,Trigger),"--")</f>
        <v>42304</v>
      </c>
      <c r="V23" s="99">
        <f>IFERROR(_xll.qlRateHelperPillarDate(N23,Trigger),"--")</f>
        <v>43766</v>
      </c>
      <c r="X23" s="4" t="str">
        <f t="shared" si="18"/>
        <v>BasSw</v>
      </c>
      <c r="Y23" s="4" t="str">
        <v>obj_00568</v>
      </c>
      <c r="Z23" s="4" t="str">
        <v>obj_00532</v>
      </c>
      <c r="AA23" s="4" t="str">
        <f>IFERROR(_xll.qlRateHelperQuoteName(Y23,Trigger),"")</f>
        <v>GBP6L12L25Y_LCHQuote</v>
      </c>
      <c r="AB23" s="70">
        <f>IFERROR(_xll.qlRateHelperRate(Y23,Trigger),"")</f>
        <v>2.1576000000000001E-2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42304</v>
      </c>
      <c r="AE23" s="5">
        <f>IFERROR(_xll.qlRateHelperPillarDate(Y23,Trigger),"")</f>
        <v>51438</v>
      </c>
      <c r="AF23" s="70">
        <v>2.171175333638788E-2</v>
      </c>
      <c r="AG23" s="77">
        <v>0.58096236184858407</v>
      </c>
      <c r="AH23" s="169">
        <v>51438</v>
      </c>
      <c r="AI23" s="170">
        <v>2.1711753336989201E-2</v>
      </c>
      <c r="AJ23" s="172">
        <f t="shared" si="4"/>
        <v>-6.0132107626564846E-13</v>
      </c>
      <c r="AK23" s="80">
        <v>0.58096236180134297</v>
      </c>
      <c r="AL23" s="161">
        <f t="shared" si="5"/>
        <v>4.7241099920825036E-11</v>
      </c>
      <c r="AM23" s="161"/>
    </row>
    <row r="24" spans="1:39" ht="11.25" customHeight="1" x14ac:dyDescent="0.2">
      <c r="A24" s="59" t="s">
        <v>117</v>
      </c>
      <c r="B24" s="60" t="s">
        <v>50</v>
      </c>
      <c r="C24" s="61" t="s">
        <v>6</v>
      </c>
      <c r="D24" s="61" t="s">
        <v>158</v>
      </c>
      <c r="E24" s="61" t="s">
        <v>7</v>
      </c>
      <c r="F24" s="61" t="s">
        <v>159</v>
      </c>
      <c r="G24" s="61" t="str">
        <f t="shared" si="21"/>
        <v>GbpLibor1Y</v>
      </c>
      <c r="H24" s="59" t="str">
        <f t="shared" si="22"/>
        <v>GBP6L12L21M_LCHQuote</v>
      </c>
      <c r="I24" s="127">
        <v>0</v>
      </c>
      <c r="J24" s="64" t="str">
        <f>_xll.qlSwapRateHelper2(,$H24,0,$B24,Calendar,$D24,$E24,$F24,$G24,$I24,$C24,Discounting1,PillarDate,,Permanent,Trigger,ObjectOverwrite)</f>
        <v>obj_00536#0005</v>
      </c>
      <c r="K24" s="64" t="str">
        <f>_xll.qlSwapRateHelper2(,$H24,0,$B24,Calendar,$D24,$E24,$F24,$G24,$I24,$C24,Discounting2,PillarDate,,Permanent,Trigger,ObjectOverwrite)</f>
        <v>obj_00575#0005</v>
      </c>
      <c r="L24" s="48"/>
      <c r="M24" s="10" t="str">
        <f t="shared" si="16"/>
        <v>BasSw</v>
      </c>
      <c r="N24" s="94" t="str">
        <f t="shared" ref="N24:O24" si="27">IF(ISBLANK(J28),"--",J28)</f>
        <v>obj_00540#0005</v>
      </c>
      <c r="O24" s="94" t="str">
        <f t="shared" si="27"/>
        <v>obj_0055e#0005</v>
      </c>
      <c r="P24" s="146" t="str">
        <f>IFERROR(_xll.qlRateHelperQuoteName(N24,Trigger),"--")</f>
        <v>GBP6L12L5Y_LCHQuote</v>
      </c>
      <c r="Q24" s="98">
        <f>IFERROR(_xll.qlRateHelperQuoteValue($N24,Trigger),"--")</f>
        <v>1.5364249999999999E-2</v>
      </c>
      <c r="R24" s="97" t="b">
        <v>1</v>
      </c>
      <c r="S24" s="94">
        <v>20</v>
      </c>
      <c r="T24" s="94">
        <v>1</v>
      </c>
      <c r="U24" s="99">
        <f>IFERROR(_xll.qlRateHelperEarliestDate(N24,Trigger),"--")</f>
        <v>42304</v>
      </c>
      <c r="V24" s="99">
        <f>IFERROR(_xll.qlRateHelperPillarDate(N24,Trigger),"--")</f>
        <v>44131</v>
      </c>
      <c r="X24" s="4" t="str">
        <f t="shared" si="18"/>
        <v>BasSw</v>
      </c>
      <c r="Y24" s="4" t="str">
        <v>obj_00541</v>
      </c>
      <c r="Z24" s="4" t="str">
        <v>obj_00537</v>
      </c>
      <c r="AA24" s="4" t="str">
        <f>IFERROR(_xll.qlRateHelperQuoteName(Y24,Trigger),"")</f>
        <v>GBP6L12L30Y_LCHQuote</v>
      </c>
      <c r="AB24" s="70">
        <f>IFERROR(_xll.qlRateHelperRate(Y24,Trigger),"")</f>
        <v>2.1436E-2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42304</v>
      </c>
      <c r="AE24" s="5">
        <f>IFERROR(_xll.qlRateHelperPillarDate(Y24,Trigger),"")</f>
        <v>53262</v>
      </c>
      <c r="AF24" s="70">
        <v>2.148625434799489E-2</v>
      </c>
      <c r="AG24" s="77">
        <v>0.52478271702133039</v>
      </c>
      <c r="AH24" s="169">
        <v>53262</v>
      </c>
      <c r="AI24" s="170">
        <v>2.1486254348496301E-2</v>
      </c>
      <c r="AJ24" s="172">
        <f t="shared" si="4"/>
        <v>-5.0141141239024023E-13</v>
      </c>
      <c r="AK24" s="80">
        <v>0.52478271719351899</v>
      </c>
      <c r="AL24" s="161">
        <f t="shared" si="5"/>
        <v>-1.7218859671430664E-10</v>
      </c>
      <c r="AM24" s="161"/>
    </row>
    <row r="25" spans="1:39" ht="11.25" customHeight="1" x14ac:dyDescent="0.2">
      <c r="A25" s="59" t="s">
        <v>117</v>
      </c>
      <c r="B25" s="60" t="s">
        <v>51</v>
      </c>
      <c r="C25" s="61" t="s">
        <v>6</v>
      </c>
      <c r="D25" s="61" t="s">
        <v>158</v>
      </c>
      <c r="E25" s="61" t="s">
        <v>7</v>
      </c>
      <c r="F25" s="61" t="s">
        <v>159</v>
      </c>
      <c r="G25" s="61" t="str">
        <f t="shared" si="21"/>
        <v>GbpLibor1Y</v>
      </c>
      <c r="H25" s="59" t="str">
        <f t="shared" si="22"/>
        <v>GBP6L12L2Y_LCHQuote</v>
      </c>
      <c r="I25" s="127">
        <v>0</v>
      </c>
      <c r="J25" s="64" t="str">
        <f>_xll.qlSwapRateHelper2(,$H25,0,$B25,Calendar,$D25,$E25,$F25,$G25,$I25,$C25,Discounting1,PillarDate,,Permanent,Trigger,ObjectOverwrite)</f>
        <v>obj_0054d#0005</v>
      </c>
      <c r="K25" s="64" t="str">
        <f>_xll.qlSwapRateHelper2(,$H25,0,$B25,Calendar,$D25,$E25,$F25,$G25,$I25,$C25,Discounting2,PillarDate,,Permanent,Trigger,ObjectOverwrite)</f>
        <v>obj_00570#0005</v>
      </c>
      <c r="L25" s="48"/>
      <c r="M25" s="10" t="str">
        <f t="shared" si="16"/>
        <v>BasSw</v>
      </c>
      <c r="N25" s="94" t="str">
        <f t="shared" ref="N25:O25" si="28">IF(ISBLANK(J29),"--",J29)</f>
        <v>obj_0053a#0005</v>
      </c>
      <c r="O25" s="94" t="str">
        <f t="shared" si="28"/>
        <v>obj_00560#0005</v>
      </c>
      <c r="P25" s="146" t="str">
        <f>IFERROR(_xll.qlRateHelperQuoteName(N25,Trigger),"--")</f>
        <v>GBP6L12L6Y_LCHQuote</v>
      </c>
      <c r="Q25" s="98">
        <f>IFERROR(_xll.qlRateHelperQuoteValue($N25,Trigger),"--")</f>
        <v>1.6472000000000001E-2</v>
      </c>
      <c r="R25" s="97" t="b">
        <v>1</v>
      </c>
      <c r="S25" s="94">
        <v>20</v>
      </c>
      <c r="T25" s="94">
        <v>1</v>
      </c>
      <c r="U25" s="99">
        <f>IFERROR(_xll.qlRateHelperEarliestDate(N25,Trigger),"--")</f>
        <v>42304</v>
      </c>
      <c r="V25" s="99">
        <f>IFERROR(_xll.qlRateHelperPillarDate(N25,Trigger),"--")</f>
        <v>44496</v>
      </c>
      <c r="X25" s="4" t="str">
        <f t="shared" si="18"/>
        <v>BasSw</v>
      </c>
      <c r="Y25" s="4" t="str">
        <v>obj_00558</v>
      </c>
      <c r="Z25" s="4" t="str">
        <v>obj_00531</v>
      </c>
      <c r="AA25" s="4" t="str">
        <f>IFERROR(_xll.qlRateHelperQuoteName(Y25,Trigger),"")</f>
        <v>GBP6L12L40Y_LCHQuote</v>
      </c>
      <c r="AB25" s="70">
        <f>IFERROR(_xll.qlRateHelperRate(Y25,Trigger),"")</f>
        <v>2.08739999999999E-2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42304</v>
      </c>
      <c r="AE25" s="5">
        <f>IFERROR(_xll.qlRateHelperPillarDate(Y25,Trigger),"")</f>
        <v>56914</v>
      </c>
      <c r="AF25" s="70">
        <v>2.0673393117599467E-2</v>
      </c>
      <c r="AG25" s="77">
        <v>0.43726835934834163</v>
      </c>
      <c r="AH25" s="169">
        <v>56914</v>
      </c>
      <c r="AI25" s="170">
        <v>2.0673393118001499E-2</v>
      </c>
      <c r="AJ25" s="172">
        <f t="shared" si="4"/>
        <v>-4.020325738984809E-13</v>
      </c>
      <c r="AK25" s="80">
        <v>0.437268356135457</v>
      </c>
      <c r="AL25" s="161">
        <f t="shared" si="5"/>
        <v>3.2128846250145671E-9</v>
      </c>
      <c r="AM25" s="161"/>
    </row>
    <row r="26" spans="1:39" ht="11.25" customHeight="1" x14ac:dyDescent="0.2">
      <c r="A26" s="59" t="s">
        <v>117</v>
      </c>
      <c r="B26" s="60" t="s">
        <v>52</v>
      </c>
      <c r="C26" s="61" t="s">
        <v>6</v>
      </c>
      <c r="D26" s="61" t="s">
        <v>158</v>
      </c>
      <c r="E26" s="61" t="s">
        <v>7</v>
      </c>
      <c r="F26" s="61" t="s">
        <v>159</v>
      </c>
      <c r="G26" s="61" t="str">
        <f t="shared" si="21"/>
        <v>GbpLibor1Y</v>
      </c>
      <c r="H26" s="59" t="str">
        <f t="shared" si="22"/>
        <v>GBP6L12L3Y_LCHQuote</v>
      </c>
      <c r="I26" s="127">
        <v>0</v>
      </c>
      <c r="J26" s="64" t="str">
        <f>_xll.qlSwapRateHelper2(,$H26,0,$B26,Calendar,$D26,$E26,$F26,$G26,$I26,$C26,Discounting1,PillarDate,,Permanent,Trigger,ObjectOverwrite)</f>
        <v>obj_0053d#0005</v>
      </c>
      <c r="K26" s="64" t="str">
        <f>_xll.qlSwapRateHelper2(,$H26,0,$B26,Calendar,$D26,$E26,$F26,$G26,$I26,$C26,Discounting2,PillarDate,,Permanent,Trigger,ObjectOverwrite)</f>
        <v>obj_00555#0005</v>
      </c>
      <c r="L26" s="48"/>
      <c r="M26" s="10" t="str">
        <f t="shared" si="16"/>
        <v>BasSw</v>
      </c>
      <c r="N26" s="94" t="str">
        <f t="shared" ref="N26:O26" si="29">IF(ISBLANK(J30),"--",J30)</f>
        <v>obj_0056b#0005</v>
      </c>
      <c r="O26" s="94" t="str">
        <f t="shared" si="29"/>
        <v>obj_00571#0005</v>
      </c>
      <c r="P26" s="146" t="str">
        <f>IFERROR(_xll.qlRateHelperQuoteName(N26,Trigger),"--")</f>
        <v>GBP6L12L7Y_LCHQuote</v>
      </c>
      <c r="Q26" s="98">
        <f>IFERROR(_xll.qlRateHelperQuoteValue($N26,Trigger),"--")</f>
        <v>1.738775E-2</v>
      </c>
      <c r="R26" s="97" t="b">
        <v>1</v>
      </c>
      <c r="S26" s="94">
        <v>20</v>
      </c>
      <c r="T26" s="94">
        <v>1</v>
      </c>
      <c r="U26" s="99">
        <f>IFERROR(_xll.qlRateHelperEarliestDate(N26,Trigger),"--")</f>
        <v>42304</v>
      </c>
      <c r="V26" s="99">
        <f>IFERROR(_xll.qlRateHelperPillarDate(N26,Trigger),"--")</f>
        <v>44861</v>
      </c>
      <c r="X26" s="4" t="str">
        <f t="shared" si="18"/>
        <v>BasSw</v>
      </c>
      <c r="Y26" s="4" t="str">
        <v>obj_00574</v>
      </c>
      <c r="Z26" s="4" t="str">
        <v>obj_00543</v>
      </c>
      <c r="AA26" s="4" t="str">
        <f>IFERROR(_xll.qlRateHelperQuoteName(Y26,Trigger),"")</f>
        <v>GBP6L12L50Y_LCHQuote</v>
      </c>
      <c r="AB26" s="70">
        <f>IFERROR(_xll.qlRateHelperRate(Y26,Trigger),"")</f>
        <v>2.0546000000000099E-2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42304</v>
      </c>
      <c r="AE26" s="5">
        <f>IFERROR(_xll.qlRateHelperPillarDate(Y26,Trigger),"")</f>
        <v>60567</v>
      </c>
      <c r="AF26" s="70">
        <v>2.0201069969923335E-2</v>
      </c>
      <c r="AG26" s="77">
        <v>0.36394686127419479</v>
      </c>
      <c r="AH26" s="169">
        <v>60567</v>
      </c>
      <c r="AI26" s="170">
        <v>2.0201069970263E-2</v>
      </c>
      <c r="AJ26" s="172">
        <f t="shared" si="4"/>
        <v>-3.3966579549016274E-13</v>
      </c>
      <c r="AK26" s="80">
        <v>0.36394687081649402</v>
      </c>
      <c r="AL26" s="161">
        <f t="shared" si="5"/>
        <v>-9.5422992285598696E-9</v>
      </c>
      <c r="AM26" s="161"/>
    </row>
    <row r="27" spans="1:39" ht="11.25" customHeight="1" x14ac:dyDescent="0.2">
      <c r="A27" s="59" t="s">
        <v>117</v>
      </c>
      <c r="B27" s="60" t="s">
        <v>53</v>
      </c>
      <c r="C27" s="61" t="s">
        <v>6</v>
      </c>
      <c r="D27" s="61" t="s">
        <v>158</v>
      </c>
      <c r="E27" s="61" t="s">
        <v>7</v>
      </c>
      <c r="F27" s="61" t="s">
        <v>159</v>
      </c>
      <c r="G27" s="61" t="str">
        <f t="shared" si="21"/>
        <v>GbpLibor1Y</v>
      </c>
      <c r="H27" s="59" t="str">
        <f t="shared" si="22"/>
        <v>GBP6L12L4Y_LCHQuote</v>
      </c>
      <c r="I27" s="127">
        <v>0</v>
      </c>
      <c r="J27" s="64" t="str">
        <f>_xll.qlSwapRateHelper2(,$H27,0,$B27,Calendar,$D27,$E27,$F27,$G27,$I27,$C27,Discounting1,PillarDate,,Permanent,Trigger,ObjectOverwrite)</f>
        <v>obj_00542#0005</v>
      </c>
      <c r="K27" s="64" t="str">
        <f>_xll.qlSwapRateHelper2(,$H27,0,$B27,Calendar,$D27,$E27,$F27,$G27,$I27,$C27,Discounting2,PillarDate,,Permanent,Trigger,ObjectOverwrite)</f>
        <v>obj_00565#0005</v>
      </c>
      <c r="L27" s="48"/>
      <c r="M27" s="10" t="str">
        <f t="shared" si="16"/>
        <v>BasSw</v>
      </c>
      <c r="N27" s="94" t="str">
        <f t="shared" ref="N27:O27" si="30">IF(ISBLANK(J31),"--",J31)</f>
        <v>obj_0056e#0005</v>
      </c>
      <c r="O27" s="94" t="str">
        <f t="shared" si="30"/>
        <v>obj_00577#0005</v>
      </c>
      <c r="P27" s="146" t="str">
        <f>IFERROR(_xll.qlRateHelperQuoteName(N27,Trigger),"--")</f>
        <v>GBP6L12L8Y_LCHQuote</v>
      </c>
      <c r="Q27" s="98">
        <f>IFERROR(_xll.qlRateHelperQuoteValue($N27,Trigger),"--")</f>
        <v>1.8128999999999999E-2</v>
      </c>
      <c r="R27" s="97" t="b">
        <v>1</v>
      </c>
      <c r="S27" s="94">
        <v>20</v>
      </c>
      <c r="T27" s="94">
        <v>1</v>
      </c>
      <c r="U27" s="99">
        <f>IFERROR(_xll.qlRateHelperEarliestDate(N27,Trigger),"--")</f>
        <v>42304</v>
      </c>
      <c r="V27" s="99">
        <f>IFERROR(_xll.qlRateHelperPillarDate(N27,Trigger),"--")</f>
        <v>45226</v>
      </c>
      <c r="X27" s="4" t="str">
        <f t="shared" si="18"/>
        <v>BasSw</v>
      </c>
      <c r="Y27" s="4" t="str">
        <v>obj_00533</v>
      </c>
      <c r="Z27" s="4" t="str">
        <v>obj_00552</v>
      </c>
      <c r="AA27" s="4" t="str">
        <f>IFERROR(_xll.qlRateHelperQuoteName(Y27,Trigger),"")</f>
        <v>GBP6L12L60Y_LCHQuote</v>
      </c>
      <c r="AB27" s="70">
        <f>IFERROR(_xll.qlRateHelperRate(Y27,Trigger),"")</f>
        <v>2.0330500000000098E-2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42304</v>
      </c>
      <c r="AE27" s="5">
        <f>IFERROR(_xll.qlRateHelperPillarDate(Y27,Trigger),"")</f>
        <v>64220</v>
      </c>
      <c r="AF27" s="70">
        <v>1.9885689448250234E-2</v>
      </c>
      <c r="AG27" s="77">
        <v>0.30298328492164578</v>
      </c>
      <c r="AH27" s="169">
        <v>64220</v>
      </c>
      <c r="AI27" s="170">
        <v>1.9885610144344E-2</v>
      </c>
      <c r="AJ27" s="172">
        <f t="shared" si="4"/>
        <v>7.9303906233563204E-8</v>
      </c>
      <c r="AK27" s="80">
        <v>0.30298454695643501</v>
      </c>
      <c r="AL27" s="161">
        <f t="shared" si="5"/>
        <v>-1.2620347892289274E-6</v>
      </c>
      <c r="AM27" s="161"/>
    </row>
    <row r="28" spans="1:39" ht="11.25" customHeight="1" x14ac:dyDescent="0.2">
      <c r="A28" s="59" t="s">
        <v>117</v>
      </c>
      <c r="B28" s="60" t="s">
        <v>54</v>
      </c>
      <c r="C28" s="61" t="s">
        <v>6</v>
      </c>
      <c r="D28" s="61" t="s">
        <v>158</v>
      </c>
      <c r="E28" s="61" t="s">
        <v>7</v>
      </c>
      <c r="F28" s="61" t="s">
        <v>159</v>
      </c>
      <c r="G28" s="61" t="str">
        <f t="shared" si="21"/>
        <v>GbpLibor1Y</v>
      </c>
      <c r="H28" s="59" t="str">
        <f t="shared" si="22"/>
        <v>GBP6L12L5Y_LCHQuote</v>
      </c>
      <c r="I28" s="127">
        <v>0</v>
      </c>
      <c r="J28" s="64" t="str">
        <f>_xll.qlSwapRateHelper2(,$H28,0,$B28,Calendar,$D28,$E28,$F28,$G28,$I28,$C28,Discounting1,PillarDate,,Permanent,Trigger,ObjectOverwrite)</f>
        <v>obj_00540#0005</v>
      </c>
      <c r="K28" s="64" t="str">
        <f>_xll.qlSwapRateHelper2(,$H28,0,$B28,Calendar,$D28,$E28,$F28,$G28,$I28,$C28,Discounting2,PillarDate,,Permanent,Trigger,ObjectOverwrite)</f>
        <v>obj_0055e#0005</v>
      </c>
      <c r="L28" s="48"/>
      <c r="M28" s="10" t="str">
        <f t="shared" si="16"/>
        <v>BasSw</v>
      </c>
      <c r="N28" s="94" t="str">
        <f t="shared" ref="N28:O28" si="31">IF(ISBLANK(J32),"--",J32)</f>
        <v>obj_00566#0005</v>
      </c>
      <c r="O28" s="94" t="str">
        <f t="shared" si="31"/>
        <v>obj_00549#0005</v>
      </c>
      <c r="P28" s="146" t="str">
        <f>IFERROR(_xll.qlRateHelperQuoteName(N28,Trigger),"--")</f>
        <v>GBP6L12L9Y_LCHQuote</v>
      </c>
      <c r="Q28" s="98">
        <f>IFERROR(_xll.qlRateHelperQuoteValue($N28,Trigger),"--")</f>
        <v>1.8735999999999999E-2</v>
      </c>
      <c r="R28" s="97" t="b">
        <v>1</v>
      </c>
      <c r="S28" s="94">
        <v>20</v>
      </c>
      <c r="T28" s="94">
        <v>1</v>
      </c>
      <c r="U28" s="99">
        <f>IFERROR(_xll.qlRateHelperEarliestDate(N28,Trigger),"--")</f>
        <v>42304</v>
      </c>
      <c r="V28" s="99">
        <f>IFERROR(_xll.qlRateHelperPillarDate(N28,Trigger),"--")</f>
        <v>45593</v>
      </c>
      <c r="X28" s="4" t="str">
        <f t="shared" si="18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4"/>
        <v>#N/A</v>
      </c>
      <c r="AK28" s="80" t="e">
        <v>#N/A</v>
      </c>
      <c r="AL28" s="161" t="e">
        <f t="shared" si="5"/>
        <v>#N/A</v>
      </c>
      <c r="AM28" s="161"/>
    </row>
    <row r="29" spans="1:39" ht="11.25" customHeight="1" x14ac:dyDescent="0.2">
      <c r="A29" s="59" t="s">
        <v>117</v>
      </c>
      <c r="B29" s="60" t="s">
        <v>55</v>
      </c>
      <c r="C29" s="61" t="s">
        <v>6</v>
      </c>
      <c r="D29" s="61" t="s">
        <v>158</v>
      </c>
      <c r="E29" s="61" t="s">
        <v>7</v>
      </c>
      <c r="F29" s="61" t="s">
        <v>159</v>
      </c>
      <c r="G29" s="61" t="str">
        <f t="shared" si="21"/>
        <v>GbpLibor1Y</v>
      </c>
      <c r="H29" s="59" t="str">
        <f t="shared" si="22"/>
        <v>GBP6L12L6Y_LCHQuote</v>
      </c>
      <c r="I29" s="127">
        <v>0</v>
      </c>
      <c r="J29" s="64" t="str">
        <f>_xll.qlSwapRateHelper2(,$H29,0,$B29,Calendar,$D29,$E29,$F29,$G29,$I29,$C29,Discounting1,PillarDate,,Permanent,Trigger,ObjectOverwrite)</f>
        <v>obj_0053a#0005</v>
      </c>
      <c r="K29" s="64" t="str">
        <f>_xll.qlSwapRateHelper2(,$H29,0,$B29,Calendar,$D29,$E29,$F29,$G29,$I29,$C29,Discounting2,PillarDate,,Permanent,Trigger,ObjectOverwrite)</f>
        <v>obj_00560#0005</v>
      </c>
      <c r="L29" s="48"/>
      <c r="M29" s="10" t="str">
        <f t="shared" si="16"/>
        <v>BasSw</v>
      </c>
      <c r="N29" s="94" t="str">
        <f t="shared" ref="N29:O29" si="32">IF(ISBLANK(J33),"--",J33)</f>
        <v>obj_0054e#0005</v>
      </c>
      <c r="O29" s="94" t="str">
        <f t="shared" si="32"/>
        <v>obj_0052f#0005</v>
      </c>
      <c r="P29" s="146" t="str">
        <f>IFERROR(_xll.qlRateHelperQuoteName(N29,Trigger),"--")</f>
        <v>GBP6L12L10Y_LCHQuote</v>
      </c>
      <c r="Q29" s="98">
        <f>IFERROR(_xll.qlRateHelperQuoteValue($N29,Trigger),"--")</f>
        <v>1.9273999999999899E-2</v>
      </c>
      <c r="R29" s="97" t="b">
        <v>1</v>
      </c>
      <c r="S29" s="94">
        <v>20</v>
      </c>
      <c r="T29" s="94">
        <v>1</v>
      </c>
      <c r="U29" s="99">
        <f>IFERROR(_xll.qlRateHelperEarliestDate(N29,Trigger),"--")</f>
        <v>42304</v>
      </c>
      <c r="V29" s="99">
        <f>IFERROR(_xll.qlRateHelperPillarDate(N29,Trigger),"--")</f>
        <v>45957</v>
      </c>
      <c r="X29" s="4" t="str">
        <f t="shared" si="18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4"/>
        <v>#N/A</v>
      </c>
      <c r="AK29" s="80" t="e">
        <v>#N/A</v>
      </c>
      <c r="AL29" s="161" t="e">
        <f t="shared" si="5"/>
        <v>#N/A</v>
      </c>
      <c r="AM29" s="161"/>
    </row>
    <row r="30" spans="1:39" ht="11.25" customHeight="1" x14ac:dyDescent="0.2">
      <c r="A30" s="59" t="s">
        <v>117</v>
      </c>
      <c r="B30" s="60" t="s">
        <v>56</v>
      </c>
      <c r="C30" s="61" t="s">
        <v>6</v>
      </c>
      <c r="D30" s="61" t="s">
        <v>158</v>
      </c>
      <c r="E30" s="61" t="s">
        <v>7</v>
      </c>
      <c r="F30" s="61" t="s">
        <v>159</v>
      </c>
      <c r="G30" s="61" t="str">
        <f t="shared" si="21"/>
        <v>GbpLibor1Y</v>
      </c>
      <c r="H30" s="59" t="str">
        <f t="shared" si="22"/>
        <v>GBP6L12L7Y_LCHQuote</v>
      </c>
      <c r="I30" s="127">
        <v>0</v>
      </c>
      <c r="J30" s="64" t="str">
        <f>_xll.qlSwapRateHelper2(,$H30,0,$B30,Calendar,$D30,$E30,$F30,$G30,$I30,$C30,Discounting1,PillarDate,,Permanent,Trigger,ObjectOverwrite)</f>
        <v>obj_0056b#0005</v>
      </c>
      <c r="K30" s="64" t="str">
        <f>_xll.qlSwapRateHelper2(,$H30,0,$B30,Calendar,$D30,$E30,$F30,$G30,$I30,$C30,Discounting2,PillarDate,,Permanent,Trigger,ObjectOverwrite)</f>
        <v>obj_00571#0005</v>
      </c>
      <c r="L30" s="48"/>
      <c r="M30" s="10" t="str">
        <f t="shared" si="16"/>
        <v>BasSw</v>
      </c>
      <c r="N30" s="94" t="str">
        <f t="shared" ref="N30:O30" si="33">IF(ISBLANK(J34),"--",J34)</f>
        <v>obj_00535#0005</v>
      </c>
      <c r="O30" s="94" t="str">
        <f t="shared" si="33"/>
        <v>obj_00530#0005</v>
      </c>
      <c r="P30" s="146" t="str">
        <f>IFERROR(_xll.qlRateHelperQuoteName(N30,Trigger),"--")</f>
        <v>GBP6L12L11Y_LCHQuote</v>
      </c>
      <c r="Q30" s="98" t="str">
        <f>IFERROR(_xll.qlRateHelperQuoteValue($N30,Trigger),"--")</f>
        <v>--</v>
      </c>
      <c r="R30" s="97" t="b">
        <v>0</v>
      </c>
      <c r="S30" s="94">
        <v>20</v>
      </c>
      <c r="T30" s="94">
        <v>1</v>
      </c>
      <c r="U30" s="99">
        <f>IFERROR(_xll.qlRateHelperEarliestDate(N30,Trigger),"--")</f>
        <v>42304</v>
      </c>
      <c r="V30" s="99">
        <f>IFERROR(_xll.qlRateHelperPillarDate(N30,Trigger),"--")</f>
        <v>46322</v>
      </c>
      <c r="X30" s="4" t="str">
        <f t="shared" si="18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4"/>
        <v>#N/A</v>
      </c>
      <c r="AK30" s="80" t="e">
        <v>#N/A</v>
      </c>
      <c r="AL30" s="161" t="e">
        <f t="shared" si="5"/>
        <v>#N/A</v>
      </c>
      <c r="AM30" s="161"/>
    </row>
    <row r="31" spans="1:39" ht="11.25" customHeight="1" x14ac:dyDescent="0.2">
      <c r="A31" s="59" t="s">
        <v>117</v>
      </c>
      <c r="B31" s="60" t="s">
        <v>57</v>
      </c>
      <c r="C31" s="61" t="s">
        <v>6</v>
      </c>
      <c r="D31" s="61" t="s">
        <v>158</v>
      </c>
      <c r="E31" s="61" t="s">
        <v>7</v>
      </c>
      <c r="F31" s="61" t="s">
        <v>159</v>
      </c>
      <c r="G31" s="61" t="str">
        <f t="shared" si="21"/>
        <v>GbpLibor1Y</v>
      </c>
      <c r="H31" s="59" t="str">
        <f t="shared" si="22"/>
        <v>GBP6L12L8Y_LCHQuote</v>
      </c>
      <c r="I31" s="127">
        <v>0</v>
      </c>
      <c r="J31" s="64" t="str">
        <f>_xll.qlSwapRateHelper2(,$H31,0,$B31,Calendar,$D31,$E31,$F31,$G31,$I31,$C31,Discounting1,PillarDate,,Permanent,Trigger,ObjectOverwrite)</f>
        <v>obj_0056e#0005</v>
      </c>
      <c r="K31" s="64" t="str">
        <f>_xll.qlSwapRateHelper2(,$H31,0,$B31,Calendar,$D31,$E31,$F31,$G31,$I31,$C31,Discounting2,PillarDate,,Permanent,Trigger,ObjectOverwrite)</f>
        <v>obj_00577#0005</v>
      </c>
      <c r="L31" s="48"/>
      <c r="M31" s="10" t="str">
        <f t="shared" si="16"/>
        <v>BasSw</v>
      </c>
      <c r="N31" s="94" t="str">
        <f t="shared" ref="N31:O31" si="34">IF(ISBLANK(J35),"--",J35)</f>
        <v>obj_00547#0005</v>
      </c>
      <c r="O31" s="94" t="str">
        <f t="shared" si="34"/>
        <v>obj_0052c#0005</v>
      </c>
      <c r="P31" s="146" t="str">
        <f>IFERROR(_xll.qlRateHelperQuoteName(N31,Trigger),"--")</f>
        <v>GBP6L12L12Y_LCHQuote</v>
      </c>
      <c r="Q31" s="98">
        <f>IFERROR(_xll.qlRateHelperQuoteValue($N31,Trigger),"--")</f>
        <v>2.0159E-2</v>
      </c>
      <c r="R31" s="97" t="b">
        <v>1</v>
      </c>
      <c r="S31" s="94">
        <v>20</v>
      </c>
      <c r="T31" s="94">
        <v>1</v>
      </c>
      <c r="U31" s="99">
        <f>IFERROR(_xll.qlRateHelperEarliestDate(N31,Trigger),"--")</f>
        <v>42304</v>
      </c>
      <c r="V31" s="99">
        <f>IFERROR(_xll.qlRateHelperPillarDate(N31,Trigger),"--")</f>
        <v>46687</v>
      </c>
      <c r="X31" s="4" t="str">
        <f t="shared" si="18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4"/>
        <v>#N/A</v>
      </c>
      <c r="AK31" s="80" t="e">
        <v>#N/A</v>
      </c>
      <c r="AL31" s="161" t="e">
        <f t="shared" si="5"/>
        <v>#N/A</v>
      </c>
      <c r="AM31" s="161"/>
    </row>
    <row r="32" spans="1:39" ht="11.25" customHeight="1" x14ac:dyDescent="0.2">
      <c r="A32" s="59" t="s">
        <v>117</v>
      </c>
      <c r="B32" s="60" t="s">
        <v>58</v>
      </c>
      <c r="C32" s="61" t="s">
        <v>6</v>
      </c>
      <c r="D32" s="61" t="s">
        <v>158</v>
      </c>
      <c r="E32" s="61" t="s">
        <v>7</v>
      </c>
      <c r="F32" s="61" t="s">
        <v>159</v>
      </c>
      <c r="G32" s="61" t="str">
        <f t="shared" si="21"/>
        <v>GbpLibor1Y</v>
      </c>
      <c r="H32" s="59" t="str">
        <f t="shared" si="22"/>
        <v>GBP6L12L9Y_LCHQuote</v>
      </c>
      <c r="I32" s="127">
        <v>0</v>
      </c>
      <c r="J32" s="64" t="str">
        <f>_xll.qlSwapRateHelper2(,$H32,0,$B32,Calendar,$D32,$E32,$F32,$G32,$I32,$C32,Discounting1,PillarDate,,Permanent,Trigger,ObjectOverwrite)</f>
        <v>obj_00566#0005</v>
      </c>
      <c r="K32" s="64" t="str">
        <f>_xll.qlSwapRateHelper2(,$H32,0,$B32,Calendar,$D32,$E32,$F32,$G32,$I32,$C32,Discounting2,PillarDate,,Permanent,Trigger,ObjectOverwrite)</f>
        <v>obj_00549#0005</v>
      </c>
      <c r="L32" s="48"/>
      <c r="M32" s="10" t="str">
        <f t="shared" si="16"/>
        <v>BasSw</v>
      </c>
      <c r="N32" s="94" t="str">
        <f t="shared" ref="N32:O32" si="35">IF(ISBLANK(J36),"--",J36)</f>
        <v>obj_00573#0005</v>
      </c>
      <c r="O32" s="94" t="str">
        <f t="shared" si="35"/>
        <v>obj_0055b#0005</v>
      </c>
      <c r="P32" s="146" t="str">
        <f>IFERROR(_xll.qlRateHelperQuoteName(N32,Trigger),"--")</f>
        <v>GBP6L12L13Y_LCHQuote</v>
      </c>
      <c r="Q32" s="98" t="str">
        <f>IFERROR(_xll.qlRateHelperQuoteValue($N32,Trigger),"--")</f>
        <v>--</v>
      </c>
      <c r="R32" s="97" t="b">
        <v>0</v>
      </c>
      <c r="S32" s="94">
        <v>20</v>
      </c>
      <c r="T32" s="94">
        <v>1</v>
      </c>
      <c r="U32" s="99">
        <f>IFERROR(_xll.qlRateHelperEarliestDate(N32,Trigger),"--")</f>
        <v>42304</v>
      </c>
      <c r="V32" s="99">
        <f>IFERROR(_xll.qlRateHelperPillarDate(N32,Trigger),"--")</f>
        <v>47053</v>
      </c>
      <c r="X32" s="4" t="str">
        <f t="shared" si="18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4"/>
        <v>#N/A</v>
      </c>
      <c r="AK32" s="80" t="e">
        <v>#N/A</v>
      </c>
      <c r="AL32" s="161" t="e">
        <f t="shared" si="5"/>
        <v>#N/A</v>
      </c>
      <c r="AM32" s="161"/>
    </row>
    <row r="33" spans="1:39" ht="11.25" customHeight="1" x14ac:dyDescent="0.2">
      <c r="A33" s="59" t="s">
        <v>117</v>
      </c>
      <c r="B33" s="60" t="s">
        <v>59</v>
      </c>
      <c r="C33" s="61" t="s">
        <v>6</v>
      </c>
      <c r="D33" s="61" t="s">
        <v>158</v>
      </c>
      <c r="E33" s="61" t="s">
        <v>7</v>
      </c>
      <c r="F33" s="61" t="s">
        <v>159</v>
      </c>
      <c r="G33" s="61" t="str">
        <f t="shared" si="21"/>
        <v>GbpLibor1Y</v>
      </c>
      <c r="H33" s="59" t="str">
        <f t="shared" si="22"/>
        <v>GBP6L12L10Y_LCHQuote</v>
      </c>
      <c r="I33" s="127">
        <v>0</v>
      </c>
      <c r="J33" s="64" t="str">
        <f>_xll.qlSwapRateHelper2(,$H33,0,$B33,Calendar,$D33,$E33,$F33,$G33,$I33,$C33,Discounting1,PillarDate,,Permanent,Trigger,ObjectOverwrite)</f>
        <v>obj_0054e#0005</v>
      </c>
      <c r="K33" s="64" t="str">
        <f>_xll.qlSwapRateHelper2(,$H33,0,$B33,Calendar,$D33,$E33,$F33,$G33,$I33,$C33,Discounting2,PillarDate,,Permanent,Trigger,ObjectOverwrite)</f>
        <v>obj_0052f#0005</v>
      </c>
      <c r="L33" s="48"/>
      <c r="M33" s="10" t="str">
        <f t="shared" si="16"/>
        <v>BasSw</v>
      </c>
      <c r="N33" s="94" t="str">
        <f t="shared" ref="N33:O33" si="36">IF(ISBLANK(J37),"--",J37)</f>
        <v>obj_0056d#0005</v>
      </c>
      <c r="O33" s="94" t="str">
        <f t="shared" si="36"/>
        <v>obj_00551#0005</v>
      </c>
      <c r="P33" s="146" t="str">
        <f>IFERROR(_xll.qlRateHelperQuoteName(N33,Trigger),"--")</f>
        <v>GBP6L12L14Y_LCHQuote</v>
      </c>
      <c r="Q33" s="98" t="str">
        <f>IFERROR(_xll.qlRateHelperQuoteValue($N33,Trigger),"--")</f>
        <v>--</v>
      </c>
      <c r="R33" s="97" t="b">
        <v>0</v>
      </c>
      <c r="S33" s="94">
        <v>20</v>
      </c>
      <c r="T33" s="94">
        <v>1</v>
      </c>
      <c r="U33" s="99">
        <f>IFERROR(_xll.qlRateHelperEarliestDate(N33,Trigger),"--")</f>
        <v>42304</v>
      </c>
      <c r="V33" s="99">
        <f>IFERROR(_xll.qlRateHelperPillarDate(N33,Trigger),"--")</f>
        <v>47420</v>
      </c>
      <c r="X33" s="4" t="str">
        <f t="shared" si="18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4"/>
        <v>#N/A</v>
      </c>
      <c r="AK33" s="80" t="e">
        <v>#N/A</v>
      </c>
      <c r="AL33" s="161" t="e">
        <f t="shared" si="5"/>
        <v>#N/A</v>
      </c>
      <c r="AM33" s="161"/>
    </row>
    <row r="34" spans="1:39" ht="11.25" customHeight="1" x14ac:dyDescent="0.2">
      <c r="A34" s="59" t="s">
        <v>117</v>
      </c>
      <c r="B34" s="60" t="s">
        <v>97</v>
      </c>
      <c r="C34" s="61" t="s">
        <v>6</v>
      </c>
      <c r="D34" s="61" t="s">
        <v>158</v>
      </c>
      <c r="E34" s="61" t="s">
        <v>7</v>
      </c>
      <c r="F34" s="61" t="s">
        <v>159</v>
      </c>
      <c r="G34" s="61" t="str">
        <f t="shared" si="21"/>
        <v>GbpLibor1Y</v>
      </c>
      <c r="H34" s="59" t="str">
        <f t="shared" si="22"/>
        <v>GBP6L12L11Y_LCHQuote</v>
      </c>
      <c r="I34" s="127">
        <v>0</v>
      </c>
      <c r="J34" s="64" t="str">
        <f>_xll.qlSwapRateHelper2(,$H34,0,$B34,Calendar,$D34,$E34,$F34,$G34,$I34,$C34,Discounting1,PillarDate,,Permanent,Trigger,ObjectOverwrite)</f>
        <v>obj_00535#0005</v>
      </c>
      <c r="K34" s="64" t="str">
        <f>_xll.qlSwapRateHelper2(,$H34,0,$B34,Calendar,$D34,$E34,$F34,$G34,$I34,$C34,Discounting2,PillarDate,,Permanent,Trigger,ObjectOverwrite)</f>
        <v>obj_00530#0005</v>
      </c>
      <c r="L34" s="48"/>
      <c r="M34" s="10" t="str">
        <f t="shared" si="16"/>
        <v>BasSw</v>
      </c>
      <c r="N34" s="94" t="str">
        <f t="shared" ref="N34:O34" si="37">IF(ISBLANK(J38),"--",J38)</f>
        <v>obj_0053f#0005</v>
      </c>
      <c r="O34" s="94" t="str">
        <f t="shared" si="37"/>
        <v>obj_00534#0005</v>
      </c>
      <c r="P34" s="146" t="str">
        <f>IFERROR(_xll.qlRateHelperQuoteName(N34,Trigger),"--")</f>
        <v>GBP6L12L15Y_LCHQuote</v>
      </c>
      <c r="Q34" s="98">
        <f>IFERROR(_xll.qlRateHelperQuoteValue($N34,Trigger),"--")</f>
        <v>2.104075E-2</v>
      </c>
      <c r="R34" s="97" t="b">
        <v>1</v>
      </c>
      <c r="S34" s="94">
        <v>20</v>
      </c>
      <c r="T34" s="94">
        <v>1</v>
      </c>
      <c r="U34" s="99">
        <f>IFERROR(_xll.qlRateHelperEarliestDate(N34,Trigger),"--")</f>
        <v>42304</v>
      </c>
      <c r="V34" s="99">
        <f>IFERROR(_xll.qlRateHelperPillarDate(N34,Trigger),"--")</f>
        <v>47784</v>
      </c>
      <c r="X34" s="4" t="str">
        <f t="shared" si="18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4"/>
        <v>#N/A</v>
      </c>
      <c r="AK34" s="80" t="e">
        <v>#N/A</v>
      </c>
      <c r="AL34" s="161" t="e">
        <f t="shared" si="5"/>
        <v>#N/A</v>
      </c>
      <c r="AM34" s="161"/>
    </row>
    <row r="35" spans="1:39" ht="11.25" customHeight="1" x14ac:dyDescent="0.2">
      <c r="A35" s="59" t="s">
        <v>117</v>
      </c>
      <c r="B35" s="60" t="s">
        <v>60</v>
      </c>
      <c r="C35" s="61" t="s">
        <v>6</v>
      </c>
      <c r="D35" s="61" t="s">
        <v>158</v>
      </c>
      <c r="E35" s="61" t="s">
        <v>7</v>
      </c>
      <c r="F35" s="61" t="s">
        <v>159</v>
      </c>
      <c r="G35" s="61" t="str">
        <f t="shared" si="21"/>
        <v>GbpLibor1Y</v>
      </c>
      <c r="H35" s="59" t="str">
        <f t="shared" si="22"/>
        <v>GBP6L12L12Y_LCHQuote</v>
      </c>
      <c r="I35" s="127">
        <v>0</v>
      </c>
      <c r="J35" s="64" t="str">
        <f>_xll.qlSwapRateHelper2(,$H35,0,$B35,Calendar,$D35,$E35,$F35,$G35,$I35,$C35,Discounting1,PillarDate,,Permanent,Trigger,ObjectOverwrite)</f>
        <v>obj_00547#0005</v>
      </c>
      <c r="K35" s="64" t="str">
        <f>_xll.qlSwapRateHelper2(,$H35,0,$B35,Calendar,$D35,$E35,$F35,$G35,$I35,$C35,Discounting2,PillarDate,,Permanent,Trigger,ObjectOverwrite)</f>
        <v>obj_0052c#0005</v>
      </c>
      <c r="L35" s="48"/>
      <c r="M35" s="10" t="str">
        <f t="shared" si="16"/>
        <v>BasSw</v>
      </c>
      <c r="N35" s="94" t="str">
        <f t="shared" ref="N35:O35" si="38">IF(ISBLANK(J39),"--",J39)</f>
        <v>obj_0054c#0005</v>
      </c>
      <c r="O35" s="94" t="str">
        <f t="shared" si="38"/>
        <v>obj_00553#0005</v>
      </c>
      <c r="P35" s="146" t="str">
        <f>IFERROR(_xll.qlRateHelperQuoteName(N35,Trigger),"--")</f>
        <v>GBP6L12L16Y_LCHQuote</v>
      </c>
      <c r="Q35" s="98" t="str">
        <f>IFERROR(_xll.qlRateHelperQuoteValue($N35,Trigger),"--")</f>
        <v>--</v>
      </c>
      <c r="R35" s="97" t="b">
        <v>0</v>
      </c>
      <c r="S35" s="94">
        <v>20</v>
      </c>
      <c r="T35" s="94">
        <v>1</v>
      </c>
      <c r="U35" s="99">
        <f>IFERROR(_xll.qlRateHelperEarliestDate(N35,Trigger),"--")</f>
        <v>42304</v>
      </c>
      <c r="V35" s="99">
        <f>IFERROR(_xll.qlRateHelperPillarDate(N35,Trigger),"--")</f>
        <v>48148</v>
      </c>
      <c r="X35" s="4" t="str">
        <f t="shared" si="18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4"/>
        <v>#N/A</v>
      </c>
      <c r="AK35" s="80" t="e">
        <v>#N/A</v>
      </c>
      <c r="AL35" s="161" t="e">
        <f t="shared" si="5"/>
        <v>#N/A</v>
      </c>
    </row>
    <row r="36" spans="1:39" ht="11.25" customHeight="1" x14ac:dyDescent="0.2">
      <c r="A36" s="59" t="s">
        <v>117</v>
      </c>
      <c r="B36" s="60" t="s">
        <v>98</v>
      </c>
      <c r="C36" s="61" t="s">
        <v>6</v>
      </c>
      <c r="D36" s="61" t="s">
        <v>158</v>
      </c>
      <c r="E36" s="61" t="s">
        <v>7</v>
      </c>
      <c r="F36" s="61" t="s">
        <v>159</v>
      </c>
      <c r="G36" s="61" t="str">
        <f t="shared" si="21"/>
        <v>GbpLibor1Y</v>
      </c>
      <c r="H36" s="59" t="str">
        <f t="shared" si="22"/>
        <v>GBP6L12L13Y_LCHQuote</v>
      </c>
      <c r="I36" s="127">
        <v>0</v>
      </c>
      <c r="J36" s="64" t="str">
        <f>_xll.qlSwapRateHelper2(,$H36,0,$B36,Calendar,$D36,$E36,$F36,$G36,$I36,$C36,Discounting1,PillarDate,,Permanent,Trigger,ObjectOverwrite)</f>
        <v>obj_00573#0005</v>
      </c>
      <c r="K36" s="64" t="str">
        <f>_xll.qlSwapRateHelper2(,$H36,0,$B36,Calendar,$D36,$E36,$F36,$G36,$I36,$C36,Discounting2,PillarDate,,Permanent,Trigger,ObjectOverwrite)</f>
        <v>obj_0055b#0005</v>
      </c>
      <c r="L36" s="48"/>
      <c r="M36" s="10" t="str">
        <f t="shared" si="16"/>
        <v>BasSw</v>
      </c>
      <c r="N36" s="94" t="str">
        <f t="shared" ref="N36:O36" si="39">IF(ISBLANK(J40),"--",J40)</f>
        <v>obj_00546#0005</v>
      </c>
      <c r="O36" s="94" t="str">
        <f t="shared" si="39"/>
        <v>obj_0055a#0005</v>
      </c>
      <c r="P36" s="146" t="str">
        <f>IFERROR(_xll.qlRateHelperQuoteName(N36,Trigger),"--")</f>
        <v>GBP6L12L17Y_LCHQuote</v>
      </c>
      <c r="Q36" s="98" t="str">
        <f>IFERROR(_xll.qlRateHelperQuoteValue($N36,Trigger),"--")</f>
        <v>--</v>
      </c>
      <c r="R36" s="97" t="b">
        <v>0</v>
      </c>
      <c r="S36" s="94">
        <v>20</v>
      </c>
      <c r="T36" s="94">
        <v>1</v>
      </c>
      <c r="U36" s="99">
        <f>IFERROR(_xll.qlRateHelperEarliestDate(N36,Trigger),"--")</f>
        <v>42304</v>
      </c>
      <c r="V36" s="99">
        <f>IFERROR(_xll.qlRateHelperPillarDate(N36,Trigger),"--")</f>
        <v>48514</v>
      </c>
      <c r="X36" s="4" t="str">
        <f t="shared" si="18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4"/>
        <v>#N/A</v>
      </c>
      <c r="AK36" s="80" t="e">
        <v>#N/A</v>
      </c>
      <c r="AL36" s="161" t="e">
        <f t="shared" si="5"/>
        <v>#N/A</v>
      </c>
    </row>
    <row r="37" spans="1:39" ht="11.25" customHeight="1" x14ac:dyDescent="0.2">
      <c r="A37" s="59" t="s">
        <v>117</v>
      </c>
      <c r="B37" s="60" t="s">
        <v>99</v>
      </c>
      <c r="C37" s="61" t="s">
        <v>6</v>
      </c>
      <c r="D37" s="61" t="s">
        <v>158</v>
      </c>
      <c r="E37" s="61" t="s">
        <v>7</v>
      </c>
      <c r="F37" s="61" t="s">
        <v>159</v>
      </c>
      <c r="G37" s="61" t="str">
        <f t="shared" si="21"/>
        <v>GbpLibor1Y</v>
      </c>
      <c r="H37" s="59" t="str">
        <f t="shared" si="22"/>
        <v>GBP6L12L14Y_LCHQuote</v>
      </c>
      <c r="I37" s="127">
        <v>0</v>
      </c>
      <c r="J37" s="64" t="str">
        <f>_xll.qlSwapRateHelper2(,$H37,0,$B37,Calendar,$D37,$E37,$F37,$G37,$I37,$C37,Discounting1,PillarDate,,Permanent,Trigger,ObjectOverwrite)</f>
        <v>obj_0056d#0005</v>
      </c>
      <c r="K37" s="64" t="str">
        <f>_xll.qlSwapRateHelper2(,$H37,0,$B37,Calendar,$D37,$E37,$F37,$G37,$I37,$C37,Discounting2,PillarDate,,Permanent,Trigger,ObjectOverwrite)</f>
        <v>obj_00551#0005</v>
      </c>
      <c r="L37" s="48"/>
      <c r="M37" s="10" t="str">
        <f t="shared" si="16"/>
        <v>BasSw</v>
      </c>
      <c r="N37" s="94" t="str">
        <f t="shared" ref="N37:O37" si="40">IF(ISBLANK(J41),"--",J41)</f>
        <v>obj_00538#0005</v>
      </c>
      <c r="O37" s="94" t="str">
        <f t="shared" si="40"/>
        <v>obj_00567#0005</v>
      </c>
      <c r="P37" s="146" t="str">
        <f>IFERROR(_xll.qlRateHelperQuoteName(N37,Trigger),"--")</f>
        <v>GBP6L12L18Y_LCHQuote</v>
      </c>
      <c r="Q37" s="98" t="str">
        <f>IFERROR(_xll.qlRateHelperQuoteValue($N37,Trigger),"--")</f>
        <v>--</v>
      </c>
      <c r="R37" s="97" t="b">
        <v>0</v>
      </c>
      <c r="S37" s="94">
        <v>20</v>
      </c>
      <c r="T37" s="94">
        <v>1</v>
      </c>
      <c r="U37" s="99">
        <f>IFERROR(_xll.qlRateHelperEarliestDate(N37,Trigger),"--")</f>
        <v>42304</v>
      </c>
      <c r="V37" s="99">
        <f>IFERROR(_xll.qlRateHelperPillarDate(N37,Trigger),"--")</f>
        <v>48879</v>
      </c>
      <c r="X37" s="4" t="str">
        <f t="shared" si="18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4"/>
        <v>#N/A</v>
      </c>
      <c r="AK37" s="80" t="e">
        <v>#N/A</v>
      </c>
      <c r="AL37" s="161" t="e">
        <f t="shared" si="5"/>
        <v>#N/A</v>
      </c>
    </row>
    <row r="38" spans="1:39" ht="11.25" customHeight="1" x14ac:dyDescent="0.2">
      <c r="A38" s="59" t="s">
        <v>117</v>
      </c>
      <c r="B38" s="60" t="s">
        <v>61</v>
      </c>
      <c r="C38" s="61" t="s">
        <v>6</v>
      </c>
      <c r="D38" s="61" t="s">
        <v>158</v>
      </c>
      <c r="E38" s="61" t="s">
        <v>7</v>
      </c>
      <c r="F38" s="61" t="s">
        <v>159</v>
      </c>
      <c r="G38" s="61" t="str">
        <f t="shared" si="21"/>
        <v>GbpLibor1Y</v>
      </c>
      <c r="H38" s="59" t="str">
        <f t="shared" si="22"/>
        <v>GBP6L12L15Y_LCHQuote</v>
      </c>
      <c r="I38" s="127">
        <v>0</v>
      </c>
      <c r="J38" s="64" t="str">
        <f>_xll.qlSwapRateHelper2(,$H38,0,$B38,Calendar,$D38,$E38,$F38,$G38,$I38,$C38,Discounting1,PillarDate,,Permanent,Trigger,ObjectOverwrite)</f>
        <v>obj_0053f#0005</v>
      </c>
      <c r="K38" s="64" t="str">
        <f>_xll.qlSwapRateHelper2(,$H38,0,$B38,Calendar,$D38,$E38,$F38,$G38,$I38,$C38,Discounting2,PillarDate,,Permanent,Trigger,ObjectOverwrite)</f>
        <v>obj_00534#0005</v>
      </c>
      <c r="L38" s="48"/>
      <c r="M38" s="10" t="str">
        <f t="shared" si="16"/>
        <v>BasSw</v>
      </c>
      <c r="N38" s="94" t="str">
        <f t="shared" ref="N38:O38" si="41">IF(ISBLANK(J42),"--",J42)</f>
        <v>obj_00559#0005</v>
      </c>
      <c r="O38" s="94" t="str">
        <f t="shared" si="41"/>
        <v>obj_00557#0005</v>
      </c>
      <c r="P38" s="146" t="str">
        <f>IFERROR(_xll.qlRateHelperQuoteName(N38,Trigger),"--")</f>
        <v>GBP6L12L19Y_LCHQuote</v>
      </c>
      <c r="Q38" s="98" t="str">
        <f>IFERROR(_xll.qlRateHelperQuoteValue($N38,Trigger),"--")</f>
        <v>--</v>
      </c>
      <c r="R38" s="97" t="b">
        <v>0</v>
      </c>
      <c r="S38" s="94">
        <v>20</v>
      </c>
      <c r="T38" s="94">
        <v>1</v>
      </c>
      <c r="U38" s="99">
        <f>IFERROR(_xll.qlRateHelperEarliestDate(N38,Trigger),"--")</f>
        <v>42304</v>
      </c>
      <c r="V38" s="99">
        <f>IFERROR(_xll.qlRateHelperPillarDate(N38,Trigger),"--")</f>
        <v>49244</v>
      </c>
      <c r="X38" s="4" t="str">
        <f t="shared" si="18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4"/>
        <v>#N/A</v>
      </c>
      <c r="AK38" s="80" t="e">
        <v>#N/A</v>
      </c>
      <c r="AL38" s="161" t="e">
        <f t="shared" si="5"/>
        <v>#N/A</v>
      </c>
    </row>
    <row r="39" spans="1:39" ht="11.25" customHeight="1" x14ac:dyDescent="0.2">
      <c r="A39" s="59" t="s">
        <v>117</v>
      </c>
      <c r="B39" s="60" t="s">
        <v>100</v>
      </c>
      <c r="C39" s="61" t="s">
        <v>6</v>
      </c>
      <c r="D39" s="61" t="s">
        <v>158</v>
      </c>
      <c r="E39" s="61" t="s">
        <v>7</v>
      </c>
      <c r="F39" s="61" t="s">
        <v>159</v>
      </c>
      <c r="G39" s="61" t="str">
        <f t="shared" si="21"/>
        <v>GbpLibor1Y</v>
      </c>
      <c r="H39" s="59" t="str">
        <f t="shared" si="22"/>
        <v>GBP6L12L16Y_LCHQuote</v>
      </c>
      <c r="I39" s="127">
        <v>0</v>
      </c>
      <c r="J39" s="64" t="str">
        <f>_xll.qlSwapRateHelper2(,$H39,0,$B39,Calendar,$D39,$E39,$F39,$G39,$I39,$C39,Discounting1,PillarDate,,Permanent,Trigger,ObjectOverwrite)</f>
        <v>obj_0054c#0005</v>
      </c>
      <c r="K39" s="64" t="str">
        <f>_xll.qlSwapRateHelper2(,$H39,0,$B39,Calendar,$D39,$E39,$F39,$G39,$I39,$C39,Discounting2,PillarDate,,Permanent,Trigger,ObjectOverwrite)</f>
        <v>obj_00553#0005</v>
      </c>
      <c r="L39" s="48"/>
      <c r="M39" s="10" t="str">
        <f t="shared" si="16"/>
        <v>BasSw</v>
      </c>
      <c r="N39" s="94" t="str">
        <f t="shared" ref="N39:O39" si="42">IF(ISBLANK(J43),"--",J43)</f>
        <v>obj_0053e#0005</v>
      </c>
      <c r="O39" s="94" t="str">
        <f t="shared" si="42"/>
        <v>obj_00572#0005</v>
      </c>
      <c r="P39" s="146" t="str">
        <f>IFERROR(_xll.qlRateHelperQuoteName(N39,Trigger),"--")</f>
        <v>GBP6L12L20Y_LCHQuote</v>
      </c>
      <c r="Q39" s="98">
        <f>IFERROR(_xll.qlRateHelperQuoteValue($N39,Trigger),"--")</f>
        <v>2.1614999999999999E-2</v>
      </c>
      <c r="R39" s="97" t="b">
        <v>1</v>
      </c>
      <c r="S39" s="94">
        <v>20</v>
      </c>
      <c r="T39" s="94">
        <v>1</v>
      </c>
      <c r="U39" s="99">
        <f>IFERROR(_xll.qlRateHelperEarliestDate(N39,Trigger),"--")</f>
        <v>42304</v>
      </c>
      <c r="V39" s="99">
        <f>IFERROR(_xll.qlRateHelperPillarDate(N39,Trigger),"--")</f>
        <v>49611</v>
      </c>
      <c r="X39" s="4" t="str">
        <f t="shared" si="18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4"/>
        <v>#N/A</v>
      </c>
      <c r="AK39" s="80" t="e">
        <v>#N/A</v>
      </c>
      <c r="AL39" s="161" t="e">
        <f t="shared" si="5"/>
        <v>#N/A</v>
      </c>
    </row>
    <row r="40" spans="1:39" ht="11.25" customHeight="1" x14ac:dyDescent="0.2">
      <c r="A40" s="59" t="s">
        <v>117</v>
      </c>
      <c r="B40" s="60" t="s">
        <v>101</v>
      </c>
      <c r="C40" s="61" t="s">
        <v>6</v>
      </c>
      <c r="D40" s="61" t="s">
        <v>158</v>
      </c>
      <c r="E40" s="61" t="s">
        <v>7</v>
      </c>
      <c r="F40" s="61" t="s">
        <v>159</v>
      </c>
      <c r="G40" s="61" t="str">
        <f t="shared" si="21"/>
        <v>GbpLibor1Y</v>
      </c>
      <c r="H40" s="59" t="str">
        <f t="shared" si="22"/>
        <v>GBP6L12L17Y_LCHQuote</v>
      </c>
      <c r="I40" s="127">
        <v>0</v>
      </c>
      <c r="J40" s="64" t="str">
        <f>_xll.qlSwapRateHelper2(,$H40,0,$B40,Calendar,$D40,$E40,$F40,$G40,$I40,$C40,Discounting1,PillarDate,,Permanent,Trigger,ObjectOverwrite)</f>
        <v>obj_00546#0005</v>
      </c>
      <c r="K40" s="64" t="str">
        <f>_xll.qlSwapRateHelper2(,$H40,0,$B40,Calendar,$D40,$E40,$F40,$G40,$I40,$C40,Discounting2,PillarDate,,Permanent,Trigger,ObjectOverwrite)</f>
        <v>obj_0055a#0005</v>
      </c>
      <c r="L40" s="48"/>
      <c r="M40" s="10" t="str">
        <f t="shared" si="16"/>
        <v>BasSw</v>
      </c>
      <c r="N40" s="94" t="str">
        <f t="shared" ref="N40:O40" si="43">IF(ISBLANK(J44),"--",J44)</f>
        <v>obj_00539#0005</v>
      </c>
      <c r="O40" s="94" t="str">
        <f t="shared" si="43"/>
        <v>obj_0053b#0005</v>
      </c>
      <c r="P40" s="146" t="str">
        <f>IFERROR(_xll.qlRateHelperQuoteName(N40,Trigger),"--")</f>
        <v>GBP6L12L21Y_LCHQuote</v>
      </c>
      <c r="Q40" s="98" t="str">
        <f>IFERROR(_xll.qlRateHelperQuoteValue($N40,Trigger),"--")</f>
        <v>--</v>
      </c>
      <c r="R40" s="97" t="b">
        <v>0</v>
      </c>
      <c r="S40" s="94">
        <v>20</v>
      </c>
      <c r="T40" s="94">
        <v>1</v>
      </c>
      <c r="U40" s="99">
        <f>IFERROR(_xll.qlRateHelperEarliestDate(N40,Trigger),"--")</f>
        <v>42304</v>
      </c>
      <c r="V40" s="99">
        <f>IFERROR(_xll.qlRateHelperPillarDate(N40,Trigger),"--")</f>
        <v>49975</v>
      </c>
      <c r="X40" s="4" t="str">
        <f t="shared" si="18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4"/>
        <v>#N/A</v>
      </c>
      <c r="AK40" s="80" t="e">
        <v>#N/A</v>
      </c>
      <c r="AL40" s="161" t="e">
        <f t="shared" si="5"/>
        <v>#N/A</v>
      </c>
    </row>
    <row r="41" spans="1:39" ht="11.25" customHeight="1" x14ac:dyDescent="0.2">
      <c r="A41" s="59" t="s">
        <v>117</v>
      </c>
      <c r="B41" s="60" t="s">
        <v>102</v>
      </c>
      <c r="C41" s="61" t="s">
        <v>6</v>
      </c>
      <c r="D41" s="61" t="s">
        <v>158</v>
      </c>
      <c r="E41" s="61" t="s">
        <v>7</v>
      </c>
      <c r="F41" s="61" t="s">
        <v>159</v>
      </c>
      <c r="G41" s="61" t="str">
        <f t="shared" si="21"/>
        <v>GbpLibor1Y</v>
      </c>
      <c r="H41" s="59" t="str">
        <f t="shared" si="22"/>
        <v>GBP6L12L18Y_LCHQuote</v>
      </c>
      <c r="I41" s="127">
        <v>0</v>
      </c>
      <c r="J41" s="64" t="str">
        <f>_xll.qlSwapRateHelper2(,$H41,0,$B41,Calendar,$D41,$E41,$F41,$G41,$I41,$C41,Discounting1,PillarDate,,Permanent,Trigger,ObjectOverwrite)</f>
        <v>obj_00538#0005</v>
      </c>
      <c r="K41" s="64" t="str">
        <f>_xll.qlSwapRateHelper2(,$H41,0,$B41,Calendar,$D41,$E41,$F41,$G41,$I41,$C41,Discounting2,PillarDate,,Permanent,Trigger,ObjectOverwrite)</f>
        <v>obj_00567#0005</v>
      </c>
      <c r="M41" s="10" t="str">
        <f t="shared" si="16"/>
        <v>BasSw</v>
      </c>
      <c r="N41" s="94" t="str">
        <f t="shared" ref="N41:O41" si="44">IF(ISBLANK(J45),"--",J45)</f>
        <v>obj_00564#0005</v>
      </c>
      <c r="O41" s="94" t="str">
        <f t="shared" si="44"/>
        <v>obj_0055d#0005</v>
      </c>
      <c r="P41" s="146" t="str">
        <f>IFERROR(_xll.qlRateHelperQuoteName(N41,Trigger),"--")</f>
        <v>GBP6L12L22Y_LCHQuote</v>
      </c>
      <c r="Q41" s="98" t="str">
        <f>IFERROR(_xll.qlRateHelperQuoteValue($N41,Trigger),"--")</f>
        <v>--</v>
      </c>
      <c r="R41" s="97" t="b">
        <v>0</v>
      </c>
      <c r="S41" s="94">
        <v>20</v>
      </c>
      <c r="T41" s="94">
        <v>1</v>
      </c>
      <c r="U41" s="99">
        <f>IFERROR(_xll.qlRateHelperEarliestDate(N41,Trigger),"--")</f>
        <v>42304</v>
      </c>
      <c r="V41" s="99">
        <f>IFERROR(_xll.qlRateHelperPillarDate(N41,Trigger),"--")</f>
        <v>50340</v>
      </c>
      <c r="X41" s="4" t="str">
        <f t="shared" si="18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4"/>
        <v>#N/A</v>
      </c>
      <c r="AK41" s="80" t="e">
        <v>#N/A</v>
      </c>
      <c r="AL41" s="161" t="e">
        <f t="shared" si="5"/>
        <v>#N/A</v>
      </c>
    </row>
    <row r="42" spans="1:39" ht="11.25" customHeight="1" x14ac:dyDescent="0.2">
      <c r="A42" s="59" t="s">
        <v>117</v>
      </c>
      <c r="B42" s="60" t="s">
        <v>103</v>
      </c>
      <c r="C42" s="61" t="s">
        <v>6</v>
      </c>
      <c r="D42" s="61" t="s">
        <v>158</v>
      </c>
      <c r="E42" s="61" t="s">
        <v>7</v>
      </c>
      <c r="F42" s="61" t="s">
        <v>159</v>
      </c>
      <c r="G42" s="61" t="str">
        <f t="shared" si="21"/>
        <v>GbpLibor1Y</v>
      </c>
      <c r="H42" s="59" t="str">
        <f t="shared" si="22"/>
        <v>GBP6L12L19Y_LCHQuote</v>
      </c>
      <c r="I42" s="127">
        <v>0</v>
      </c>
      <c r="J42" s="64" t="str">
        <f>_xll.qlSwapRateHelper2(,$H42,0,$B42,Calendar,$D42,$E42,$F42,$G42,$I42,$C42,Discounting1,PillarDate,,Permanent,Trigger,ObjectOverwrite)</f>
        <v>obj_00559#0005</v>
      </c>
      <c r="K42" s="64" t="str">
        <f>_xll.qlSwapRateHelper2(,$H42,0,$B42,Calendar,$D42,$E42,$F42,$G42,$I42,$C42,Discounting2,PillarDate,,Permanent,Trigger,ObjectOverwrite)</f>
        <v>obj_00557#0005</v>
      </c>
      <c r="M42" s="10" t="str">
        <f t="shared" si="16"/>
        <v>BasSw</v>
      </c>
      <c r="N42" s="94" t="str">
        <f t="shared" ref="N42:O42" si="45">IF(ISBLANK(J46),"--",J46)</f>
        <v>obj_0055c#0005</v>
      </c>
      <c r="O42" s="94" t="str">
        <f t="shared" si="45"/>
        <v>obj_0054b#0005</v>
      </c>
      <c r="P42" s="146" t="str">
        <f>IFERROR(_xll.qlRateHelperQuoteName(N42,Trigger),"--")</f>
        <v>GBP6L12L23Y_LCHQuote</v>
      </c>
      <c r="Q42" s="98" t="str">
        <f>IFERROR(_xll.qlRateHelperQuoteValue($N42,Trigger),"--")</f>
        <v>--</v>
      </c>
      <c r="R42" s="97" t="b">
        <v>0</v>
      </c>
      <c r="S42" s="94">
        <v>20</v>
      </c>
      <c r="T42" s="94">
        <v>1</v>
      </c>
      <c r="U42" s="99">
        <f>IFERROR(_xll.qlRateHelperEarliestDate(N42,Trigger),"--")</f>
        <v>42304</v>
      </c>
      <c r="V42" s="99">
        <f>IFERROR(_xll.qlRateHelperPillarDate(N42,Trigger),"--")</f>
        <v>50705</v>
      </c>
      <c r="X42" s="4" t="str">
        <f t="shared" si="18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4"/>
        <v>#N/A</v>
      </c>
      <c r="AK42" s="80" t="e">
        <v>#N/A</v>
      </c>
      <c r="AL42" s="161" t="e">
        <f t="shared" si="5"/>
        <v>#N/A</v>
      </c>
    </row>
    <row r="43" spans="1:39" ht="11.25" customHeight="1" x14ac:dyDescent="0.2">
      <c r="A43" s="59" t="s">
        <v>117</v>
      </c>
      <c r="B43" s="60" t="s">
        <v>62</v>
      </c>
      <c r="C43" s="61" t="s">
        <v>6</v>
      </c>
      <c r="D43" s="61" t="s">
        <v>158</v>
      </c>
      <c r="E43" s="61" t="s">
        <v>7</v>
      </c>
      <c r="F43" s="61" t="s">
        <v>159</v>
      </c>
      <c r="G43" s="61" t="str">
        <f t="shared" si="21"/>
        <v>GbpLibor1Y</v>
      </c>
      <c r="H43" s="59" t="str">
        <f t="shared" si="22"/>
        <v>GBP6L12L20Y_LCHQuote</v>
      </c>
      <c r="I43" s="127">
        <v>0</v>
      </c>
      <c r="J43" s="64" t="str">
        <f>_xll.qlSwapRateHelper2(,$H43,0,$B43,Calendar,$D43,$E43,$F43,$G43,$I43,$C43,Discounting1,PillarDate,,Permanent,Trigger,ObjectOverwrite)</f>
        <v>obj_0053e#0005</v>
      </c>
      <c r="K43" s="64" t="str">
        <f>_xll.qlSwapRateHelper2(,$H43,0,$B43,Calendar,$D43,$E43,$F43,$G43,$I43,$C43,Discounting2,PillarDate,,Permanent,Trigger,ObjectOverwrite)</f>
        <v>obj_00572#0005</v>
      </c>
      <c r="M43" s="10" t="str">
        <f t="shared" si="16"/>
        <v>BasSw</v>
      </c>
      <c r="N43" s="94" t="str">
        <f t="shared" ref="N43:O43" si="46">IF(ISBLANK(J47),"--",J47)</f>
        <v>obj_0052d#0005</v>
      </c>
      <c r="O43" s="94" t="str">
        <f t="shared" si="46"/>
        <v>obj_00548#0005</v>
      </c>
      <c r="P43" s="146" t="str">
        <f>IFERROR(_xll.qlRateHelperQuoteName(N43,Trigger),"--")</f>
        <v>GBP6L12L24Y_LCHQuote</v>
      </c>
      <c r="Q43" s="98" t="str">
        <f>IFERROR(_xll.qlRateHelperQuoteValue($N43,Trigger),"--")</f>
        <v>--</v>
      </c>
      <c r="R43" s="97" t="b">
        <v>0</v>
      </c>
      <c r="S43" s="94">
        <v>20</v>
      </c>
      <c r="T43" s="94">
        <v>1</v>
      </c>
      <c r="U43" s="99">
        <f>IFERROR(_xll.qlRateHelperEarliestDate(N43,Trigger),"--")</f>
        <v>42304</v>
      </c>
      <c r="V43" s="99">
        <f>IFERROR(_xll.qlRateHelperPillarDate(N43,Trigger),"--")</f>
        <v>51070</v>
      </c>
      <c r="X43" s="4" t="str">
        <f t="shared" si="18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4"/>
        <v>#N/A</v>
      </c>
      <c r="AK43" s="80" t="e">
        <v>#N/A</v>
      </c>
      <c r="AL43" s="161" t="e">
        <f t="shared" si="5"/>
        <v>#N/A</v>
      </c>
    </row>
    <row r="44" spans="1:39" ht="11.25" customHeight="1" x14ac:dyDescent="0.2">
      <c r="A44" s="59" t="s">
        <v>117</v>
      </c>
      <c r="B44" s="60" t="s">
        <v>104</v>
      </c>
      <c r="C44" s="61" t="s">
        <v>6</v>
      </c>
      <c r="D44" s="61" t="s">
        <v>158</v>
      </c>
      <c r="E44" s="61" t="s">
        <v>7</v>
      </c>
      <c r="F44" s="61" t="s">
        <v>159</v>
      </c>
      <c r="G44" s="61" t="str">
        <f t="shared" si="21"/>
        <v>GbpLibor1Y</v>
      </c>
      <c r="H44" s="59" t="str">
        <f t="shared" si="22"/>
        <v>GBP6L12L21Y_LCHQuote</v>
      </c>
      <c r="I44" s="127">
        <v>0</v>
      </c>
      <c r="J44" s="64" t="str">
        <f>_xll.qlSwapRateHelper2(,$H44,0,$B44,Calendar,$D44,$E44,$F44,$G44,$I44,$C44,Discounting1,PillarDate,,Permanent,Trigger,ObjectOverwrite)</f>
        <v>obj_00539#0005</v>
      </c>
      <c r="K44" s="64" t="str">
        <f>_xll.qlSwapRateHelper2(,$H44,0,$B44,Calendar,$D44,$E44,$F44,$G44,$I44,$C44,Discounting2,PillarDate,,Permanent,Trigger,ObjectOverwrite)</f>
        <v>obj_0053b#0005</v>
      </c>
      <c r="M44" s="10" t="str">
        <f t="shared" si="16"/>
        <v>BasSw</v>
      </c>
      <c r="N44" s="94" t="str">
        <f t="shared" ref="N44:O44" si="47">IF(ISBLANK(J48),"--",J48)</f>
        <v>obj_00568#0005</v>
      </c>
      <c r="O44" s="94" t="str">
        <f t="shared" si="47"/>
        <v>obj_00532#0005</v>
      </c>
      <c r="P44" s="146" t="str">
        <f>IFERROR(_xll.qlRateHelperQuoteName(N44,Trigger),"--")</f>
        <v>GBP6L12L25Y_LCHQuote</v>
      </c>
      <c r="Q44" s="98">
        <f>IFERROR(_xll.qlRateHelperQuoteValue($N44,Trigger),"--")</f>
        <v>2.1576000000000001E-2</v>
      </c>
      <c r="R44" s="97" t="b">
        <v>1</v>
      </c>
      <c r="S44" s="94">
        <v>20</v>
      </c>
      <c r="T44" s="94">
        <v>1</v>
      </c>
      <c r="U44" s="99">
        <f>IFERROR(_xll.qlRateHelperEarliestDate(N44,Trigger),"--")</f>
        <v>42304</v>
      </c>
      <c r="V44" s="99">
        <f>IFERROR(_xll.qlRateHelperPillarDate(N44,Trigger),"--")</f>
        <v>51438</v>
      </c>
      <c r="X44" s="4" t="str">
        <f t="shared" si="18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4"/>
        <v>#N/A</v>
      </c>
      <c r="AK44" s="80" t="e">
        <v>#N/A</v>
      </c>
      <c r="AL44" s="161" t="e">
        <f t="shared" si="5"/>
        <v>#N/A</v>
      </c>
    </row>
    <row r="45" spans="1:39" ht="11.25" customHeight="1" x14ac:dyDescent="0.2">
      <c r="A45" s="59" t="s">
        <v>117</v>
      </c>
      <c r="B45" s="60" t="s">
        <v>105</v>
      </c>
      <c r="C45" s="61" t="s">
        <v>6</v>
      </c>
      <c r="D45" s="61" t="s">
        <v>158</v>
      </c>
      <c r="E45" s="61" t="s">
        <v>7</v>
      </c>
      <c r="F45" s="61" t="s">
        <v>159</v>
      </c>
      <c r="G45" s="61" t="str">
        <f t="shared" si="21"/>
        <v>GbpLibor1Y</v>
      </c>
      <c r="H45" s="59" t="str">
        <f t="shared" si="22"/>
        <v>GBP6L12L22Y_LCHQuote</v>
      </c>
      <c r="I45" s="127">
        <v>0</v>
      </c>
      <c r="J45" s="64" t="str">
        <f>_xll.qlSwapRateHelper2(,$H45,0,$B45,Calendar,$D45,$E45,$F45,$G45,$I45,$C45,Discounting1,PillarDate,,Permanent,Trigger,ObjectOverwrite)</f>
        <v>obj_00564#0005</v>
      </c>
      <c r="K45" s="64" t="str">
        <f>_xll.qlSwapRateHelper2(,$H45,0,$B45,Calendar,$D45,$E45,$F45,$G45,$I45,$C45,Discounting2,PillarDate,,Permanent,Trigger,ObjectOverwrite)</f>
        <v>obj_0055d#0005</v>
      </c>
      <c r="M45" s="10" t="str">
        <f t="shared" si="16"/>
        <v>BasSw</v>
      </c>
      <c r="N45" s="94" t="str">
        <f t="shared" ref="N45:O45" si="48">IF(ISBLANK(J49),"--",J49)</f>
        <v>obj_00556#0005</v>
      </c>
      <c r="O45" s="94" t="str">
        <f t="shared" si="48"/>
        <v>obj_00569#0005</v>
      </c>
      <c r="P45" s="146" t="str">
        <f>IFERROR(_xll.qlRateHelperQuoteName(N45,Trigger),"--")</f>
        <v>GBP6L12L26Y_LCHQuote</v>
      </c>
      <c r="Q45" s="98" t="str">
        <f>IFERROR(_xll.qlRateHelperQuoteValue($N45,Trigger),"--")</f>
        <v>--</v>
      </c>
      <c r="R45" s="97" t="b">
        <v>0</v>
      </c>
      <c r="S45" s="94">
        <v>20</v>
      </c>
      <c r="T45" s="94">
        <v>1</v>
      </c>
      <c r="U45" s="99">
        <f>IFERROR(_xll.qlRateHelperEarliestDate(N45,Trigger),"--")</f>
        <v>42304</v>
      </c>
      <c r="V45" s="99">
        <f>IFERROR(_xll.qlRateHelperPillarDate(N45,Trigger),"--")</f>
        <v>51802</v>
      </c>
      <c r="X45" s="4" t="str">
        <f t="shared" si="18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4"/>
        <v>#N/A</v>
      </c>
      <c r="AK45" s="80" t="e">
        <v>#N/A</v>
      </c>
      <c r="AL45" s="161" t="e">
        <f t="shared" si="5"/>
        <v>#N/A</v>
      </c>
    </row>
    <row r="46" spans="1:39" ht="11.25" customHeight="1" x14ac:dyDescent="0.2">
      <c r="A46" s="59" t="s">
        <v>117</v>
      </c>
      <c r="B46" s="60" t="s">
        <v>106</v>
      </c>
      <c r="C46" s="61" t="s">
        <v>6</v>
      </c>
      <c r="D46" s="61" t="s">
        <v>158</v>
      </c>
      <c r="E46" s="61" t="s">
        <v>7</v>
      </c>
      <c r="F46" s="61" t="s">
        <v>159</v>
      </c>
      <c r="G46" s="61" t="str">
        <f t="shared" si="21"/>
        <v>GbpLibor1Y</v>
      </c>
      <c r="H46" s="59" t="str">
        <f t="shared" si="22"/>
        <v>GBP6L12L23Y_LCHQuote</v>
      </c>
      <c r="I46" s="127">
        <v>0</v>
      </c>
      <c r="J46" s="64" t="str">
        <f>_xll.qlSwapRateHelper2(,$H46,0,$B46,Calendar,$D46,$E46,$F46,$G46,$I46,$C46,Discounting1,PillarDate,,Permanent,Trigger,ObjectOverwrite)</f>
        <v>obj_0055c#0005</v>
      </c>
      <c r="K46" s="64" t="str">
        <f>_xll.qlSwapRateHelper2(,$H46,0,$B46,Calendar,$D46,$E46,$F46,$G46,$I46,$C46,Discounting2,PillarDate,,Permanent,Trigger,ObjectOverwrite)</f>
        <v>obj_0054b#0005</v>
      </c>
      <c r="M46" s="10" t="str">
        <f t="shared" si="16"/>
        <v>BasSw</v>
      </c>
      <c r="N46" s="94" t="str">
        <f t="shared" ref="N46:O46" si="49">IF(ISBLANK(J50),"--",J50)</f>
        <v>obj_0054f#0005</v>
      </c>
      <c r="O46" s="94" t="str">
        <f t="shared" si="49"/>
        <v>obj_0056a#0005</v>
      </c>
      <c r="P46" s="146" t="str">
        <f>IFERROR(_xll.qlRateHelperQuoteName(N46,Trigger),"--")</f>
        <v>GBP6L12L27Y_LCHQuote</v>
      </c>
      <c r="Q46" s="98" t="str">
        <f>IFERROR(_xll.qlRateHelperQuoteValue($N46,Trigger),"--")</f>
        <v>--</v>
      </c>
      <c r="R46" s="97" t="b">
        <v>0</v>
      </c>
      <c r="S46" s="94">
        <v>20</v>
      </c>
      <c r="T46" s="94">
        <v>1</v>
      </c>
      <c r="U46" s="99">
        <f>IFERROR(_xll.qlRateHelperEarliestDate(N46,Trigger),"--")</f>
        <v>42304</v>
      </c>
      <c r="V46" s="99">
        <f>IFERROR(_xll.qlRateHelperPillarDate(N46,Trigger),"--")</f>
        <v>52166</v>
      </c>
      <c r="X46" s="4" t="str">
        <f t="shared" si="18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4"/>
        <v>#N/A</v>
      </c>
      <c r="AK46" s="80" t="e">
        <v>#N/A</v>
      </c>
      <c r="AL46" s="161" t="e">
        <f t="shared" si="5"/>
        <v>#N/A</v>
      </c>
    </row>
    <row r="47" spans="1:39" ht="11.25" customHeight="1" x14ac:dyDescent="0.2">
      <c r="A47" s="59" t="s">
        <v>117</v>
      </c>
      <c r="B47" s="60" t="s">
        <v>107</v>
      </c>
      <c r="C47" s="61" t="s">
        <v>6</v>
      </c>
      <c r="D47" s="61" t="s">
        <v>158</v>
      </c>
      <c r="E47" s="61" t="s">
        <v>7</v>
      </c>
      <c r="F47" s="61" t="s">
        <v>159</v>
      </c>
      <c r="G47" s="61" t="str">
        <f t="shared" si="21"/>
        <v>GbpLibor1Y</v>
      </c>
      <c r="H47" s="59" t="str">
        <f t="shared" si="22"/>
        <v>GBP6L12L24Y_LCHQuote</v>
      </c>
      <c r="I47" s="127">
        <v>0</v>
      </c>
      <c r="J47" s="64" t="str">
        <f>_xll.qlSwapRateHelper2(,$H47,0,$B47,Calendar,$D47,$E47,$F47,$G47,$I47,$C47,Discounting1,PillarDate,,Permanent,Trigger,ObjectOverwrite)</f>
        <v>obj_0052d#0005</v>
      </c>
      <c r="K47" s="64" t="str">
        <f>_xll.qlSwapRateHelper2(,$H47,0,$B47,Calendar,$D47,$E47,$F47,$G47,$I47,$C47,Discounting2,PillarDate,,Permanent,Trigger,ObjectOverwrite)</f>
        <v>obj_00548#0005</v>
      </c>
      <c r="M47" s="10" t="str">
        <f t="shared" si="16"/>
        <v>BasSw</v>
      </c>
      <c r="N47" s="94" t="str">
        <f t="shared" ref="N47:O47" si="50">IF(ISBLANK(J51),"--",J51)</f>
        <v>obj_00554#0005</v>
      </c>
      <c r="O47" s="94" t="str">
        <f t="shared" si="50"/>
        <v>obj_00545#0005</v>
      </c>
      <c r="P47" s="146" t="str">
        <f>IFERROR(_xll.qlRateHelperQuoteName(N47,Trigger),"--")</f>
        <v>GBP6L12L28Y_LCHQuote</v>
      </c>
      <c r="Q47" s="98" t="str">
        <f>IFERROR(_xll.qlRateHelperQuoteValue($N47,Trigger),"--")</f>
        <v>--</v>
      </c>
      <c r="R47" s="97" t="b">
        <v>0</v>
      </c>
      <c r="S47" s="94">
        <v>20</v>
      </c>
      <c r="T47" s="94">
        <v>1</v>
      </c>
      <c r="U47" s="99">
        <f>IFERROR(_xll.qlRateHelperEarliestDate(N47,Trigger),"--")</f>
        <v>42304</v>
      </c>
      <c r="V47" s="99">
        <f>IFERROR(_xll.qlRateHelperPillarDate(N47,Trigger),"--")</f>
        <v>52531</v>
      </c>
      <c r="X47" s="4" t="str">
        <f t="shared" si="18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4"/>
        <v>#N/A</v>
      </c>
      <c r="AK47" s="80" t="e">
        <v>#N/A</v>
      </c>
      <c r="AL47" s="161" t="e">
        <f t="shared" si="5"/>
        <v>#N/A</v>
      </c>
    </row>
    <row r="48" spans="1:39" ht="11.25" customHeight="1" x14ac:dyDescent="0.2">
      <c r="A48" s="59" t="s">
        <v>117</v>
      </c>
      <c r="B48" s="60" t="s">
        <v>63</v>
      </c>
      <c r="C48" s="61" t="s">
        <v>6</v>
      </c>
      <c r="D48" s="61" t="s">
        <v>158</v>
      </c>
      <c r="E48" s="61" t="s">
        <v>7</v>
      </c>
      <c r="F48" s="61" t="s">
        <v>159</v>
      </c>
      <c r="G48" s="61" t="str">
        <f t="shared" si="21"/>
        <v>GbpLibor1Y</v>
      </c>
      <c r="H48" s="59" t="str">
        <f t="shared" si="22"/>
        <v>GBP6L12L25Y_LCHQuote</v>
      </c>
      <c r="I48" s="127">
        <v>0</v>
      </c>
      <c r="J48" s="64" t="str">
        <f>_xll.qlSwapRateHelper2(,$H48,0,$B48,Calendar,$D48,$E48,$F48,$G48,$I48,$C48,Discounting1,PillarDate,,Permanent,Trigger,ObjectOverwrite)</f>
        <v>obj_00568#0005</v>
      </c>
      <c r="K48" s="64" t="str">
        <f>_xll.qlSwapRateHelper2(,$H48,0,$B48,Calendar,$D48,$E48,$F48,$G48,$I48,$C48,Discounting2,PillarDate,,Permanent,Trigger,ObjectOverwrite)</f>
        <v>obj_00532#0005</v>
      </c>
      <c r="M48" s="10" t="str">
        <f t="shared" si="16"/>
        <v>BasSw</v>
      </c>
      <c r="N48" s="94" t="str">
        <f t="shared" ref="N48:O48" si="51">IF(ISBLANK(J52),"--",J52)</f>
        <v>obj_00562#0005</v>
      </c>
      <c r="O48" s="94" t="str">
        <f t="shared" si="51"/>
        <v>obj_00550#0005</v>
      </c>
      <c r="P48" s="146" t="str">
        <f>IFERROR(_xll.qlRateHelperQuoteName(N48,Trigger),"--")</f>
        <v>GBP6L12L29Y_LCHQuote</v>
      </c>
      <c r="Q48" s="98" t="str">
        <f>IFERROR(_xll.qlRateHelperQuoteValue($N48,Trigger),"--")</f>
        <v>--</v>
      </c>
      <c r="R48" s="97" t="b">
        <v>0</v>
      </c>
      <c r="S48" s="94">
        <v>20</v>
      </c>
      <c r="T48" s="94">
        <v>1</v>
      </c>
      <c r="U48" s="99">
        <f>IFERROR(_xll.qlRateHelperEarliestDate(N48,Trigger),"--")</f>
        <v>42304</v>
      </c>
      <c r="V48" s="99">
        <f>IFERROR(_xll.qlRateHelperPillarDate(N48,Trigger),"--")</f>
        <v>52897</v>
      </c>
      <c r="X48" s="4" t="str">
        <f t="shared" si="18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4"/>
        <v>#N/A</v>
      </c>
      <c r="AK48" s="80" t="e">
        <v>#N/A</v>
      </c>
      <c r="AL48" s="161" t="e">
        <f t="shared" si="5"/>
        <v>#N/A</v>
      </c>
    </row>
    <row r="49" spans="1:38" ht="11.25" customHeight="1" x14ac:dyDescent="0.2">
      <c r="A49" s="59" t="s">
        <v>117</v>
      </c>
      <c r="B49" s="60" t="s">
        <v>108</v>
      </c>
      <c r="C49" s="61" t="s">
        <v>6</v>
      </c>
      <c r="D49" s="61" t="s">
        <v>158</v>
      </c>
      <c r="E49" s="61" t="s">
        <v>7</v>
      </c>
      <c r="F49" s="61" t="s">
        <v>159</v>
      </c>
      <c r="G49" s="61" t="str">
        <f t="shared" si="21"/>
        <v>GbpLibor1Y</v>
      </c>
      <c r="H49" s="59" t="str">
        <f t="shared" si="22"/>
        <v>GBP6L12L26Y_LCHQuote</v>
      </c>
      <c r="I49" s="127">
        <v>0</v>
      </c>
      <c r="J49" s="64" t="str">
        <f>_xll.qlSwapRateHelper2(,$H49,0,$B49,Calendar,$D49,$E49,$F49,$G49,$I49,$C49,Discounting1,PillarDate,,Permanent,Trigger,ObjectOverwrite)</f>
        <v>obj_00556#0005</v>
      </c>
      <c r="K49" s="64" t="str">
        <f>_xll.qlSwapRateHelper2(,$H49,0,$B49,Calendar,$D49,$E49,$F49,$G49,$I49,$C49,Discounting2,PillarDate,,Permanent,Trigger,ObjectOverwrite)</f>
        <v>obj_00569#0005</v>
      </c>
      <c r="M49" s="10" t="str">
        <f t="shared" si="16"/>
        <v>BasSw</v>
      </c>
      <c r="N49" s="94" t="str">
        <f t="shared" ref="N49:O49" si="52">IF(ISBLANK(J53),"--",J53)</f>
        <v>obj_00541#0005</v>
      </c>
      <c r="O49" s="94" t="str">
        <f t="shared" si="52"/>
        <v>obj_00537#0005</v>
      </c>
      <c r="P49" s="146" t="str">
        <f>IFERROR(_xll.qlRateHelperQuoteName(N49,Trigger),"--")</f>
        <v>GBP6L12L30Y_LCHQuote</v>
      </c>
      <c r="Q49" s="98">
        <f>IFERROR(_xll.qlRateHelperQuoteValue($N49,Trigger),"--")</f>
        <v>2.1436E-2</v>
      </c>
      <c r="R49" s="97" t="b">
        <v>1</v>
      </c>
      <c r="S49" s="94">
        <v>20</v>
      </c>
      <c r="T49" s="94">
        <v>1</v>
      </c>
      <c r="U49" s="99">
        <f>IFERROR(_xll.qlRateHelperEarliestDate(N49,Trigger),"--")</f>
        <v>42304</v>
      </c>
      <c r="V49" s="99">
        <f>IFERROR(_xll.qlRateHelperPillarDate(N49,Trigger),"--")</f>
        <v>53262</v>
      </c>
      <c r="X49" s="4" t="str">
        <f t="shared" si="18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4"/>
        <v>#N/A</v>
      </c>
      <c r="AK49" s="80" t="e">
        <v>#N/A</v>
      </c>
      <c r="AL49" s="161" t="e">
        <f t="shared" si="5"/>
        <v>#N/A</v>
      </c>
    </row>
    <row r="50" spans="1:38" ht="11.25" customHeight="1" x14ac:dyDescent="0.2">
      <c r="A50" s="59" t="s">
        <v>117</v>
      </c>
      <c r="B50" s="60" t="s">
        <v>64</v>
      </c>
      <c r="C50" s="61" t="s">
        <v>6</v>
      </c>
      <c r="D50" s="61" t="s">
        <v>158</v>
      </c>
      <c r="E50" s="61" t="s">
        <v>7</v>
      </c>
      <c r="F50" s="61" t="s">
        <v>159</v>
      </c>
      <c r="G50" s="61" t="str">
        <f t="shared" si="21"/>
        <v>GbpLibor1Y</v>
      </c>
      <c r="H50" s="59" t="str">
        <f t="shared" si="22"/>
        <v>GBP6L12L27Y_LCHQuote</v>
      </c>
      <c r="I50" s="127">
        <v>0</v>
      </c>
      <c r="J50" s="64" t="str">
        <f>_xll.qlSwapRateHelper2(,$H50,0,$B50,Calendar,$D50,$E50,$F50,$G50,$I50,$C50,Discounting1,PillarDate,,Permanent,Trigger,ObjectOverwrite)</f>
        <v>obj_0054f#0005</v>
      </c>
      <c r="K50" s="64" t="str">
        <f>_xll.qlSwapRateHelper2(,$H50,0,$B50,Calendar,$D50,$E50,$F50,$G50,$I50,$C50,Discounting2,PillarDate,,Permanent,Trigger,ObjectOverwrite)</f>
        <v>obj_0056a#0005</v>
      </c>
      <c r="M50" s="10" t="str">
        <f t="shared" si="16"/>
        <v>BasSw</v>
      </c>
      <c r="N50" s="94" t="str">
        <f t="shared" ref="N50:O50" si="53">IF(ISBLANK(J54),"--",J54)</f>
        <v>obj_0056f#0005</v>
      </c>
      <c r="O50" s="94" t="str">
        <f t="shared" si="53"/>
        <v>obj_00576#0005</v>
      </c>
      <c r="P50" s="146" t="str">
        <f>IFERROR(_xll.qlRateHelperQuoteName(N50,Trigger),"--")</f>
        <v>GBP6L12L35Y_LCHQuote</v>
      </c>
      <c r="Q50" s="98" t="str">
        <f>IFERROR(_xll.qlRateHelperQuoteValue($N50,Trigger),"--")</f>
        <v>--</v>
      </c>
      <c r="R50" s="97" t="b">
        <v>0</v>
      </c>
      <c r="S50" s="94">
        <v>20</v>
      </c>
      <c r="T50" s="94">
        <v>1</v>
      </c>
      <c r="U50" s="99">
        <f>IFERROR(_xll.qlRateHelperEarliestDate(N50,Trigger),"--")</f>
        <v>42304</v>
      </c>
      <c r="V50" s="99">
        <f>IFERROR(_xll.qlRateHelperPillarDate(N50,Trigger),"--")</f>
        <v>55088</v>
      </c>
      <c r="X50" s="4" t="str">
        <f t="shared" si="18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4"/>
        <v>#N/A</v>
      </c>
      <c r="AK50" s="80" t="e">
        <v>#N/A</v>
      </c>
      <c r="AL50" s="161" t="e">
        <f t="shared" si="5"/>
        <v>#N/A</v>
      </c>
    </row>
    <row r="51" spans="1:38" ht="11.25" customHeight="1" x14ac:dyDescent="0.2">
      <c r="A51" s="59" t="s">
        <v>117</v>
      </c>
      <c r="B51" s="60" t="s">
        <v>109</v>
      </c>
      <c r="C51" s="61" t="s">
        <v>6</v>
      </c>
      <c r="D51" s="61" t="s">
        <v>158</v>
      </c>
      <c r="E51" s="61" t="s">
        <v>7</v>
      </c>
      <c r="F51" s="61" t="s">
        <v>159</v>
      </c>
      <c r="G51" s="61" t="str">
        <f t="shared" si="21"/>
        <v>GbpLibor1Y</v>
      </c>
      <c r="H51" s="59" t="str">
        <f t="shared" si="22"/>
        <v>GBP6L12L28Y_LCHQuote</v>
      </c>
      <c r="I51" s="127">
        <v>0</v>
      </c>
      <c r="J51" s="64" t="str">
        <f>_xll.qlSwapRateHelper2(,$H51,0,$B51,Calendar,$D51,$E51,$F51,$G51,$I51,$C51,Discounting1,PillarDate,,Permanent,Trigger,ObjectOverwrite)</f>
        <v>obj_00554#0005</v>
      </c>
      <c r="K51" s="64" t="str">
        <f>_xll.qlSwapRateHelper2(,$H51,0,$B51,Calendar,$D51,$E51,$F51,$G51,$I51,$C51,Discounting2,PillarDate,,Permanent,Trigger,ObjectOverwrite)</f>
        <v>obj_00545#0005</v>
      </c>
      <c r="M51" s="10" t="str">
        <f t="shared" si="16"/>
        <v>BasSw</v>
      </c>
      <c r="N51" s="94" t="str">
        <f t="shared" ref="N51:O51" si="54">IF(ISBLANK(J55),"--",J55)</f>
        <v>obj_00558#0005</v>
      </c>
      <c r="O51" s="94" t="str">
        <f t="shared" si="54"/>
        <v>obj_00531#0005</v>
      </c>
      <c r="P51" s="146" t="str">
        <f>IFERROR(_xll.qlRateHelperQuoteName(N51,Trigger),"--")</f>
        <v>GBP6L12L40Y_LCHQuote</v>
      </c>
      <c r="Q51" s="98">
        <f>IFERROR(_xll.qlRateHelperQuoteValue($N51,Trigger),"--")</f>
        <v>2.08739999999999E-2</v>
      </c>
      <c r="R51" s="97" t="b">
        <v>1</v>
      </c>
      <c r="S51" s="94">
        <v>20</v>
      </c>
      <c r="T51" s="94">
        <v>1</v>
      </c>
      <c r="U51" s="99">
        <f>IFERROR(_xll.qlRateHelperEarliestDate(N51,Trigger),"--")</f>
        <v>42304</v>
      </c>
      <c r="V51" s="99">
        <f>IFERROR(_xll.qlRateHelperPillarDate(N51,Trigger),"--")</f>
        <v>56914</v>
      </c>
      <c r="X51" s="4" t="str">
        <f t="shared" si="18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4"/>
        <v>#N/A</v>
      </c>
      <c r="AK51" s="80" t="e">
        <v>#N/A</v>
      </c>
      <c r="AL51" s="161" t="e">
        <f t="shared" si="5"/>
        <v>#N/A</v>
      </c>
    </row>
    <row r="52" spans="1:38" ht="11.25" customHeight="1" x14ac:dyDescent="0.2">
      <c r="A52" s="59" t="s">
        <v>117</v>
      </c>
      <c r="B52" s="60" t="s">
        <v>110</v>
      </c>
      <c r="C52" s="61" t="s">
        <v>6</v>
      </c>
      <c r="D52" s="61" t="s">
        <v>158</v>
      </c>
      <c r="E52" s="61" t="s">
        <v>7</v>
      </c>
      <c r="F52" s="61" t="s">
        <v>159</v>
      </c>
      <c r="G52" s="61" t="str">
        <f t="shared" si="21"/>
        <v>GbpLibor1Y</v>
      </c>
      <c r="H52" s="59" t="str">
        <f t="shared" si="22"/>
        <v>GBP6L12L29Y_LCHQuote</v>
      </c>
      <c r="I52" s="127">
        <v>0</v>
      </c>
      <c r="J52" s="64" t="str">
        <f>_xll.qlSwapRateHelper2(,$H52,0,$B52,Calendar,$D52,$E52,$F52,$G52,$I52,$C52,Discounting1,PillarDate,,Permanent,Trigger,ObjectOverwrite)</f>
        <v>obj_00562#0005</v>
      </c>
      <c r="K52" s="64" t="str">
        <f>_xll.qlSwapRateHelper2(,$H52,0,$B52,Calendar,$D52,$E52,$F52,$G52,$I52,$C52,Discounting2,PillarDate,,Permanent,Trigger,ObjectOverwrite)</f>
        <v>obj_00550#0005</v>
      </c>
      <c r="M52" s="10" t="str">
        <f t="shared" si="16"/>
        <v>BasSw</v>
      </c>
      <c r="N52" s="94" t="str">
        <f t="shared" ref="N52:O52" si="55">IF(ISBLANK(J56),"--",J56)</f>
        <v>obj_00574#0005</v>
      </c>
      <c r="O52" s="94" t="str">
        <f t="shared" si="55"/>
        <v>obj_00543#0005</v>
      </c>
      <c r="P52" s="146" t="str">
        <f>IFERROR(_xll.qlRateHelperQuoteName(N52,Trigger),"--")</f>
        <v>GBP6L12L50Y_LCHQuote</v>
      </c>
      <c r="Q52" s="98">
        <f>IFERROR(_xll.qlRateHelperQuoteValue($N52,Trigger),"--")</f>
        <v>2.0546000000000099E-2</v>
      </c>
      <c r="R52" s="97" t="b">
        <v>1</v>
      </c>
      <c r="S52" s="94">
        <v>20</v>
      </c>
      <c r="T52" s="94">
        <v>1</v>
      </c>
      <c r="U52" s="99">
        <f>IFERROR(_xll.qlRateHelperEarliestDate(N52,Trigger),"--")</f>
        <v>42304</v>
      </c>
      <c r="V52" s="99">
        <f>IFERROR(_xll.qlRateHelperPillarDate(N52,Trigger),"--")</f>
        <v>60567</v>
      </c>
      <c r="X52" s="4" t="str">
        <f t="shared" si="18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46" t="e">
        <v>#N/A</v>
      </c>
      <c r="AI52" s="46" t="e">
        <v>#N/A</v>
      </c>
      <c r="AJ52" s="172" t="e">
        <f t="shared" si="4"/>
        <v>#N/A</v>
      </c>
      <c r="AK52" s="46" t="e">
        <v>#N/A</v>
      </c>
      <c r="AL52" s="161" t="e">
        <f t="shared" si="5"/>
        <v>#N/A</v>
      </c>
    </row>
    <row r="53" spans="1:38" ht="11.25" customHeight="1" x14ac:dyDescent="0.2">
      <c r="A53" s="59" t="s">
        <v>117</v>
      </c>
      <c r="B53" s="60" t="s">
        <v>65</v>
      </c>
      <c r="C53" s="61" t="s">
        <v>6</v>
      </c>
      <c r="D53" s="61" t="s">
        <v>158</v>
      </c>
      <c r="E53" s="61" t="s">
        <v>7</v>
      </c>
      <c r="F53" s="61" t="s">
        <v>159</v>
      </c>
      <c r="G53" s="61" t="str">
        <f t="shared" si="21"/>
        <v>GbpLibor1Y</v>
      </c>
      <c r="H53" s="59" t="str">
        <f t="shared" si="22"/>
        <v>GBP6L12L30Y_LCHQuote</v>
      </c>
      <c r="I53" s="127">
        <v>0</v>
      </c>
      <c r="J53" s="64" t="str">
        <f>_xll.qlSwapRateHelper2(,$H53,0,$B53,Calendar,$D53,$E53,$F53,$G53,$I53,$C53,Discounting1,PillarDate,,Permanent,Trigger,ObjectOverwrite)</f>
        <v>obj_00541#0005</v>
      </c>
      <c r="K53" s="64" t="str">
        <f>_xll.qlSwapRateHelper2(,$H53,0,$B53,Calendar,$D53,$E53,$F53,$G53,$I53,$C53,Discounting2,PillarDate,,Permanent,Trigger,ObjectOverwrite)</f>
        <v>obj_00537#0005</v>
      </c>
      <c r="M53" s="11" t="str">
        <f t="shared" si="16"/>
        <v>BasSw</v>
      </c>
      <c r="N53" s="95" t="str">
        <f t="shared" ref="N53:O53" si="56">IF(ISBLANK(J57),"--",J57)</f>
        <v>obj_00533#0005</v>
      </c>
      <c r="O53" s="95" t="str">
        <f t="shared" si="56"/>
        <v>obj_00552#0005</v>
      </c>
      <c r="P53" s="147" t="str">
        <f>IFERROR(_xll.qlRateHelperQuoteName(N53,Trigger),"--")</f>
        <v>GBP6L12L60Y_LCHQuote</v>
      </c>
      <c r="Q53" s="101">
        <f>IFERROR(_xll.qlRateHelperQuoteValue($N53,Trigger),"--")</f>
        <v>2.0330500000000098E-2</v>
      </c>
      <c r="R53" s="100" t="b">
        <v>1</v>
      </c>
      <c r="S53" s="95">
        <v>20</v>
      </c>
      <c r="T53" s="95">
        <v>1</v>
      </c>
      <c r="U53" s="102">
        <f>IFERROR(_xll.qlRateHelperEarliestDate(N53,Trigger),"--")</f>
        <v>42304</v>
      </c>
      <c r="V53" s="102">
        <f>IFERROR(_xll.qlRateHelperPillarDate(N53,Trigger),"--")</f>
        <v>64220</v>
      </c>
      <c r="X53" s="6" t="str">
        <f t="shared" si="18"/>
        <v/>
      </c>
      <c r="Y53" s="6" t="e">
        <v>#N/A</v>
      </c>
      <c r="Z53" s="6" t="e">
        <v>#N/A</v>
      </c>
      <c r="AA53" s="6" t="str">
        <f>IFERROR(_xll.qlRateHelperQuoteName(Y53,Trigger),"")</f>
        <v/>
      </c>
      <c r="AB53" s="79" t="str">
        <f>IFERROR(_xll.qlRateHelperRate(Y53,Trigger),"")</f>
        <v/>
      </c>
      <c r="AC53" s="105" t="str">
        <f>IF(ISERROR(_xll.qlSwapRateHelperSpread($Y53)),IF(ISERROR(_xll.qlFuturesRateHelperConvexityAdjustment($Y53)),"",_xll.qlFuturesRateHelperConvexityAdjustment($Y53)),_xll.qlSwapRateHelperSpread($Y53))</f>
        <v/>
      </c>
      <c r="AD53" s="12" t="str">
        <f>IFERROR(_xll.qlRateHelperEarliestDate(Y53,Trigger),"")</f>
        <v/>
      </c>
      <c r="AE53" s="12" t="str">
        <f>IFERROR(_xll.qlRateHelperPillarDate(Y53,Trigger),"")</f>
        <v/>
      </c>
      <c r="AF53" s="79" t="e">
        <v>#N/A</v>
      </c>
      <c r="AG53" s="78" t="e">
        <v>#N/A</v>
      </c>
      <c r="AH53" s="46" t="e">
        <v>#N/A</v>
      </c>
      <c r="AI53" s="46" t="e">
        <v>#N/A</v>
      </c>
      <c r="AJ53" s="172" t="e">
        <f t="shared" si="4"/>
        <v>#N/A</v>
      </c>
      <c r="AK53" s="46" t="e">
        <v>#N/A</v>
      </c>
      <c r="AL53" s="161" t="e">
        <f t="shared" si="5"/>
        <v>#N/A</v>
      </c>
    </row>
    <row r="54" spans="1:38" ht="11.25" customHeight="1" x14ac:dyDescent="0.2">
      <c r="A54" s="59" t="s">
        <v>117</v>
      </c>
      <c r="B54" s="60" t="s">
        <v>66</v>
      </c>
      <c r="C54" s="61" t="s">
        <v>6</v>
      </c>
      <c r="D54" s="61" t="s">
        <v>158</v>
      </c>
      <c r="E54" s="61" t="s">
        <v>7</v>
      </c>
      <c r="F54" s="61" t="s">
        <v>159</v>
      </c>
      <c r="G54" s="61" t="str">
        <f t="shared" si="21"/>
        <v>GbpLibor1Y</v>
      </c>
      <c r="H54" s="59" t="str">
        <f t="shared" si="22"/>
        <v>GBP6L12L35Y_LCHQuote</v>
      </c>
      <c r="I54" s="127">
        <v>0</v>
      </c>
      <c r="J54" s="64" t="str">
        <f>_xll.qlSwapRateHelper2(,$H54,0,$B54,Calendar,$D54,$E54,$F54,$G54,$I54,$C54,Discounting1,PillarDate,,Permanent,Trigger,ObjectOverwrite)</f>
        <v>obj_0056f#0005</v>
      </c>
      <c r="K54" s="64" t="str">
        <f>_xll.qlSwapRateHelper2(,$H54,0,$B54,Calendar,$D54,$E54,$F54,$G54,$I54,$C54,Discounting2,PillarDate,,Permanent,Trigger,ObjectOverwrite)</f>
        <v>obj_00576#0005</v>
      </c>
    </row>
    <row r="55" spans="1:38" ht="11.25" customHeight="1" x14ac:dyDescent="0.2">
      <c r="A55" s="59" t="s">
        <v>117</v>
      </c>
      <c r="B55" s="60" t="s">
        <v>67</v>
      </c>
      <c r="C55" s="61" t="s">
        <v>6</v>
      </c>
      <c r="D55" s="61" t="s">
        <v>158</v>
      </c>
      <c r="E55" s="61" t="s">
        <v>7</v>
      </c>
      <c r="F55" s="61" t="s">
        <v>159</v>
      </c>
      <c r="G55" s="61" t="str">
        <f t="shared" si="21"/>
        <v>GbpLibor1Y</v>
      </c>
      <c r="H55" s="59" t="str">
        <f t="shared" si="22"/>
        <v>GBP6L12L40Y_LCHQuote</v>
      </c>
      <c r="I55" s="125">
        <v>0</v>
      </c>
      <c r="J55" s="64" t="str">
        <f>_xll.qlSwapRateHelper2(,$H55,0,$B55,Calendar,$D55,$E55,$F55,$G55,$I55,$C55,Discounting1,PillarDate,,Permanent,Trigger,ObjectOverwrite)</f>
        <v>obj_00558#0005</v>
      </c>
      <c r="K55" s="64" t="str">
        <f>_xll.qlSwapRateHelper2(,$H55,0,$B55,Calendar,$D55,$E55,$F55,$G55,$I55,$C55,Discounting2,PillarDate,,Permanent,Trigger,ObjectOverwrite)</f>
        <v>obj_00531#0005</v>
      </c>
    </row>
    <row r="56" spans="1:38" ht="11.25" customHeight="1" x14ac:dyDescent="0.2">
      <c r="A56" s="59" t="s">
        <v>117</v>
      </c>
      <c r="B56" s="60" t="s">
        <v>68</v>
      </c>
      <c r="C56" s="61" t="s">
        <v>6</v>
      </c>
      <c r="D56" s="61" t="s">
        <v>158</v>
      </c>
      <c r="E56" s="61" t="s">
        <v>7</v>
      </c>
      <c r="F56" s="61" t="s">
        <v>159</v>
      </c>
      <c r="G56" s="61" t="str">
        <f t="shared" si="21"/>
        <v>GbpLibor1Y</v>
      </c>
      <c r="H56" s="59" t="str">
        <f t="shared" si="22"/>
        <v>GBP6L12L50Y_LCHQuote</v>
      </c>
      <c r="I56" s="125">
        <v>0</v>
      </c>
      <c r="J56" s="64" t="str">
        <f>_xll.qlSwapRateHelper2(,$H56,0,$B56,Calendar,$D56,$E56,$F56,$G56,$I56,$C56,Discounting1,PillarDate,,Permanent,Trigger,ObjectOverwrite)</f>
        <v>obj_00574#0005</v>
      </c>
      <c r="K56" s="64" t="str">
        <f>_xll.qlSwapRateHelper2(,$H56,0,$B56,Calendar,$D56,$E56,$F56,$G56,$I56,$C56,Discounting2,PillarDate,,Permanent,Trigger,ObjectOverwrite)</f>
        <v>obj_00543#0005</v>
      </c>
    </row>
    <row r="57" spans="1:38" ht="11.25" customHeight="1" x14ac:dyDescent="0.2">
      <c r="A57" s="1" t="s">
        <v>117</v>
      </c>
      <c r="B57" s="8" t="s">
        <v>111</v>
      </c>
      <c r="C57" s="7" t="s">
        <v>6</v>
      </c>
      <c r="D57" s="7" t="s">
        <v>158</v>
      </c>
      <c r="E57" s="7" t="s">
        <v>7</v>
      </c>
      <c r="F57" s="7" t="s">
        <v>159</v>
      </c>
      <c r="G57" s="7" t="str">
        <f t="shared" si="21"/>
        <v>GbpLibor1Y</v>
      </c>
      <c r="H57" s="1" t="str">
        <f t="shared" si="22"/>
        <v>GBP6L12L60Y_LCHQuote</v>
      </c>
      <c r="I57" s="128">
        <v>0</v>
      </c>
      <c r="J57" s="3" t="str">
        <f>_xll.qlSwapRateHelper2(,$H57,0,$B57,Calendar,$D57,$E57,$F57,$G57,$I57,$C57,Discounting1,PillarDate,,Permanent,Trigger,ObjectOverwrite)</f>
        <v>obj_00533#0005</v>
      </c>
      <c r="K57" s="3" t="str">
        <f>_xll.qlSwapRateHelper2(,$H57,0,$B57,Calendar,$D57,$E57,$F57,$G57,$I57,$C57,Discounting2,PillarDate,,Permanent,Trigger,ObjectOverwrite)</f>
        <v>obj_00552#0005</v>
      </c>
    </row>
    <row r="58" spans="1:38" ht="11.25" customHeight="1" x14ac:dyDescent="0.2"/>
    <row r="59" spans="1:38" ht="11.25" customHeight="1" x14ac:dyDescent="0.2"/>
    <row r="60" spans="1:38" ht="11.25" customHeight="1" x14ac:dyDescent="0.2"/>
    <row r="61" spans="1:38" ht="11.25" customHeight="1" x14ac:dyDescent="0.2"/>
    <row r="62" spans="1:38" ht="11.25" customHeight="1" x14ac:dyDescent="0.2"/>
    <row r="63" spans="1:38" ht="11.25" customHeight="1" x14ac:dyDescent="0.2"/>
    <row r="64" spans="1:38" ht="11.25" customHeight="1" x14ac:dyDescent="0.2"/>
    <row r="65" spans="2:23" ht="11.25" customHeight="1" x14ac:dyDescent="0.2">
      <c r="W65" s="46"/>
    </row>
    <row r="66" spans="2:23" ht="11.25" customHeight="1" x14ac:dyDescent="0.2">
      <c r="W66" s="46"/>
    </row>
    <row r="67" spans="2:23" ht="11.25" customHeight="1" x14ac:dyDescent="0.2">
      <c r="B67" s="46"/>
      <c r="C67" s="46"/>
      <c r="D67" s="46"/>
      <c r="E67" s="46"/>
      <c r="F67" s="46"/>
      <c r="G67" s="46"/>
      <c r="H67" s="46"/>
      <c r="N67" s="46"/>
      <c r="O67" s="46"/>
      <c r="P67" s="46"/>
      <c r="Q67" s="46"/>
      <c r="R67" s="46"/>
      <c r="S67" s="46"/>
      <c r="T67" s="46"/>
      <c r="U67" s="46"/>
      <c r="V67" s="46"/>
      <c r="W67" s="46"/>
    </row>
    <row r="68" spans="2:23" ht="11.25" customHeight="1" x14ac:dyDescent="0.2">
      <c r="B68" s="46"/>
      <c r="C68" s="46"/>
      <c r="D68" s="46"/>
      <c r="E68" s="46"/>
      <c r="F68" s="46"/>
      <c r="G68" s="46"/>
      <c r="H68" s="46"/>
      <c r="N68" s="46"/>
      <c r="O68" s="46"/>
      <c r="P68" s="46"/>
      <c r="Q68" s="46"/>
      <c r="R68" s="46"/>
      <c r="S68" s="46"/>
      <c r="T68" s="46"/>
      <c r="U68" s="46"/>
      <c r="V68" s="46"/>
      <c r="W68" s="46"/>
    </row>
    <row r="69" spans="2:23" ht="11.25" customHeight="1" x14ac:dyDescent="0.2">
      <c r="B69" s="46"/>
      <c r="C69" s="46"/>
      <c r="D69" s="46"/>
      <c r="E69" s="46"/>
      <c r="F69" s="46"/>
      <c r="G69" s="46"/>
      <c r="H69" s="46"/>
      <c r="N69" s="46"/>
      <c r="O69" s="46"/>
      <c r="P69" s="46"/>
      <c r="Q69" s="46"/>
      <c r="R69" s="46"/>
      <c r="S69" s="46"/>
      <c r="T69" s="46"/>
      <c r="U69" s="46"/>
      <c r="V69" s="46"/>
      <c r="W69" s="46"/>
    </row>
    <row r="70" spans="2:23" ht="11.25" customHeight="1" x14ac:dyDescent="0.2">
      <c r="B70" s="46"/>
      <c r="C70" s="46"/>
      <c r="D70" s="46"/>
      <c r="E70" s="46"/>
      <c r="F70" s="46"/>
      <c r="G70" s="46"/>
      <c r="H70" s="46"/>
      <c r="N70" s="46"/>
      <c r="O70" s="46"/>
      <c r="P70" s="46"/>
      <c r="Q70" s="46"/>
      <c r="R70" s="46"/>
      <c r="S70" s="46"/>
      <c r="T70" s="46"/>
      <c r="U70" s="46"/>
      <c r="V70" s="46"/>
      <c r="W70" s="46"/>
    </row>
    <row r="71" spans="2:23" ht="11.25" customHeight="1" x14ac:dyDescent="0.2">
      <c r="B71" s="46"/>
      <c r="C71" s="46"/>
      <c r="D71" s="46"/>
      <c r="E71" s="46"/>
      <c r="F71" s="46"/>
      <c r="G71" s="46"/>
      <c r="H71" s="46"/>
      <c r="N71" s="46"/>
      <c r="O71" s="46"/>
      <c r="P71" s="46"/>
      <c r="Q71" s="46"/>
      <c r="R71" s="46"/>
      <c r="S71" s="46"/>
      <c r="T71" s="46"/>
      <c r="U71" s="46"/>
      <c r="V71" s="46"/>
      <c r="W71" s="46"/>
    </row>
    <row r="72" spans="2:23" ht="11.25" customHeight="1" x14ac:dyDescent="0.2">
      <c r="B72" s="46"/>
      <c r="C72" s="46"/>
      <c r="D72" s="46"/>
      <c r="E72" s="46"/>
      <c r="F72" s="46"/>
      <c r="G72" s="46"/>
      <c r="H72" s="46"/>
      <c r="N72" s="46"/>
      <c r="O72" s="46"/>
      <c r="P72" s="46"/>
      <c r="Q72" s="46"/>
      <c r="R72" s="46"/>
      <c r="S72" s="46"/>
      <c r="T72" s="46"/>
      <c r="U72" s="46"/>
      <c r="V72" s="46"/>
      <c r="W72" s="46"/>
    </row>
    <row r="73" spans="2:23" ht="11.25" customHeight="1" x14ac:dyDescent="0.2">
      <c r="B73" s="46"/>
      <c r="C73" s="46"/>
      <c r="D73" s="46"/>
      <c r="E73" s="46"/>
      <c r="F73" s="46"/>
      <c r="G73" s="46"/>
      <c r="H73" s="46"/>
      <c r="N73" s="46"/>
      <c r="O73" s="46"/>
      <c r="P73" s="46"/>
      <c r="Q73" s="46"/>
      <c r="R73" s="46"/>
      <c r="S73" s="46"/>
      <c r="T73" s="46"/>
      <c r="U73" s="46"/>
      <c r="V73" s="46"/>
      <c r="W73" s="46"/>
    </row>
    <row r="74" spans="2:23" ht="11.25" customHeight="1" x14ac:dyDescent="0.2">
      <c r="B74" s="46"/>
      <c r="C74" s="46"/>
      <c r="D74" s="46"/>
      <c r="E74" s="46"/>
      <c r="F74" s="46"/>
      <c r="G74" s="46"/>
      <c r="H74" s="46"/>
      <c r="N74" s="46"/>
      <c r="O74" s="46"/>
      <c r="P74" s="46"/>
      <c r="Q74" s="46"/>
      <c r="R74" s="46"/>
      <c r="S74" s="46"/>
      <c r="T74" s="46"/>
      <c r="U74" s="46"/>
      <c r="V74" s="46"/>
      <c r="W74" s="46"/>
    </row>
    <row r="75" spans="2:23" ht="11.25" customHeight="1" x14ac:dyDescent="0.2">
      <c r="B75" s="46"/>
      <c r="C75" s="46"/>
      <c r="D75" s="46"/>
      <c r="E75" s="46"/>
      <c r="F75" s="46"/>
      <c r="G75" s="46"/>
      <c r="H75" s="46"/>
      <c r="N75" s="46"/>
      <c r="O75" s="46"/>
      <c r="P75" s="46"/>
      <c r="Q75" s="46"/>
      <c r="R75" s="46"/>
      <c r="S75" s="46"/>
      <c r="T75" s="46"/>
      <c r="U75" s="46"/>
      <c r="V75" s="46"/>
      <c r="W75" s="46"/>
    </row>
    <row r="76" spans="2:23" ht="11.25" customHeight="1" x14ac:dyDescent="0.2">
      <c r="B76" s="46"/>
      <c r="C76" s="46"/>
      <c r="D76" s="46"/>
      <c r="E76" s="46"/>
      <c r="F76" s="46"/>
      <c r="G76" s="46"/>
      <c r="H76" s="46"/>
      <c r="N76" s="46"/>
      <c r="O76" s="46"/>
      <c r="P76" s="46"/>
      <c r="Q76" s="46"/>
      <c r="R76" s="46"/>
      <c r="S76" s="46"/>
      <c r="T76" s="46"/>
      <c r="U76" s="46"/>
      <c r="V76" s="46"/>
      <c r="W76" s="46"/>
    </row>
    <row r="77" spans="2:23" ht="11.25" customHeight="1" x14ac:dyDescent="0.2">
      <c r="B77" s="46"/>
      <c r="C77" s="46"/>
      <c r="D77" s="46"/>
      <c r="E77" s="46"/>
      <c r="F77" s="46"/>
      <c r="G77" s="46"/>
      <c r="H77" s="46"/>
      <c r="N77" s="46"/>
      <c r="O77" s="46"/>
      <c r="P77" s="46"/>
      <c r="Q77" s="46"/>
      <c r="R77" s="46"/>
      <c r="S77" s="46"/>
      <c r="T77" s="46"/>
      <c r="U77" s="46"/>
      <c r="V77" s="46"/>
      <c r="W77" s="46"/>
    </row>
    <row r="78" spans="2:23" ht="11.25" customHeight="1" x14ac:dyDescent="0.2">
      <c r="B78" s="46"/>
      <c r="C78" s="46"/>
      <c r="D78" s="46"/>
      <c r="E78" s="46"/>
      <c r="F78" s="46"/>
      <c r="G78" s="46"/>
      <c r="H78" s="46"/>
      <c r="N78" s="46"/>
      <c r="O78" s="46"/>
      <c r="P78" s="46"/>
      <c r="Q78" s="46"/>
      <c r="R78" s="46"/>
      <c r="S78" s="46"/>
      <c r="T78" s="46"/>
      <c r="U78" s="46"/>
      <c r="V78" s="46"/>
      <c r="W78" s="46"/>
    </row>
    <row r="79" spans="2:23" ht="11.25" customHeight="1" x14ac:dyDescent="0.2">
      <c r="B79" s="46"/>
      <c r="C79" s="46"/>
      <c r="D79" s="46"/>
      <c r="E79" s="46"/>
      <c r="F79" s="46"/>
      <c r="G79" s="46"/>
      <c r="H79" s="46"/>
      <c r="N79" s="46"/>
      <c r="O79" s="46"/>
      <c r="P79" s="46"/>
      <c r="Q79" s="46"/>
      <c r="R79" s="46"/>
      <c r="S79" s="46"/>
      <c r="T79" s="46"/>
      <c r="U79" s="46"/>
      <c r="V79" s="46"/>
      <c r="W79" s="46"/>
    </row>
    <row r="80" spans="2:23" ht="11.25" customHeight="1" x14ac:dyDescent="0.2">
      <c r="B80" s="46"/>
      <c r="C80" s="46"/>
      <c r="D80" s="46"/>
      <c r="E80" s="46"/>
      <c r="F80" s="46"/>
      <c r="G80" s="46"/>
      <c r="H80" s="46"/>
      <c r="N80" s="46"/>
      <c r="O80" s="46"/>
      <c r="P80" s="46"/>
      <c r="Q80" s="46"/>
      <c r="R80" s="46"/>
      <c r="S80" s="46"/>
      <c r="T80" s="46"/>
      <c r="U80" s="46"/>
      <c r="V80" s="46"/>
      <c r="W80" s="46"/>
    </row>
    <row r="81" spans="2:23" x14ac:dyDescent="0.2">
      <c r="B81" s="46"/>
      <c r="C81" s="46"/>
      <c r="D81" s="46"/>
      <c r="E81" s="46"/>
      <c r="F81" s="46"/>
      <c r="G81" s="46"/>
      <c r="H81" s="46"/>
      <c r="N81" s="46"/>
      <c r="O81" s="46"/>
      <c r="P81" s="46"/>
      <c r="Q81" s="46"/>
      <c r="R81" s="46"/>
      <c r="S81" s="46"/>
      <c r="T81" s="46"/>
      <c r="U81" s="46"/>
      <c r="V81" s="46"/>
    </row>
    <row r="82" spans="2:23" x14ac:dyDescent="0.2">
      <c r="B82" s="46"/>
      <c r="C82" s="46"/>
      <c r="D82" s="46"/>
      <c r="E82" s="46"/>
      <c r="F82" s="46"/>
      <c r="G82" s="46"/>
      <c r="H82" s="46"/>
      <c r="N82" s="46"/>
      <c r="O82" s="46"/>
      <c r="P82" s="46"/>
      <c r="Q82" s="46"/>
      <c r="R82" s="46"/>
      <c r="S82" s="46"/>
      <c r="T82" s="46"/>
      <c r="U82" s="46"/>
      <c r="V82" s="46"/>
    </row>
    <row r="90" spans="2:23" x14ac:dyDescent="0.2">
      <c r="L90" s="46" t="s">
        <v>35</v>
      </c>
      <c r="W90" s="46"/>
    </row>
    <row r="92" spans="2:23" x14ac:dyDescent="0.2">
      <c r="B92" s="46"/>
      <c r="C92" s="46"/>
      <c r="D92" s="46"/>
      <c r="E92" s="46"/>
      <c r="F92" s="46"/>
      <c r="G92" s="46"/>
      <c r="H92" s="46"/>
      <c r="N92" s="46"/>
      <c r="O92" s="46"/>
      <c r="P92" s="46"/>
      <c r="Q92" s="46"/>
      <c r="R92" s="46"/>
      <c r="S92" s="46"/>
      <c r="T92" s="46"/>
      <c r="U92" s="46"/>
      <c r="V92" s="46"/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20:D57">
      <formula1>"Annual,Semiannual,EveryFourthMonth,Quarterly,Bimonthly,Monthly,Biweekly,Weekly,Daily,Once,NoFrequency"</formula1>
    </dataValidation>
    <dataValidation type="list" allowBlank="1" showInputMessage="1" showErrorMessage="1" sqref="E20:E57">
      <formula1>"Following,Modified Following,Preceding,Modified Preceding,Unadjusted,Half-Month Modified Following"</formula1>
    </dataValidation>
    <dataValidation type="list" allowBlank="1" showInputMessage="1" showErrorMessage="1" sqref="F20:F5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15"/>
  <sheetViews>
    <sheetView topLeftCell="K1" workbookViewId="0">
      <selection activeCell="K1" sqref="K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11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9" style="46" hidden="1" customWidth="1" outlineLevel="1"/>
    <col min="10" max="10" width="15.140625" style="46" hidden="1" customWidth="1" outlineLevel="1"/>
    <col min="11" max="11" width="2.7109375" style="46" customWidth="1" collapsed="1"/>
    <col min="12" max="12" width="6" style="46" hidden="1" customWidth="1" outlineLevel="1"/>
    <col min="13" max="13" width="15.140625" style="103" hidden="1" customWidth="1" outlineLevel="1"/>
    <col min="14" max="14" width="22.42578125" style="103" hidden="1" customWidth="1" outlineLevel="1"/>
    <col min="15" max="15" width="12" style="103" hidden="1" customWidth="1" outlineLevel="1"/>
    <col min="16" max="16" width="7.85546875" style="103" hidden="1" customWidth="1" outlineLevel="1"/>
    <col min="17" max="17" width="9" style="103" hidden="1" customWidth="1" outlineLevel="1"/>
    <col min="18" max="18" width="5.85546875" style="103" hidden="1" customWidth="1" outlineLevel="1"/>
    <col min="19" max="20" width="10.7109375" style="103" hidden="1" customWidth="1" outlineLevel="1"/>
    <col min="21" max="21" width="2.7109375" style="48" hidden="1" customWidth="1" outlineLevel="1"/>
    <col min="22" max="22" width="6" style="46" bestFit="1" customWidth="1" collapsed="1"/>
    <col min="23" max="23" width="10.140625" style="46" hidden="1" customWidth="1" outlineLevel="1"/>
    <col min="24" max="24" width="24.7109375" style="46" customWidth="1" collapsed="1"/>
    <col min="25" max="25" width="11" style="46" bestFit="1" customWidth="1"/>
    <col min="26" max="26" width="9.7109375" style="46" customWidth="1"/>
    <col min="27" max="28" width="17.28515625" style="46" bestFit="1" customWidth="1"/>
    <col min="29" max="29" width="12" style="46" bestFit="1" customWidth="1"/>
    <col min="30" max="31" width="10.85546875" style="46" hidden="1" customWidth="1" outlineLevel="1"/>
    <col min="32" max="32" width="10" style="46" hidden="1" customWidth="1" outlineLevel="1"/>
    <col min="33" max="33" width="3.28515625" style="46" customWidth="1" collapsed="1"/>
    <col min="34" max="34" width="24.42578125" style="46" bestFit="1" customWidth="1"/>
    <col min="35" max="35" width="9" style="46" bestFit="1" customWidth="1"/>
    <col min="36" max="16384" width="9.140625" style="46"/>
  </cols>
  <sheetData>
    <row r="1" spans="1:35" ht="18" customHeight="1" x14ac:dyDescent="0.2">
      <c r="H1" s="50"/>
      <c r="L1" s="67" t="s">
        <v>24</v>
      </c>
      <c r="M1" s="106"/>
      <c r="N1" s="106"/>
      <c r="O1" s="106"/>
      <c r="P1" s="106"/>
      <c r="Q1" s="106"/>
      <c r="R1" s="106"/>
      <c r="S1" s="106"/>
      <c r="T1" s="96"/>
      <c r="U1" s="93"/>
      <c r="V1" s="74" t="str">
        <f>Currency&amp;"STD"</f>
        <v>GBPSTD</v>
      </c>
      <c r="W1" s="66"/>
      <c r="X1" s="66"/>
      <c r="Y1" s="69"/>
      <c r="Z1" s="69"/>
      <c r="AA1" s="66"/>
      <c r="AB1" s="66"/>
      <c r="AC1" s="73" t="s">
        <v>131</v>
      </c>
    </row>
    <row r="2" spans="1:35" ht="21.75" customHeight="1" x14ac:dyDescent="0.2">
      <c r="A2" s="65" t="s">
        <v>9</v>
      </c>
      <c r="B2" s="65" t="s">
        <v>28</v>
      </c>
      <c r="C2" s="65"/>
      <c r="D2" s="65" t="s">
        <v>144</v>
      </c>
      <c r="E2" s="65" t="s">
        <v>145</v>
      </c>
      <c r="F2" s="65" t="s">
        <v>114</v>
      </c>
      <c r="G2" s="65" t="s">
        <v>4</v>
      </c>
      <c r="H2" s="65" t="s">
        <v>1</v>
      </c>
      <c r="I2" s="65"/>
      <c r="J2" s="65" t="s">
        <v>24</v>
      </c>
      <c r="L2" s="73" t="s">
        <v>9</v>
      </c>
      <c r="M2" s="73" t="s">
        <v>136</v>
      </c>
      <c r="N2" s="73" t="s">
        <v>78</v>
      </c>
      <c r="O2" s="73" t="s">
        <v>81</v>
      </c>
      <c r="P2" s="73" t="s">
        <v>79</v>
      </c>
      <c r="Q2" s="73" t="s">
        <v>80</v>
      </c>
      <c r="R2" s="73" t="s">
        <v>82</v>
      </c>
      <c r="S2" s="73" t="s">
        <v>22</v>
      </c>
      <c r="T2" s="73" t="s">
        <v>75</v>
      </c>
      <c r="U2" s="93"/>
      <c r="V2" s="73" t="s">
        <v>9</v>
      </c>
      <c r="W2" s="73" t="s">
        <v>24</v>
      </c>
      <c r="X2" s="73" t="s">
        <v>78</v>
      </c>
      <c r="Y2" s="75" t="s">
        <v>23</v>
      </c>
      <c r="Z2" s="75" t="s">
        <v>83</v>
      </c>
      <c r="AA2" s="73" t="s">
        <v>22</v>
      </c>
      <c r="AB2" s="73" t="s">
        <v>75</v>
      </c>
      <c r="AC2" s="171">
        <f t="array" ref="AC2:AC72">_xll.qlPiecewiseYieldCurveData(yieldcurve1_STD,Trigger)</f>
        <v>4.8249681089873224E-3</v>
      </c>
      <c r="AH2" s="213" t="s">
        <v>84</v>
      </c>
      <c r="AI2" s="214"/>
    </row>
    <row r="3" spans="1:35" ht="11.25" customHeight="1" x14ac:dyDescent="0.2">
      <c r="A3" s="180" t="s">
        <v>26</v>
      </c>
      <c r="B3" s="181" t="s">
        <v>36</v>
      </c>
      <c r="C3" s="181" t="s">
        <v>73</v>
      </c>
      <c r="D3" s="204" t="b">
        <v>0</v>
      </c>
      <c r="E3" s="204" t="s">
        <v>7</v>
      </c>
      <c r="F3" s="204" t="s">
        <v>159</v>
      </c>
      <c r="G3" s="183" t="str">
        <f>_xll.qlIborIndex(,FamilyName,"1D",,Currency,Calendar,$E3,$D3,$F3,,Permanent,Trigger,ObjectOverwrite)</f>
        <v>obj_00618#0005</v>
      </c>
      <c r="H3" s="184" t="str">
        <f>IF(LCHQuoteOverwrite,Currency&amp;B3&amp;"D"&amp;LCHQuoteSuffix,Currency&amp;B3&amp;"D"&amp;QuoteSuffix)</f>
        <v>GBPOND_LCHQuote</v>
      </c>
      <c r="I3" s="182"/>
      <c r="J3" s="185" t="str">
        <f>_xll.qlDepositRateHelper(,$H3,$G3,Permanent,Trigger,ObjectOverwrite)</f>
        <v>obj_0061f#0005</v>
      </c>
      <c r="K3" s="49"/>
      <c r="L3" s="68" t="str">
        <f>A3</f>
        <v>Dp</v>
      </c>
      <c r="M3" s="131" t="str">
        <f>IF(ISBLANK(J3),"--",J3)</f>
        <v>obj_0061f#0005</v>
      </c>
      <c r="N3" s="145" t="str">
        <f>IFERROR(_xll.qlRateHelperQuoteName(M3,Trigger),"--")</f>
        <v>GBPOND_LCHQuote</v>
      </c>
      <c r="O3" s="133">
        <f>IFERROR(_xll.qlRateHelperQuoteValue($M3,Trigger),"--")</f>
        <v>4.8250000000000003E-3</v>
      </c>
      <c r="P3" s="132" t="b">
        <v>1</v>
      </c>
      <c r="Q3" s="131">
        <v>30</v>
      </c>
      <c r="R3" s="131">
        <v>1</v>
      </c>
      <c r="S3" s="134">
        <f>IFERROR(_xll.qlRateHelperEarliestDate(M3,Trigger),"--")</f>
        <v>42304</v>
      </c>
      <c r="T3" s="134">
        <f>IFERROR(_xll.qlRateHelperPillarDate(M3,Trigger),"--")</f>
        <v>42305</v>
      </c>
      <c r="V3" s="4" t="str">
        <f t="shared" ref="V3:V34" si="0">IFERROR(INDEX($L$3:$L$72,MATCH(X3,$N$3:$N$72,0),1),"")</f>
        <v>Dp</v>
      </c>
      <c r="W3" s="4" t="str">
        <f t="array" ref="W3:W72">_xll.qlRateHelperSelection(_xll.ohFilter(RateHelpers,IncludeFlag),_xll.ohFilter(Priority,IncludeFlag),$AI$3,$AI$4,$AI$5,$AI$6,_xll.ohFilter(MinDistance,IncludeFlag),Trigger)</f>
        <v>obj_0061f</v>
      </c>
      <c r="X3" s="4" t="str">
        <f>IFERROR(_xll.qlRateHelperQuoteName(W3,Trigger),"")</f>
        <v>GBPOND_LCHQuote</v>
      </c>
      <c r="Y3" s="70">
        <f>IFERROR(_xll.qlRateHelperRate(W3,Trigger),"")</f>
        <v>4.8250000000000003E-3</v>
      </c>
      <c r="Z3" s="104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42304</v>
      </c>
      <c r="AB3" s="5">
        <f>IFERROR(_xll.qlRateHelperPillarDate(W3,Trigger),"")</f>
        <v>42305</v>
      </c>
      <c r="AC3" s="70">
        <v>4.8249681089873224E-3</v>
      </c>
      <c r="AD3" s="169">
        <f t="array" ref="AD3:AD72">_xll.ohFilter([1]REP00079!$C$2:$C$2000,([1]REP00079!$A$2:$A$2000="GBP_LIBOR_EOD"))</f>
        <v>42305</v>
      </c>
      <c r="AE3" s="170">
        <f t="array" ref="AE3:AE72">_xll.ohFilter([1]REP00079!$E$2:$E$2000,([1]REP00079!$A$2:$A$2000="GBP_LIBOR_EOD"))</f>
        <v>4.82496810900557E-3</v>
      </c>
      <c r="AF3" s="172">
        <f>_xll.qlYieldTSZeroRate(yieldcurve1_STD,$AD3,"ACTUAL/365 (FIXED)",,,TRUE,Trigger)-AE3</f>
        <v>0</v>
      </c>
      <c r="AG3" s="161"/>
      <c r="AH3" s="107" t="s">
        <v>85</v>
      </c>
      <c r="AI3" s="108">
        <v>8</v>
      </c>
    </row>
    <row r="4" spans="1:35" ht="11.25" customHeight="1" x14ac:dyDescent="0.2">
      <c r="A4" s="186" t="s">
        <v>26</v>
      </c>
      <c r="B4" s="187" t="s">
        <v>72</v>
      </c>
      <c r="C4" s="187" t="s">
        <v>142</v>
      </c>
      <c r="D4" s="205" t="b">
        <v>0</v>
      </c>
      <c r="E4" s="205" t="s">
        <v>7</v>
      </c>
      <c r="F4" s="205" t="s">
        <v>159</v>
      </c>
      <c r="G4" s="189" t="str">
        <f>_xll.qlIborIndex(,FamilyName,"1D",,Currency,Calendar,$E4,$D4,$F4,,Permanent,Trigger,ObjectOverwrite)</f>
        <v>obj_005f9#0005</v>
      </c>
      <c r="H4" s="190" t="str">
        <f>IF(LCHQuoteOverwrite,Currency&amp;B4&amp;"D"&amp;LCHQuoteSuffix,Currency&amp;B4&amp;"D"&amp;QuoteSuffix)</f>
        <v>GBPTND_LCHQuote</v>
      </c>
      <c r="I4" s="188"/>
      <c r="J4" s="191" t="str">
        <f>_xll.qlFraRateHelper(,$H4,"1D",$G4,PillarDate,,Permanent,Trigger,ObjectOverwrite)</f>
        <v>obj_0061e#0005</v>
      </c>
      <c r="K4" s="49"/>
      <c r="L4" s="10" t="str">
        <f t="shared" ref="L4:L11" si="1">A4</f>
        <v>Dp</v>
      </c>
      <c r="M4" s="94" t="str">
        <f t="shared" ref="M4:M11" si="2">IF(ISBLANK(J4),"--",J4)</f>
        <v>obj_0061e#0005</v>
      </c>
      <c r="N4" s="146" t="str">
        <f>IFERROR(_xll.qlRateHelperQuoteName(M4,Trigger),"--")</f>
        <v>GBPTND_LCHQuote</v>
      </c>
      <c r="O4" s="98" t="str">
        <f>IFERROR(_xll.qlRateHelperQuoteValue($M4,Trigger),"--")</f>
        <v>--</v>
      </c>
      <c r="P4" s="97" t="b">
        <v>0</v>
      </c>
      <c r="Q4" s="94">
        <v>30</v>
      </c>
      <c r="R4" s="94">
        <v>1</v>
      </c>
      <c r="S4" s="99">
        <f>IFERROR(_xll.qlRateHelperEarliestDate(M4,Trigger),"--")</f>
        <v>42305</v>
      </c>
      <c r="T4" s="99">
        <f>IFERROR(_xll.qlRateHelperPillarDate(M4,Trigger),"--")</f>
        <v>42306</v>
      </c>
      <c r="V4" s="4" t="str">
        <f t="shared" si="0"/>
        <v>Dp</v>
      </c>
      <c r="W4" s="4" t="str">
        <v>obj_00607</v>
      </c>
      <c r="X4" s="4" t="str">
        <f>IFERROR(_xll.qlRateHelperQuoteName(W4,Trigger),"")</f>
        <v>GBP1WD_LCHQuote</v>
      </c>
      <c r="Y4" s="70">
        <f>IFERROR(_xll.qlRateHelperRate(W4,Trigger),"")</f>
        <v>4.8530999999999999E-3</v>
      </c>
      <c r="Z4" s="104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42304</v>
      </c>
      <c r="AB4" s="5">
        <f>IFERROR(_xll.qlRateHelperPillarDate(W4,Trigger),"")</f>
        <v>42311</v>
      </c>
      <c r="AC4" s="70">
        <v>4.852874167358091E-3</v>
      </c>
      <c r="AD4" s="169">
        <v>42311</v>
      </c>
      <c r="AE4" s="170">
        <v>4.8528741673604103E-3</v>
      </c>
      <c r="AF4" s="172">
        <f>_xll.qlYieldTSZeroRate(yieldcurve1_STD,$AD4,"ACTUAL/365 (FIXED)",,,TRUE,Trigger)-AE4</f>
        <v>0</v>
      </c>
      <c r="AG4" s="161"/>
      <c r="AH4" s="107" t="s">
        <v>86</v>
      </c>
      <c r="AI4" s="108">
        <v>0</v>
      </c>
    </row>
    <row r="5" spans="1:35" ht="11.25" customHeight="1" x14ac:dyDescent="0.2">
      <c r="A5" s="59" t="s">
        <v>26</v>
      </c>
      <c r="B5" s="60" t="s">
        <v>143</v>
      </c>
      <c r="C5" s="60" t="s">
        <v>37</v>
      </c>
      <c r="D5" s="123"/>
      <c r="E5" s="123"/>
      <c r="F5" s="123"/>
      <c r="G5" s="61" t="str">
        <f>PROPER(Currency)&amp;FamilyName&amp;B5</f>
        <v>GbpLiborSW</v>
      </c>
      <c r="H5" s="179" t="str">
        <f>IF(LCHQuoteOverwrite,Currency&amp;C5&amp;"D"&amp;LCHQuoteSuffix,Currency&amp;B5&amp;"D"&amp;QuoteSuffix)</f>
        <v>GBP1WD_LCHQuote</v>
      </c>
      <c r="I5" s="123"/>
      <c r="J5" s="64" t="str">
        <f>_xll.qlDepositRateHelper(,$H5,$G5,Permanent,Trigger,ObjectOverwrite)</f>
        <v>obj_00607#0005</v>
      </c>
      <c r="K5" s="49"/>
      <c r="L5" s="10" t="str">
        <f t="shared" si="1"/>
        <v>Dp</v>
      </c>
      <c r="M5" s="94" t="str">
        <f t="shared" si="2"/>
        <v>obj_00607#0005</v>
      </c>
      <c r="N5" s="146" t="str">
        <f>IFERROR(_xll.qlRateHelperQuoteName(M5,Trigger),"--")</f>
        <v>GBP1WD_LCHQuote</v>
      </c>
      <c r="O5" s="98">
        <f>IFERROR(_xll.qlRateHelperQuoteValue($M5,Trigger),"--")</f>
        <v>4.8530999999999999E-3</v>
      </c>
      <c r="P5" s="97" t="b">
        <v>1</v>
      </c>
      <c r="Q5" s="94">
        <v>30</v>
      </c>
      <c r="R5" s="94">
        <v>1</v>
      </c>
      <c r="S5" s="99">
        <f>IFERROR(_xll.qlRateHelperEarliestDate(M5,Trigger),"--")</f>
        <v>42304</v>
      </c>
      <c r="T5" s="99">
        <f>IFERROR(_xll.qlRateHelperPillarDate(M5,Trigger),"--")</f>
        <v>42311</v>
      </c>
      <c r="V5" s="4" t="str">
        <f t="shared" si="0"/>
        <v>Dp</v>
      </c>
      <c r="W5" s="4" t="str">
        <v>obj_005fa</v>
      </c>
      <c r="X5" s="4" t="str">
        <f>IFERROR(_xll.qlRateHelperQuoteName(W5,Trigger),"")</f>
        <v>GBP1MD_LCHQuote</v>
      </c>
      <c r="Y5" s="70">
        <f>IFERROR(_xll.qlRateHelperRate(W5,Trigger),"")</f>
        <v>5.0631000000000001E-3</v>
      </c>
      <c r="Z5" s="104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42304</v>
      </c>
      <c r="AB5" s="5">
        <f>IFERROR(_xll.qlRateHelperPillarDate(W5,Trigger),"")</f>
        <v>42335</v>
      </c>
      <c r="AC5" s="70">
        <v>5.0620117031697264E-3</v>
      </c>
      <c r="AD5" s="169">
        <v>42334</v>
      </c>
      <c r="AE5" s="170">
        <v>5.0532976391793501E-3</v>
      </c>
      <c r="AF5" s="172">
        <f>_xll.qlYieldTSZeroRate(yieldcurve1_STD,$AD5,"ACTUAL/365 (FIXED)",,,TRUE,Trigger)-AE5</f>
        <v>-1.1223660889569942E-15</v>
      </c>
      <c r="AG5" s="161"/>
      <c r="AH5" s="107" t="s">
        <v>87</v>
      </c>
      <c r="AI5" s="108">
        <f>AI7+AI8</f>
        <v>10</v>
      </c>
    </row>
    <row r="6" spans="1:35" ht="11.25" customHeight="1" x14ac:dyDescent="0.2">
      <c r="A6" s="59" t="s">
        <v>26</v>
      </c>
      <c r="B6" s="60" t="s">
        <v>2</v>
      </c>
      <c r="C6" s="60" t="s">
        <v>2</v>
      </c>
      <c r="D6" s="123"/>
      <c r="E6" s="123"/>
      <c r="F6" s="123"/>
      <c r="G6" s="61" t="str">
        <f>PROPER(Currency)&amp;FamilyName&amp;B6</f>
        <v>GbpLibor1M</v>
      </c>
      <c r="H6" s="179" t="str">
        <f t="shared" ref="H6:H11" si="3">IF(LCHQuoteOverwrite,Currency&amp;B6&amp;"D"&amp;LCHQuoteSuffix,Currency&amp;B6&amp;"D"&amp;QuoteSuffix)</f>
        <v>GBP1MD_LCHQuote</v>
      </c>
      <c r="I6" s="123"/>
      <c r="J6" s="64" t="str">
        <f>_xll.qlDepositRateHelper(,$H6,$G6,Permanent,Trigger,ObjectOverwrite)</f>
        <v>obj_005fa#0005</v>
      </c>
      <c r="K6" s="49"/>
      <c r="L6" s="10" t="str">
        <f t="shared" si="1"/>
        <v>Dp</v>
      </c>
      <c r="M6" s="94" t="str">
        <f t="shared" si="2"/>
        <v>obj_005fa#0005</v>
      </c>
      <c r="N6" s="146" t="str">
        <f>IFERROR(_xll.qlRateHelperQuoteName(M6,Trigger),"--")</f>
        <v>GBP1MD_LCHQuote</v>
      </c>
      <c r="O6" s="98">
        <f>IFERROR(_xll.qlRateHelperQuoteValue($M6,Trigger),"--")</f>
        <v>5.0631000000000001E-3</v>
      </c>
      <c r="P6" s="97" t="b">
        <v>1</v>
      </c>
      <c r="Q6" s="94">
        <v>30</v>
      </c>
      <c r="R6" s="94">
        <v>1</v>
      </c>
      <c r="S6" s="99">
        <f>IFERROR(_xll.qlRateHelperEarliestDate(M6,Trigger),"--")</f>
        <v>42304</v>
      </c>
      <c r="T6" s="99">
        <f>IFERROR(_xll.qlRateHelperPillarDate(M6,Trigger),"--")</f>
        <v>42335</v>
      </c>
      <c r="V6" s="4" t="str">
        <f t="shared" si="0"/>
        <v>FUT</v>
      </c>
      <c r="W6" s="4" t="str">
        <v>obj_0067e</v>
      </c>
      <c r="X6" s="4" t="str">
        <f>IFERROR(_xll.qlRateHelperQuoteName(W6,Trigger),"")</f>
        <v>FSSZ5_LCHQuote</v>
      </c>
      <c r="Y6" s="70">
        <f>IFERROR(_xll.qlRateHelperRate(W6,Trigger),"")</f>
        <v>5.9970000000000301E-3</v>
      </c>
      <c r="Z6" s="104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42354</v>
      </c>
      <c r="AB6" s="5">
        <f>IFERROR(_xll.qlRateHelperPillarDate(W6,Trigger),"")</f>
        <v>42445</v>
      </c>
      <c r="AC6" s="70">
        <v>5.7017370365380002E-3</v>
      </c>
      <c r="AD6" s="169">
        <v>42364</v>
      </c>
      <c r="AE6" s="170">
        <v>5.2306665637862401E-3</v>
      </c>
      <c r="AF6" s="172">
        <f>_xll.qlYieldTSZeroRate(yieldcurve1_STD,$AD6,"ACTUAL/365 (FIXED)",,,TRUE,Trigger)-AE6</f>
        <v>-1.6037518535405582E-15</v>
      </c>
      <c r="AG6" s="161"/>
      <c r="AH6" s="107" t="s">
        <v>88</v>
      </c>
      <c r="AI6" s="109" t="s">
        <v>89</v>
      </c>
    </row>
    <row r="7" spans="1:35" ht="11.25" customHeight="1" x14ac:dyDescent="0.2">
      <c r="A7" s="59" t="s">
        <v>26</v>
      </c>
      <c r="B7" s="60" t="s">
        <v>40</v>
      </c>
      <c r="C7" s="60" t="s">
        <v>40</v>
      </c>
      <c r="D7" s="123"/>
      <c r="E7" s="123"/>
      <c r="F7" s="123"/>
      <c r="G7" s="61" t="str">
        <f>PROPER(Currency)&amp;FamilyName&amp;B7</f>
        <v>GbpLibor2M</v>
      </c>
      <c r="H7" s="179" t="str">
        <f t="shared" si="3"/>
        <v>GBP2MD_LCHQuote</v>
      </c>
      <c r="I7" s="123"/>
      <c r="J7" s="64" t="str">
        <f>_xll.qlDepositRateHelper(,$H7,$G7,Permanent,Trigger,ObjectOverwrite)</f>
        <v>obj_00616#0005</v>
      </c>
      <c r="K7" s="49"/>
      <c r="L7" s="10" t="str">
        <f t="shared" si="1"/>
        <v>Dp</v>
      </c>
      <c r="M7" s="94" t="str">
        <f t="shared" si="2"/>
        <v>obj_00616#0005</v>
      </c>
      <c r="N7" s="146" t="str">
        <f>IFERROR(_xll.qlRateHelperQuoteName(M7,Trigger),"--")</f>
        <v>GBP2MD_LCHQuote</v>
      </c>
      <c r="O7" s="98" t="str">
        <f>IFERROR(_xll.qlRateHelperQuoteValue($M7,Trigger),"--")</f>
        <v>--</v>
      </c>
      <c r="P7" s="97" t="b">
        <v>0</v>
      </c>
      <c r="Q7" s="94">
        <v>30</v>
      </c>
      <c r="R7" s="94">
        <v>1</v>
      </c>
      <c r="S7" s="99">
        <f>IFERROR(_xll.qlRateHelperEarliestDate(M7,Trigger),"--")</f>
        <v>42304</v>
      </c>
      <c r="T7" s="99">
        <f>IFERROR(_xll.qlRateHelperPillarDate(M7,Trigger),"--")</f>
        <v>42367</v>
      </c>
      <c r="V7" s="4" t="str">
        <f t="shared" si="0"/>
        <v>FUT</v>
      </c>
      <c r="W7" s="4" t="str">
        <v>obj_0067b</v>
      </c>
      <c r="X7" s="4" t="str">
        <f>IFERROR(_xll.qlRateHelperQuoteName(W7,Trigger),"")</f>
        <v>FSSH6_LCHQuote</v>
      </c>
      <c r="Y7" s="70">
        <f>IFERROR(_xll.qlRateHelperRate(W7,Trigger),"")</f>
        <v>6.2879985559999296E-3</v>
      </c>
      <c r="Z7" s="104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42445</v>
      </c>
      <c r="AB7" s="5">
        <f>IFERROR(_xll.qlRateHelperPillarDate(W7,Trigger),"")</f>
        <v>42536</v>
      </c>
      <c r="AC7" s="70">
        <v>5.9297405922512543E-3</v>
      </c>
      <c r="AD7" s="169">
        <v>42395</v>
      </c>
      <c r="AE7" s="170">
        <v>5.4109527940985804E-3</v>
      </c>
      <c r="AF7" s="172">
        <f>_xll.qlYieldTSZeroRate(yieldcurve1_STD,$AD7,"ACTUAL/365 (FIXED)",,,TRUE,Trigger)-AE7</f>
        <v>-4.4408920985006262E-16</v>
      </c>
      <c r="AG7" s="161"/>
      <c r="AH7" s="107" t="s">
        <v>148</v>
      </c>
      <c r="AI7" s="109">
        <v>2</v>
      </c>
    </row>
    <row r="8" spans="1:35" ht="11.25" customHeight="1" x14ac:dyDescent="0.2">
      <c r="A8" s="59" t="s">
        <v>26</v>
      </c>
      <c r="B8" s="60" t="s">
        <v>0</v>
      </c>
      <c r="C8" s="60" t="s">
        <v>0</v>
      </c>
      <c r="D8" s="123"/>
      <c r="E8" s="123"/>
      <c r="F8" s="123"/>
      <c r="G8" s="61" t="str">
        <f>PROPER(Currency)&amp;FamilyName&amp;B8</f>
        <v>GbpLibor3M</v>
      </c>
      <c r="H8" s="179" t="str">
        <f t="shared" si="3"/>
        <v>GBP3MD_LCHQuote</v>
      </c>
      <c r="I8" s="123"/>
      <c r="J8" s="64" t="str">
        <f>_xll.qlDepositRateHelper(,$H8,$G8,Permanent,Trigger,ObjectOverwrite)</f>
        <v>obj_0060c#0005</v>
      </c>
      <c r="K8" s="49"/>
      <c r="L8" s="10" t="str">
        <f t="shared" si="1"/>
        <v>Dp</v>
      </c>
      <c r="M8" s="94" t="str">
        <f t="shared" si="2"/>
        <v>obj_0060c#0005</v>
      </c>
      <c r="N8" s="146" t="str">
        <f>IFERROR(_xll.qlRateHelperQuoteName(M8,Trigger),"--")</f>
        <v>GBP3MD_LCHQuote</v>
      </c>
      <c r="O8" s="98">
        <f>IFERROR(_xll.qlRateHelperQuoteValue($M8,Trigger),"--")</f>
        <v>5.7938E-3</v>
      </c>
      <c r="P8" s="97" t="b">
        <v>0</v>
      </c>
      <c r="Q8" s="94">
        <v>30</v>
      </c>
      <c r="R8" s="94">
        <v>1</v>
      </c>
      <c r="S8" s="99">
        <f>IFERROR(_xll.qlRateHelperEarliestDate(M8,Trigger),"--")</f>
        <v>42304</v>
      </c>
      <c r="T8" s="99">
        <f>IFERROR(_xll.qlRateHelperPillarDate(M8,Trigger),"--")</f>
        <v>42396</v>
      </c>
      <c r="V8" s="4" t="str">
        <f t="shared" si="0"/>
        <v>FUT</v>
      </c>
      <c r="W8" s="4" t="str">
        <v>obj_00680</v>
      </c>
      <c r="X8" s="4" t="str">
        <f>IFERROR(_xll.qlRateHelperQuoteName(W8,Trigger),"")</f>
        <v>FSSM6_LCHQuote</v>
      </c>
      <c r="Y8" s="70">
        <f>IFERROR(_xll.qlRateHelperRate(W8,Trigger),"")</f>
        <v>6.7739940649998998E-3</v>
      </c>
      <c r="Z8" s="104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42536</v>
      </c>
      <c r="AB8" s="5">
        <f>IFERROR(_xll.qlRateHelperPillarDate(W8,Trigger),"")</f>
        <v>42634</v>
      </c>
      <c r="AC8" s="70">
        <v>6.1787428612891833E-3</v>
      </c>
      <c r="AD8" s="169">
        <v>42486</v>
      </c>
      <c r="AE8" s="170">
        <v>5.8044639132879099E-3</v>
      </c>
      <c r="AF8" s="172">
        <f>_xll.qlYieldTSZeroRate(yieldcurve1_STD,$AD8,"ACTUAL/365 (FIXED)",,,TRUE,Trigger)-AE8</f>
        <v>1.3791051634015616E-16</v>
      </c>
      <c r="AG8" s="161"/>
      <c r="AH8" s="107" t="s">
        <v>149</v>
      </c>
      <c r="AI8" s="109">
        <v>8</v>
      </c>
    </row>
    <row r="9" spans="1:35" ht="11.25" customHeight="1" x14ac:dyDescent="0.2">
      <c r="A9" s="192" t="s">
        <v>26</v>
      </c>
      <c r="B9" s="193" t="s">
        <v>41</v>
      </c>
      <c r="C9" s="193" t="s">
        <v>41</v>
      </c>
      <c r="D9" s="194"/>
      <c r="E9" s="194"/>
      <c r="F9" s="194"/>
      <c r="G9" s="195" t="str">
        <f>_xll.qlEuribor(,$C9,,Permanent,Trigger,ObjectOverwrite)</f>
        <v>obj_00612#0005</v>
      </c>
      <c r="H9" s="196" t="str">
        <f t="shared" si="3"/>
        <v>GBP4MD_LCHQuote</v>
      </c>
      <c r="I9" s="194"/>
      <c r="J9" s="197" t="str">
        <f>_xll.qlDepositRateHelper(,$H9,$G9,Permanent,Trigger,ObjectOverwrite)</f>
        <v>obj_0061d#0005</v>
      </c>
      <c r="K9" s="48"/>
      <c r="L9" s="10" t="str">
        <f t="shared" si="1"/>
        <v>Dp</v>
      </c>
      <c r="M9" s="94" t="str">
        <f t="shared" si="2"/>
        <v>obj_0061d#0005</v>
      </c>
      <c r="N9" s="146" t="str">
        <f>IFERROR(_xll.qlRateHelperQuoteName(M9,Trigger),"--")</f>
        <v>GBP4MD_LCHQuote</v>
      </c>
      <c r="O9" s="98" t="str">
        <f>IFERROR(_xll.qlRateHelperQuoteValue($M9,Trigger),"--")</f>
        <v>--</v>
      </c>
      <c r="P9" s="97" t="b">
        <v>0</v>
      </c>
      <c r="Q9" s="94">
        <v>30</v>
      </c>
      <c r="R9" s="94">
        <v>1</v>
      </c>
      <c r="S9" s="99">
        <f>IFERROR(_xll.qlRateHelperEarliestDate(M9,Trigger),"--")</f>
        <v>42306</v>
      </c>
      <c r="T9" s="99">
        <f>IFERROR(_xll.qlRateHelperPillarDate(M9,Trigger),"--")</f>
        <v>42429</v>
      </c>
      <c r="V9" s="4" t="str">
        <f t="shared" si="0"/>
        <v>FUT</v>
      </c>
      <c r="W9" s="4" t="str">
        <v>obj_0067f</v>
      </c>
      <c r="X9" s="4" t="str">
        <f>IFERROR(_xll.qlRateHelperQuoteName(W9,Trigger),"")</f>
        <v>FSSU6_LCHQuote</v>
      </c>
      <c r="Y9" s="70">
        <f>IFERROR(_xll.qlRateHelperRate(W9,Trigger),"")</f>
        <v>7.5569999999999249E-3</v>
      </c>
      <c r="Z9" s="104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70">
        <v>6.4751190740754373E-3</v>
      </c>
      <c r="AD9" s="169">
        <v>42577</v>
      </c>
      <c r="AE9" s="170">
        <v>6.0339150109306799E-3</v>
      </c>
      <c r="AF9" s="172">
        <f>_xll.qlYieldTSZeroRate(yieldcurve1_STD,$AD9,"ACTUAL/365 (FIXED)",,,TRUE,Trigger)-AE9</f>
        <v>-2.0816681711721685E-16</v>
      </c>
      <c r="AG9" s="161"/>
    </row>
    <row r="10" spans="1:35" ht="11.25" customHeight="1" x14ac:dyDescent="0.2">
      <c r="A10" s="198" t="s">
        <v>26</v>
      </c>
      <c r="B10" s="199" t="s">
        <v>42</v>
      </c>
      <c r="C10" s="199" t="s">
        <v>42</v>
      </c>
      <c r="D10" s="200"/>
      <c r="E10" s="200"/>
      <c r="F10" s="200"/>
      <c r="G10" s="201" t="str">
        <f>_xll.qlEuribor(,$C10,,Permanent,Trigger,ObjectOverwrite)</f>
        <v>obj_005f3#0005</v>
      </c>
      <c r="H10" s="202" t="str">
        <f t="shared" si="3"/>
        <v>GBP5MD_LCHQuote</v>
      </c>
      <c r="I10" s="200"/>
      <c r="J10" s="203" t="str">
        <f>_xll.qlDepositRateHelper(,$H10,$G10,Permanent,Trigger,ObjectOverwrite)</f>
        <v>obj_0061c#0005</v>
      </c>
      <c r="K10" s="48"/>
      <c r="L10" s="10" t="str">
        <f t="shared" si="1"/>
        <v>Dp</v>
      </c>
      <c r="M10" s="94" t="str">
        <f t="shared" si="2"/>
        <v>obj_0061c#0005</v>
      </c>
      <c r="N10" s="146" t="str">
        <f>IFERROR(_xll.qlRateHelperQuoteName(M10,Trigger),"--")</f>
        <v>GBP5MD_LCHQuote</v>
      </c>
      <c r="O10" s="98" t="str">
        <f>IFERROR(_xll.qlRateHelperQuoteValue($M10,Trigger),"--")</f>
        <v>--</v>
      </c>
      <c r="P10" s="97" t="b">
        <v>0</v>
      </c>
      <c r="Q10" s="94">
        <v>30</v>
      </c>
      <c r="R10" s="94">
        <v>1</v>
      </c>
      <c r="S10" s="99">
        <f>IFERROR(_xll.qlRateHelperEarliestDate(M10,Trigger),"--")</f>
        <v>42306</v>
      </c>
      <c r="T10" s="99">
        <f>IFERROR(_xll.qlRateHelperPillarDate(M10,Trigger),"--")</f>
        <v>42458</v>
      </c>
      <c r="V10" s="4" t="str">
        <f t="shared" si="0"/>
        <v>FUT</v>
      </c>
      <c r="W10" s="4" t="str">
        <v>obj_00682</v>
      </c>
      <c r="X10" s="4" t="str">
        <f>IFERROR(_xll.qlRateHelperQuoteName(W10,Trigger),"")</f>
        <v>FSSZ6_LCHQuote</v>
      </c>
      <c r="Y10" s="70">
        <f>IFERROR(_xll.qlRateHelperRate(W10,Trigger),"")</f>
        <v>8.5380224590001497E-3</v>
      </c>
      <c r="Z10" s="104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42725</v>
      </c>
      <c r="AB10" s="5">
        <f>IFERROR(_xll.qlRateHelperPillarDate(W10,Trigger),"")</f>
        <v>42809</v>
      </c>
      <c r="AC10" s="70">
        <v>6.8167626390834325E-3</v>
      </c>
      <c r="AD10" s="169">
        <v>42669</v>
      </c>
      <c r="AE10" s="170">
        <v>6.2927337123655199E-3</v>
      </c>
      <c r="AF10" s="172">
        <f>_xll.qlYieldTSZeroRate(yieldcurve1_STD,$AD10,"ACTUAL/365 (FIXED)",,,TRUE,Trigger)-AE10</f>
        <v>-4.7219173016088689E-15</v>
      </c>
      <c r="AG10" s="161"/>
    </row>
    <row r="11" spans="1:35" ht="11.25" customHeight="1" x14ac:dyDescent="0.2">
      <c r="A11" s="1" t="s">
        <v>26</v>
      </c>
      <c r="B11" s="8" t="s">
        <v>3</v>
      </c>
      <c r="C11" s="8" t="s">
        <v>3</v>
      </c>
      <c r="D11" s="124"/>
      <c r="E11" s="124"/>
      <c r="F11" s="124"/>
      <c r="G11" s="7" t="str">
        <f>PROPER(Currency)&amp;FamilyName&amp;B11</f>
        <v>GbpLibor6M</v>
      </c>
      <c r="H11" s="121" t="str">
        <f t="shared" si="3"/>
        <v>GBP6MD_LCHQuote</v>
      </c>
      <c r="I11" s="124"/>
      <c r="J11" s="3" t="str">
        <f>_xll.qlDepositRateHelper(,$H11,$G11,Permanent,Trigger,ObjectOverwrite)</f>
        <v>obj_00603#0005</v>
      </c>
      <c r="K11" s="48"/>
      <c r="L11" s="11" t="str">
        <f t="shared" si="1"/>
        <v>Dp</v>
      </c>
      <c r="M11" s="95" t="str">
        <f t="shared" si="2"/>
        <v>obj_00603#0005</v>
      </c>
      <c r="N11" s="147" t="str">
        <f>IFERROR(_xll.qlRateHelperQuoteName(M11,Trigger),"--")</f>
        <v>GBP6MD_LCHQuote</v>
      </c>
      <c r="O11" s="101">
        <f>IFERROR(_xll.qlRateHelperQuoteValue($M11,Trigger),"--")</f>
        <v>7.4000000000000003E-3</v>
      </c>
      <c r="P11" s="100" t="b">
        <v>0</v>
      </c>
      <c r="Q11" s="95">
        <v>30</v>
      </c>
      <c r="R11" s="95">
        <v>1</v>
      </c>
      <c r="S11" s="102">
        <f>IFERROR(_xll.qlRateHelperEarliestDate(M11,Trigger),"--")</f>
        <v>42304</v>
      </c>
      <c r="T11" s="102">
        <f>IFERROR(_xll.qlRateHelperPillarDate(M11,Trigger),"--")</f>
        <v>42487</v>
      </c>
      <c r="V11" s="4" t="str">
        <f t="shared" si="0"/>
        <v>FUT</v>
      </c>
      <c r="W11" s="4" t="str">
        <v>obj_00681</v>
      </c>
      <c r="X11" s="4" t="str">
        <f>IFERROR(_xll.qlRateHelperQuoteName(W11,Trigger),"")</f>
        <v>FSSH7_LCHQuote</v>
      </c>
      <c r="Y11" s="70">
        <f>IFERROR(_xll.qlRateHelperRate(W11,Trigger),"")</f>
        <v>9.3619799530002545E-3</v>
      </c>
      <c r="Z11" s="104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42809</v>
      </c>
      <c r="AB11" s="5">
        <f>IFERROR(_xll.qlRateHelperPillarDate(W11,Trigger),"")</f>
        <v>42907</v>
      </c>
      <c r="AC11" s="70">
        <v>7.2286208485361691E-3</v>
      </c>
      <c r="AD11" s="169">
        <v>42851</v>
      </c>
      <c r="AE11" s="170">
        <v>6.9932733003204104E-3</v>
      </c>
      <c r="AF11" s="172">
        <f>_xll.qlYieldTSZeroRate(yieldcurve1_STD,$AD11,"ACTUAL/365 (FIXED)",,,TRUE,Trigger)-AE11</f>
        <v>-4.3003794969465048E-14</v>
      </c>
      <c r="AG11" s="161"/>
    </row>
    <row r="12" spans="1:35" ht="11.25" customHeight="1" x14ac:dyDescent="0.2">
      <c r="B12" s="46"/>
      <c r="C12" s="46"/>
      <c r="D12" s="46"/>
      <c r="E12" s="46"/>
      <c r="F12" s="46"/>
      <c r="G12" s="46"/>
      <c r="H12" s="46"/>
      <c r="K12" s="48"/>
      <c r="L12" s="68" t="str">
        <f>A14</f>
        <v>FUT</v>
      </c>
      <c r="M12" s="131" t="str">
        <f t="shared" ref="M12" si="4">IF(ISBLANK(J14),"--",J14)</f>
        <v>obj_0067e#0005</v>
      </c>
      <c r="N12" s="145" t="str">
        <f>IFERROR(_xll.qlRateHelperQuoteName(M12,Trigger),"--")</f>
        <v>FSSZ5_LCHQuote</v>
      </c>
      <c r="O12" s="209">
        <f>IFERROR(_xll.qlRateHelperQuoteValue($M12,Trigger),"--")</f>
        <v>99.400300000000001</v>
      </c>
      <c r="P12" s="132" t="b">
        <v>1</v>
      </c>
      <c r="Q12" s="131">
        <v>20</v>
      </c>
      <c r="R12" s="131">
        <v>1</v>
      </c>
      <c r="S12" s="134">
        <f>IFERROR(_xll.qlRateHelperEarliestDate(M12,Trigger),"--")</f>
        <v>42354</v>
      </c>
      <c r="T12" s="134">
        <f>IFERROR(_xll.qlRateHelperPillarDate(M12,Trigger),"--")</f>
        <v>42445</v>
      </c>
      <c r="V12" s="4" t="str">
        <f t="shared" si="0"/>
        <v>FUT</v>
      </c>
      <c r="W12" s="4" t="str">
        <v>obj_00683</v>
      </c>
      <c r="X12" s="4" t="str">
        <f>IFERROR(_xll.qlRateHelperQuoteName(W12,Trigger),"")</f>
        <v>FSSM7_LCHQuote</v>
      </c>
      <c r="Y12" s="70">
        <f>IFERROR(_xll.qlRateHelperRate(W12,Trigger),"")</f>
        <v>1.0333000154000072E-2</v>
      </c>
      <c r="Z12" s="104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42907</v>
      </c>
      <c r="AB12" s="5">
        <f>IFERROR(_xll.qlRateHelperPillarDate(W12,Trigger),"")</f>
        <v>42998</v>
      </c>
      <c r="AC12" s="70">
        <v>7.6339178766807745E-3</v>
      </c>
      <c r="AD12" s="169">
        <v>43034</v>
      </c>
      <c r="AE12" s="170">
        <v>7.7968336323787097E-3</v>
      </c>
      <c r="AF12" s="172">
        <f>_xll.qlYieldTSZeroRate(yieldcurve1_STD,$AD12,"ACTUAL/365 (FIXED)",,,TRUE,Trigger)-AE12</f>
        <v>-3.5796886288519403E-14</v>
      </c>
      <c r="AG12" s="161"/>
    </row>
    <row r="13" spans="1:35" ht="11.25" customHeight="1" x14ac:dyDescent="0.2">
      <c r="A13" s="65" t="s">
        <v>9</v>
      </c>
      <c r="B13" s="65" t="s">
        <v>146</v>
      </c>
      <c r="C13" s="65" t="s">
        <v>32</v>
      </c>
      <c r="D13" s="65"/>
      <c r="E13" s="65" t="s">
        <v>134</v>
      </c>
      <c r="F13" s="65" t="s">
        <v>135</v>
      </c>
      <c r="G13" s="65" t="s">
        <v>4</v>
      </c>
      <c r="H13" s="65" t="s">
        <v>1</v>
      </c>
      <c r="I13" s="65" t="s">
        <v>147</v>
      </c>
      <c r="J13" s="65" t="s">
        <v>24</v>
      </c>
      <c r="K13" s="48"/>
      <c r="L13" s="10" t="str">
        <f t="shared" ref="L13:L35" si="5">A15</f>
        <v>FUT</v>
      </c>
      <c r="M13" s="94" t="str">
        <f t="shared" ref="M13:M35" si="6">IF(ISBLANK(J15),"--",J15)</f>
        <v>obj_0067b#0005</v>
      </c>
      <c r="N13" s="146" t="str">
        <f>IFERROR(_xll.qlRateHelperQuoteName(M13,Trigger),"--")</f>
        <v>FSSH6_LCHQuote</v>
      </c>
      <c r="O13" s="210">
        <f>IFERROR(_xll.qlRateHelperQuoteValue($M13,Trigger),"--")</f>
        <v>99.371200144400007</v>
      </c>
      <c r="P13" s="97" t="b">
        <v>1</v>
      </c>
      <c r="Q13" s="94">
        <v>20</v>
      </c>
      <c r="R13" s="94">
        <v>1</v>
      </c>
      <c r="S13" s="99">
        <f>IFERROR(_xll.qlRateHelperEarliestDate(M13,Trigger),"--")</f>
        <v>42445</v>
      </c>
      <c r="T13" s="99">
        <f>IFERROR(_xll.qlRateHelperPillarDate(M13,Trigger),"--")</f>
        <v>42536</v>
      </c>
      <c r="V13" s="4" t="str">
        <f t="shared" si="0"/>
        <v>FUT</v>
      </c>
      <c r="W13" s="4" t="str">
        <v>obj_00684</v>
      </c>
      <c r="X13" s="4" t="str">
        <f>IFERROR(_xll.qlRateHelperQuoteName(W13,Trigger),"")</f>
        <v>FSSU7_LCHQuote</v>
      </c>
      <c r="Y13" s="70">
        <f>IFERROR(_xll.qlRateHelperRate(W13,Trigger),"")</f>
        <v>1.1202000000000156E-2</v>
      </c>
      <c r="Z13" s="104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42998</v>
      </c>
      <c r="AB13" s="5">
        <f>IFERROR(_xll.qlRateHelperPillarDate(W13,Trigger),"")</f>
        <v>43089</v>
      </c>
      <c r="AC13" s="70">
        <v>8.0457327034935272E-3</v>
      </c>
      <c r="AD13" s="169">
        <v>43399</v>
      </c>
      <c r="AE13" s="170">
        <v>1.0768633372153899E-2</v>
      </c>
      <c r="AF13" s="172">
        <f>_xll.qlYieldTSZeroRate(yieldcurve1_STD,$AD13,"ACTUAL/365 (FIXED)",,,TRUE,Trigger)-AE13</f>
        <v>-2.1915446655699361E-6</v>
      </c>
      <c r="AG13" s="161"/>
    </row>
    <row r="14" spans="1:35" ht="11.25" customHeight="1" x14ac:dyDescent="0.2">
      <c r="A14" s="53" t="s">
        <v>93</v>
      </c>
      <c r="B14" s="115" t="b">
        <v>1</v>
      </c>
      <c r="C14" s="56" t="str">
        <f>_xll.qlIMMNextCode(EvaluationDate-1,$B14,Trigger)</f>
        <v>Z5</v>
      </c>
      <c r="D14" s="129"/>
      <c r="E14" s="206">
        <f>_xll.qlIMMdate($C14,,Trigger)</f>
        <v>42354</v>
      </c>
      <c r="F14" s="206">
        <f>_xll.qlIMMNextDate($E14,,Trigger)</f>
        <v>42445</v>
      </c>
      <c r="G14" s="55" t="str">
        <f t="shared" ref="G14:G37" si="7">PROPER(Currency)&amp;FamilyName&amp;"3M"</f>
        <v>GbpLibor3M</v>
      </c>
      <c r="H14" s="118" t="str">
        <f t="shared" ref="H14:H37" si="8">IF(LCHQuoteOverwrite,"FSS"&amp;$C14&amp;LCHQuoteSuffix,Currency&amp;"FUT"&amp;"3M"&amp;$C14&amp;QuoteSuffix)</f>
        <v>FSSZ5_LCHQuote</v>
      </c>
      <c r="I14" s="118">
        <v>0</v>
      </c>
      <c r="J14" s="58" t="str">
        <f>_xll.qlFuturesRateHelper(,$H14,,$E14,$G14,$I14,FALSE,"customdate",$F14,Permanent,Trigger,ObjectOverwrite)</f>
        <v>obj_0067e#0005</v>
      </c>
      <c r="K14" s="48"/>
      <c r="L14" s="10" t="str">
        <f t="shared" si="5"/>
        <v>FUT</v>
      </c>
      <c r="M14" s="94" t="str">
        <f t="shared" si="6"/>
        <v>obj_00680#0005</v>
      </c>
      <c r="N14" s="146" t="str">
        <f>IFERROR(_xll.qlRateHelperQuoteName(M14,Trigger),"--")</f>
        <v>FSSM6_LCHQuote</v>
      </c>
      <c r="O14" s="210">
        <f>IFERROR(_xll.qlRateHelperQuoteValue($M14,Trigger),"--")</f>
        <v>99.322600593500013</v>
      </c>
      <c r="P14" s="97" t="b">
        <v>1</v>
      </c>
      <c r="Q14" s="94">
        <v>20</v>
      </c>
      <c r="R14" s="94">
        <v>1</v>
      </c>
      <c r="S14" s="99">
        <f>IFERROR(_xll.qlRateHelperEarliestDate(M14,Trigger),"--")</f>
        <v>42536</v>
      </c>
      <c r="T14" s="99">
        <f>IFERROR(_xll.qlRateHelperPillarDate(M14,Trigger),"--")</f>
        <v>42634</v>
      </c>
      <c r="V14" s="4" t="str">
        <f t="shared" si="0"/>
        <v>Sw</v>
      </c>
      <c r="W14" s="4" t="str">
        <v>obj_005fd</v>
      </c>
      <c r="X14" s="4" t="str">
        <f>IFERROR(_xll.qlRateHelperQuoteName(W14,Trigger),"")</f>
        <v>GBPSB6L3Y_LCHQuote</v>
      </c>
      <c r="Y14" s="70">
        <f>IFERROR(_xll.qlRateHelperRate(W14,Trigger),"")</f>
        <v>1.0783249999999999E-2</v>
      </c>
      <c r="Z14" s="104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42304</v>
      </c>
      <c r="AB14" s="5">
        <f>IFERROR(_xll.qlRateHelperPillarDate(W14,Trigger),"")</f>
        <v>43402</v>
      </c>
      <c r="AC14" s="70">
        <v>1.0792771270623776E-2</v>
      </c>
      <c r="AD14" s="169">
        <v>43764</v>
      </c>
      <c r="AE14" s="170">
        <v>1.2332020604300701E-2</v>
      </c>
      <c r="AF14" s="172">
        <f>_xll.qlYieldTSZeroRate(yieldcurve1_STD,$AD14,"ACTUAL/365 (FIXED)",,,TRUE,Trigger)-AE14</f>
        <v>-1.8393444144639698E-6</v>
      </c>
      <c r="AG14" s="161"/>
    </row>
    <row r="15" spans="1:35" ht="11.25" customHeight="1" x14ac:dyDescent="0.2">
      <c r="A15" s="59" t="s">
        <v>93</v>
      </c>
      <c r="B15" s="116" t="b">
        <v>1</v>
      </c>
      <c r="C15" s="62" t="str">
        <f>_xll.qlIMMNextCode($C14,$B15,Trigger)</f>
        <v>H6</v>
      </c>
      <c r="D15" s="123"/>
      <c r="E15" s="207">
        <f>_xll.qlIMMdate($C15,,Trigger)</f>
        <v>42445</v>
      </c>
      <c r="F15" s="207">
        <f>_xll.qlIMMNextDate($E15,,Trigger)</f>
        <v>42536</v>
      </c>
      <c r="G15" s="61" t="str">
        <f t="shared" si="7"/>
        <v>GbpLibor3M</v>
      </c>
      <c r="H15" s="119" t="str">
        <f t="shared" si="8"/>
        <v>FSSH6_LCHQuote</v>
      </c>
      <c r="I15" s="119">
        <v>0</v>
      </c>
      <c r="J15" s="64" t="str">
        <f>_xll.qlFuturesRateHelper(,$H15,,$E15,$G15,$I15,FALSE,"customdate",$F15,Permanent,Trigger,ObjectOverwrite)</f>
        <v>obj_0067b#0005</v>
      </c>
      <c r="K15" s="48"/>
      <c r="L15" s="10" t="str">
        <f t="shared" si="5"/>
        <v>FUT</v>
      </c>
      <c r="M15" s="94" t="str">
        <f t="shared" si="6"/>
        <v>obj_0067f#0005</v>
      </c>
      <c r="N15" s="146" t="str">
        <f>IFERROR(_xll.qlRateHelperQuoteName(M15,Trigger),"--")</f>
        <v>FSSU6_LCHQuote</v>
      </c>
      <c r="O15" s="210">
        <f>IFERROR(_xll.qlRateHelperQuoteValue($M15,Trigger),"--")</f>
        <v>99.24430000000001</v>
      </c>
      <c r="P15" s="97" t="b">
        <v>1</v>
      </c>
      <c r="Q15" s="94">
        <v>20</v>
      </c>
      <c r="R15" s="94">
        <v>1</v>
      </c>
      <c r="S15" s="99">
        <f>IFERROR(_xll.qlRateHelperEarliestDate(M15,Trigger),"--")</f>
        <v>42634</v>
      </c>
      <c r="T15" s="99">
        <f>IFERROR(_xll.qlRateHelperPillarDate(M15,Trigger),"--")</f>
        <v>42725</v>
      </c>
      <c r="V15" s="4" t="str">
        <f t="shared" si="0"/>
        <v>Sw</v>
      </c>
      <c r="W15" s="4" t="str">
        <v>obj_00617</v>
      </c>
      <c r="X15" s="4" t="str">
        <f>IFERROR(_xll.qlRateHelperQuoteName(W15,Trigger),"")</f>
        <v>GBPSB6L4Y_LCHQuote</v>
      </c>
      <c r="Y15" s="70">
        <f>IFERROR(_xll.qlRateHelperRate(W15,Trigger),"")</f>
        <v>1.2314E-2</v>
      </c>
      <c r="Z15" s="104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42304</v>
      </c>
      <c r="AB15" s="5">
        <f>IFERROR(_xll.qlRateHelperPillarDate(W15,Trigger),"")</f>
        <v>43766</v>
      </c>
      <c r="AC15" s="70">
        <v>1.2338675237727441E-2</v>
      </c>
      <c r="AD15" s="169">
        <v>44129</v>
      </c>
      <c r="AE15" s="170">
        <v>1.37311285985777E-2</v>
      </c>
      <c r="AF15" s="172">
        <f>_xll.qlYieldTSZeroRate(yieldcurve1_STD,$AD15,"ACTUAL/365 (FIXED)",,,TRUE,Trigger)-AE15</f>
        <v>-1.6916738019550487E-6</v>
      </c>
      <c r="AG15" s="161"/>
    </row>
    <row r="16" spans="1:35" ht="11.25" customHeight="1" x14ac:dyDescent="0.2">
      <c r="A16" s="59" t="s">
        <v>93</v>
      </c>
      <c r="B16" s="116" t="b">
        <v>1</v>
      </c>
      <c r="C16" s="62" t="str">
        <f>_xll.qlIMMNextCode($C15,$B16,Trigger)</f>
        <v>M6</v>
      </c>
      <c r="D16" s="123"/>
      <c r="E16" s="207">
        <f>_xll.qlIMMdate($C16,,Trigger)</f>
        <v>42536</v>
      </c>
      <c r="F16" s="207">
        <f>_xll.qlIMMNextDate($E16,,Trigger)</f>
        <v>42634</v>
      </c>
      <c r="G16" s="61" t="str">
        <f t="shared" si="7"/>
        <v>GbpLibor3M</v>
      </c>
      <c r="H16" s="119" t="str">
        <f t="shared" si="8"/>
        <v>FSSM6_LCHQuote</v>
      </c>
      <c r="I16" s="119">
        <v>0</v>
      </c>
      <c r="J16" s="64" t="str">
        <f>_xll.qlFuturesRateHelper(,$H16,,$E16,$G16,$I16,FALSE,"customdate",$F16,Permanent,Trigger,ObjectOverwrite)</f>
        <v>obj_00680#0005</v>
      </c>
      <c r="K16" s="48"/>
      <c r="L16" s="10" t="str">
        <f t="shared" si="5"/>
        <v>FUT</v>
      </c>
      <c r="M16" s="94" t="str">
        <f t="shared" si="6"/>
        <v>obj_00682#0005</v>
      </c>
      <c r="N16" s="146" t="str">
        <f>IFERROR(_xll.qlRateHelperQuoteName(M16,Trigger),"--")</f>
        <v>FSSZ6_LCHQuote</v>
      </c>
      <c r="O16" s="210">
        <f>IFERROR(_xll.qlRateHelperQuoteValue($M16,Trigger),"--")</f>
        <v>99.146197754099987</v>
      </c>
      <c r="P16" s="97" t="b">
        <v>1</v>
      </c>
      <c r="Q16" s="94">
        <v>20</v>
      </c>
      <c r="R16" s="94">
        <v>1</v>
      </c>
      <c r="S16" s="99">
        <f>IFERROR(_xll.qlRateHelperEarliestDate(M16,Trigger),"--")</f>
        <v>42725</v>
      </c>
      <c r="T16" s="99">
        <f>IFERROR(_xll.qlRateHelperPillarDate(M16,Trigger),"--")</f>
        <v>42809</v>
      </c>
      <c r="V16" s="4" t="str">
        <f t="shared" si="0"/>
        <v>Sw</v>
      </c>
      <c r="W16" s="4" t="str">
        <v>obj_00600</v>
      </c>
      <c r="X16" s="4" t="str">
        <f>IFERROR(_xll.qlRateHelperQuoteName(W16,Trigger),"")</f>
        <v>GBPSB6L5Y_LCHQuote</v>
      </c>
      <c r="Y16" s="70">
        <f>IFERROR(_xll.qlRateHelperRate(W16,Trigger),"")</f>
        <v>1.368925E-2</v>
      </c>
      <c r="Z16" s="104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42304</v>
      </c>
      <c r="AB16" s="5">
        <f>IFERROR(_xll.qlRateHelperPillarDate(W16,Trigger),"")</f>
        <v>44131</v>
      </c>
      <c r="AC16" s="70">
        <v>1.3737099523602464E-2</v>
      </c>
      <c r="AD16" s="169">
        <v>44494</v>
      </c>
      <c r="AE16" s="170">
        <v>1.49432213928143E-2</v>
      </c>
      <c r="AF16" s="172">
        <f>_xll.qlYieldTSZeroRate(yieldcurve1_STD,$AD16,"ACTUAL/365 (FIXED)",,,TRUE,Trigger)-AE16</f>
        <v>-1.4154635199145615E-6</v>
      </c>
      <c r="AG16" s="161"/>
    </row>
    <row r="17" spans="1:33" ht="11.25" customHeight="1" x14ac:dyDescent="0.2">
      <c r="A17" s="59" t="s">
        <v>93</v>
      </c>
      <c r="B17" s="116" t="b">
        <v>1</v>
      </c>
      <c r="C17" s="62" t="str">
        <f>_xll.qlIMMNextCode($C16,$B17,Trigger)</f>
        <v>U6</v>
      </c>
      <c r="D17" s="123"/>
      <c r="E17" s="207">
        <f>_xll.qlIMMdate($C17,,Trigger)</f>
        <v>42634</v>
      </c>
      <c r="F17" s="207">
        <f>_xll.qlIMMNextDate($E17,,Trigger)</f>
        <v>42725</v>
      </c>
      <c r="G17" s="61" t="str">
        <f t="shared" si="7"/>
        <v>GbpLibor3M</v>
      </c>
      <c r="H17" s="119" t="str">
        <f t="shared" si="8"/>
        <v>FSSU6_LCHQuote</v>
      </c>
      <c r="I17" s="119">
        <v>0</v>
      </c>
      <c r="J17" s="64" t="str">
        <f>_xll.qlFuturesRateHelper(,$H17,,$E17,$G17,$I17,FALSE,"customdate",$F17,Permanent,Trigger,ObjectOverwrite)</f>
        <v>obj_0067f#0005</v>
      </c>
      <c r="K17" s="48"/>
      <c r="L17" s="10" t="str">
        <f t="shared" si="5"/>
        <v>FUT</v>
      </c>
      <c r="M17" s="94" t="str">
        <f t="shared" si="6"/>
        <v>obj_00681#0005</v>
      </c>
      <c r="N17" s="146" t="str">
        <f>IFERROR(_xll.qlRateHelperQuoteName(M17,Trigger),"--")</f>
        <v>FSSH7_LCHQuote</v>
      </c>
      <c r="O17" s="210">
        <f>IFERROR(_xll.qlRateHelperQuoteValue($M17,Trigger),"--")</f>
        <v>99.06380200469998</v>
      </c>
      <c r="P17" s="97" t="b">
        <v>1</v>
      </c>
      <c r="Q17" s="94">
        <v>20</v>
      </c>
      <c r="R17" s="94">
        <v>1</v>
      </c>
      <c r="S17" s="99">
        <f>IFERROR(_xll.qlRateHelperEarliestDate(M17,Trigger),"--")</f>
        <v>42809</v>
      </c>
      <c r="T17" s="99">
        <f>IFERROR(_xll.qlRateHelperPillarDate(M17,Trigger),"--")</f>
        <v>42907</v>
      </c>
      <c r="V17" s="4" t="str">
        <f t="shared" si="0"/>
        <v>Sw</v>
      </c>
      <c r="W17" s="4" t="str">
        <v>obj_00610</v>
      </c>
      <c r="X17" s="4" t="str">
        <f>IFERROR(_xll.qlRateHelperQuoteName(W17,Trigger),"")</f>
        <v>GBPSB6L6Y_LCHQuote</v>
      </c>
      <c r="Y17" s="70">
        <f>IFERROR(_xll.qlRateHelperRate(W17,Trigger),"")</f>
        <v>1.4872E-2</v>
      </c>
      <c r="Z17" s="104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42304</v>
      </c>
      <c r="AB17" s="5">
        <f>IFERROR(_xll.qlRateHelperPillarDate(W17,Trigger),"")</f>
        <v>44496</v>
      </c>
      <c r="AC17" s="70">
        <v>1.4948443430152192E-2</v>
      </c>
      <c r="AD17" s="169">
        <v>44859</v>
      </c>
      <c r="AE17" s="170">
        <v>1.5939370861961798E-2</v>
      </c>
      <c r="AF17" s="172">
        <f>_xll.qlYieldTSZeroRate(yieldcurve1_STD,$AD17,"ACTUAL/365 (FIXED)",,,TRUE,Trigger)-AE17</f>
        <v>-1.2165312292256036E-6</v>
      </c>
      <c r="AG17" s="161"/>
    </row>
    <row r="18" spans="1:33" ht="11.25" customHeight="1" x14ac:dyDescent="0.2">
      <c r="A18" s="59" t="s">
        <v>93</v>
      </c>
      <c r="B18" s="116" t="b">
        <v>1</v>
      </c>
      <c r="C18" s="62" t="str">
        <f>_xll.qlIMMNextCode($C17,$B18,Trigger)</f>
        <v>Z6</v>
      </c>
      <c r="D18" s="123"/>
      <c r="E18" s="207">
        <f>_xll.qlIMMdate($C18,,Trigger)</f>
        <v>42725</v>
      </c>
      <c r="F18" s="207">
        <f>_xll.qlIMMNextDate($E18,,Trigger)</f>
        <v>42809</v>
      </c>
      <c r="G18" s="61" t="str">
        <f t="shared" si="7"/>
        <v>GbpLibor3M</v>
      </c>
      <c r="H18" s="119" t="str">
        <f t="shared" si="8"/>
        <v>FSSZ6_LCHQuote</v>
      </c>
      <c r="I18" s="119">
        <v>0</v>
      </c>
      <c r="J18" s="64" t="str">
        <f>_xll.qlFuturesRateHelper(,$H18,,$E18,$G18,$I18,FALSE,"customdate",$F18,Permanent,Trigger,ObjectOverwrite)</f>
        <v>obj_00682#0005</v>
      </c>
      <c r="K18" s="48"/>
      <c r="L18" s="10" t="str">
        <f t="shared" si="5"/>
        <v>FUT</v>
      </c>
      <c r="M18" s="94" t="str">
        <f t="shared" si="6"/>
        <v>obj_00683#0005</v>
      </c>
      <c r="N18" s="146" t="str">
        <f>IFERROR(_xll.qlRateHelperQuoteName(M18,Trigger),"--")</f>
        <v>FSSM7_LCHQuote</v>
      </c>
      <c r="O18" s="210">
        <f>IFERROR(_xll.qlRateHelperQuoteValue($M18,Trigger),"--")</f>
        <v>98.966699984599998</v>
      </c>
      <c r="P18" s="97" t="b">
        <v>1</v>
      </c>
      <c r="Q18" s="94">
        <v>20</v>
      </c>
      <c r="R18" s="94">
        <v>1</v>
      </c>
      <c r="S18" s="99">
        <f>IFERROR(_xll.qlRateHelperEarliestDate(M18,Trigger),"--")</f>
        <v>42907</v>
      </c>
      <c r="T18" s="99">
        <f>IFERROR(_xll.qlRateHelperPillarDate(M18,Trigger),"--")</f>
        <v>42998</v>
      </c>
      <c r="V18" s="4" t="str">
        <f t="shared" si="0"/>
        <v>Sw</v>
      </c>
      <c r="W18" s="4" t="str">
        <v>obj_005fb</v>
      </c>
      <c r="X18" s="4" t="str">
        <f>IFERROR(_xll.qlRateHelperQuoteName(W18,Trigger),"")</f>
        <v>GBPSB6L7Y_LCHQuote</v>
      </c>
      <c r="Y18" s="70">
        <f>IFERROR(_xll.qlRateHelperRate(W18,Trigger),"")</f>
        <v>1.5837750000000001E-2</v>
      </c>
      <c r="Z18" s="104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42304</v>
      </c>
      <c r="AB18" s="5">
        <f>IFERROR(_xll.qlRateHelperPillarDate(W18,Trigger),"")</f>
        <v>44861</v>
      </c>
      <c r="AC18" s="70">
        <v>1.5943607283352854E-2</v>
      </c>
      <c r="AD18" s="169">
        <v>45224</v>
      </c>
      <c r="AE18" s="170">
        <v>1.6773438662535702E-2</v>
      </c>
      <c r="AF18" s="172">
        <f>_xll.qlYieldTSZeroRate(yieldcurve1_STD,$AD18,"ACTUAL/365 (FIXED)",,,TRUE,Trigger)-AE18</f>
        <v>-1.0669321391411357E-6</v>
      </c>
      <c r="AG18" s="161"/>
    </row>
    <row r="19" spans="1:33" ht="11.25" customHeight="1" x14ac:dyDescent="0.2">
      <c r="A19" s="59" t="s">
        <v>93</v>
      </c>
      <c r="B19" s="116" t="b">
        <v>1</v>
      </c>
      <c r="C19" s="62" t="str">
        <f>_xll.qlIMMNextCode($C18,$B19,Trigger)</f>
        <v>H7</v>
      </c>
      <c r="D19" s="123"/>
      <c r="E19" s="207">
        <f>_xll.qlIMMdate($C19,,Trigger)</f>
        <v>42809</v>
      </c>
      <c r="F19" s="207">
        <f>_xll.qlIMMNextDate($E19,,Trigger)</f>
        <v>42907</v>
      </c>
      <c r="G19" s="61" t="str">
        <f t="shared" si="7"/>
        <v>GbpLibor3M</v>
      </c>
      <c r="H19" s="119" t="str">
        <f t="shared" si="8"/>
        <v>FSSH7_LCHQuote</v>
      </c>
      <c r="I19" s="119">
        <v>0</v>
      </c>
      <c r="J19" s="64" t="str">
        <f>_xll.qlFuturesRateHelper(,$H19,,$E19,$G19,$I19,FALSE,"customdate",$F19,Permanent,Trigger,ObjectOverwrite)</f>
        <v>obj_00681#0005</v>
      </c>
      <c r="K19" s="48"/>
      <c r="L19" s="10" t="str">
        <f t="shared" si="5"/>
        <v>FUT</v>
      </c>
      <c r="M19" s="94" t="str">
        <f t="shared" si="6"/>
        <v>obj_00684#0005</v>
      </c>
      <c r="N19" s="146" t="str">
        <f>IFERROR(_xll.qlRateHelperQuoteName(M19,Trigger),"--")</f>
        <v>FSSU7_LCHQuote</v>
      </c>
      <c r="O19" s="210">
        <f>IFERROR(_xll.qlRateHelperQuoteValue($M19,Trigger),"--")</f>
        <v>98.879799999999989</v>
      </c>
      <c r="P19" s="97" t="b">
        <v>1</v>
      </c>
      <c r="Q19" s="94">
        <v>20</v>
      </c>
      <c r="R19" s="94">
        <v>1</v>
      </c>
      <c r="S19" s="99">
        <f>IFERROR(_xll.qlRateHelperEarliestDate(M19,Trigger),"--")</f>
        <v>42998</v>
      </c>
      <c r="T19" s="99">
        <f>IFERROR(_xll.qlRateHelperPillarDate(M19,Trigger),"--")</f>
        <v>43089</v>
      </c>
      <c r="V19" s="4" t="str">
        <f t="shared" si="0"/>
        <v>Sw</v>
      </c>
      <c r="W19" s="4" t="str">
        <v>obj_00601</v>
      </c>
      <c r="X19" s="4" t="str">
        <f>IFERROR(_xll.qlRateHelperQuoteName(W19,Trigger),"")</f>
        <v>GBPSB6L8Y_LCHQuote</v>
      </c>
      <c r="Y19" s="70">
        <f>IFERROR(_xll.qlRateHelperRate(W19,Trigger),"")</f>
        <v>1.66415E-2</v>
      </c>
      <c r="Z19" s="104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42304</v>
      </c>
      <c r="AB19" s="5">
        <f>IFERROR(_xll.qlRateHelperPillarDate(W19,Trigger),"")</f>
        <v>45226</v>
      </c>
      <c r="AC19" s="70">
        <v>1.6776937925697084E-2</v>
      </c>
      <c r="AD19" s="169">
        <v>45589</v>
      </c>
      <c r="AE19" s="170">
        <v>1.74814995996211E-2</v>
      </c>
      <c r="AF19" s="172">
        <f>_xll.qlYieldTSZeroRate(yieldcurve1_STD,$AD19,"ACTUAL/365 (FIXED)",,,TRUE,Trigger)-AE19</f>
        <v>-8.2540618731238857E-7</v>
      </c>
      <c r="AG19" s="161"/>
    </row>
    <row r="20" spans="1:33" ht="11.25" customHeight="1" x14ac:dyDescent="0.2">
      <c r="A20" s="59" t="s">
        <v>93</v>
      </c>
      <c r="B20" s="116" t="b">
        <v>1</v>
      </c>
      <c r="C20" s="62" t="str">
        <f>_xll.qlIMMNextCode($C19,$B20,Trigger)</f>
        <v>M7</v>
      </c>
      <c r="D20" s="123"/>
      <c r="E20" s="207">
        <f>_xll.qlIMMdate($C20,,Trigger)</f>
        <v>42907</v>
      </c>
      <c r="F20" s="207">
        <f>_xll.qlIMMNextDate($E20,,Trigger)</f>
        <v>42998</v>
      </c>
      <c r="G20" s="61" t="str">
        <f t="shared" si="7"/>
        <v>GbpLibor3M</v>
      </c>
      <c r="H20" s="119" t="str">
        <f t="shared" si="8"/>
        <v>FSSM7_LCHQuote</v>
      </c>
      <c r="I20" s="119">
        <v>0</v>
      </c>
      <c r="J20" s="64" t="str">
        <f>_xll.qlFuturesRateHelper(,$H20,,$E20,$G20,$I20,FALSE,"customdate",$F20,Permanent,Trigger,ObjectOverwrite)</f>
        <v>obj_00683#0005</v>
      </c>
      <c r="K20" s="48"/>
      <c r="L20" s="10" t="str">
        <f t="shared" si="5"/>
        <v>FUT</v>
      </c>
      <c r="M20" s="94" t="str">
        <f t="shared" si="6"/>
        <v>obj_0068f#0005</v>
      </c>
      <c r="N20" s="146" t="str">
        <f>IFERROR(_xll.qlRateHelperQuoteName(M20,Trigger),"--")</f>
        <v>FSSZ7_LCHQuote</v>
      </c>
      <c r="O20" s="210" t="str">
        <f>IFERROR(_xll.qlRateHelperQuoteValue($M20,Trigger),"--")</f>
        <v>--</v>
      </c>
      <c r="P20" s="97" t="b">
        <v>1</v>
      </c>
      <c r="Q20" s="94">
        <v>20</v>
      </c>
      <c r="R20" s="94">
        <v>1</v>
      </c>
      <c r="S20" s="99">
        <f>IFERROR(_xll.qlRateHelperEarliestDate(M20,Trigger),"--")</f>
        <v>43089</v>
      </c>
      <c r="T20" s="99">
        <f>IFERROR(_xll.qlRateHelperPillarDate(M20,Trigger),"--")</f>
        <v>43180</v>
      </c>
      <c r="V20" s="4" t="str">
        <f t="shared" si="0"/>
        <v>Sw</v>
      </c>
      <c r="W20" s="4" t="str">
        <v>obj_005f7</v>
      </c>
      <c r="X20" s="4" t="str">
        <f>IFERROR(_xll.qlRateHelperQuoteName(W20,Trigger),"")</f>
        <v>GBPSB6L9Y_LCHQuote</v>
      </c>
      <c r="Y20" s="70">
        <f>IFERROR(_xll.qlRateHelperRate(W20,Trigger),"")</f>
        <v>1.7323499999999999E-2</v>
      </c>
      <c r="Z20" s="104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42304</v>
      </c>
      <c r="AB20" s="5">
        <f>IFERROR(_xll.qlRateHelperPillarDate(W20,Trigger),"")</f>
        <v>45593</v>
      </c>
      <c r="AC20" s="70">
        <v>1.7488428863050711E-2</v>
      </c>
      <c r="AD20" s="169">
        <v>45954</v>
      </c>
      <c r="AE20" s="170">
        <v>1.8115172972146099E-2</v>
      </c>
      <c r="AF20" s="172">
        <f>_xll.qlYieldTSZeroRate(yieldcurve1_STD,$AD20,"ACTUAL/365 (FIXED)",,,TRUE,Trigger)-AE20</f>
        <v>-6.0954516325345542E-7</v>
      </c>
      <c r="AG20" s="161"/>
    </row>
    <row r="21" spans="1:33" ht="11.25" customHeight="1" x14ac:dyDescent="0.2">
      <c r="A21" s="59" t="s">
        <v>93</v>
      </c>
      <c r="B21" s="116" t="b">
        <v>1</v>
      </c>
      <c r="C21" s="62" t="str">
        <f>_xll.qlIMMNextCode($C20,$B21,Trigger)</f>
        <v>U7</v>
      </c>
      <c r="D21" s="123"/>
      <c r="E21" s="207">
        <f>_xll.qlIMMdate($C21,,Trigger)</f>
        <v>42998</v>
      </c>
      <c r="F21" s="207">
        <f>_xll.qlIMMNextDate($E21,,Trigger)</f>
        <v>43089</v>
      </c>
      <c r="G21" s="61" t="str">
        <f t="shared" si="7"/>
        <v>GbpLibor3M</v>
      </c>
      <c r="H21" s="119" t="str">
        <f t="shared" si="8"/>
        <v>FSSU7_LCHQuote</v>
      </c>
      <c r="I21" s="119">
        <v>0</v>
      </c>
      <c r="J21" s="64" t="str">
        <f>_xll.qlFuturesRateHelper(,$H21,,$E21,$G21,$I21,FALSE,"customdate",$F21,Permanent,Trigger,ObjectOverwrite)</f>
        <v>obj_00684#0005</v>
      </c>
      <c r="K21" s="48"/>
      <c r="L21" s="10" t="str">
        <f t="shared" si="5"/>
        <v>FUT</v>
      </c>
      <c r="M21" s="94" t="str">
        <f t="shared" si="6"/>
        <v>obj_00685#0005</v>
      </c>
      <c r="N21" s="146" t="str">
        <f>IFERROR(_xll.qlRateHelperQuoteName(M21,Trigger),"--")</f>
        <v>FSSH8_LCHQuote</v>
      </c>
      <c r="O21" s="210" t="str">
        <f>IFERROR(_xll.qlRateHelperQuoteValue($M21,Trigger),"--")</f>
        <v>--</v>
      </c>
      <c r="P21" s="97" t="b">
        <v>0</v>
      </c>
      <c r="Q21" s="94">
        <v>20</v>
      </c>
      <c r="R21" s="94">
        <v>1</v>
      </c>
      <c r="S21" s="99">
        <f>IFERROR(_xll.qlRateHelperEarliestDate(M21,Trigger),"--")</f>
        <v>43180</v>
      </c>
      <c r="T21" s="99">
        <f>IFERROR(_xll.qlRateHelperPillarDate(M21,Trigger),"--")</f>
        <v>43271</v>
      </c>
      <c r="V21" s="4" t="str">
        <f t="shared" si="0"/>
        <v>Sw</v>
      </c>
      <c r="W21" s="4" t="str">
        <v>obj_00602</v>
      </c>
      <c r="X21" s="4" t="str">
        <f>IFERROR(_xll.qlRateHelperQuoteName(W21,Trigger),"")</f>
        <v>GBPSB6L10Y_LCHQuote</v>
      </c>
      <c r="Y21" s="70">
        <f>IFERROR(_xll.qlRateHelperRate(W21,Trigger),"")</f>
        <v>1.7923999999999999E-2</v>
      </c>
      <c r="Z21" s="104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42304</v>
      </c>
      <c r="AB21" s="5">
        <f>IFERROR(_xll.qlRateHelperPillarDate(W21,Trigger),"")</f>
        <v>45957</v>
      </c>
      <c r="AC21" s="70">
        <v>1.811976676130915E-2</v>
      </c>
      <c r="AD21" s="169">
        <v>46684</v>
      </c>
      <c r="AE21" s="170">
        <v>1.91893681973671E-2</v>
      </c>
      <c r="AF21" s="172">
        <f>_xll.qlYieldTSZeroRate(yieldcurve1_STD,$AD21,"ACTUAL/365 (FIXED)",,,TRUE,Trigger)-AE21</f>
        <v>-5.070947560609218E-7</v>
      </c>
      <c r="AG21" s="161"/>
    </row>
    <row r="22" spans="1:33" ht="11.25" customHeight="1" x14ac:dyDescent="0.2">
      <c r="A22" s="59" t="s">
        <v>93</v>
      </c>
      <c r="B22" s="116" t="b">
        <v>1</v>
      </c>
      <c r="C22" s="62" t="str">
        <f>_xll.qlIMMNextCode($C21,$B22,Trigger)</f>
        <v>Z7</v>
      </c>
      <c r="D22" s="123"/>
      <c r="E22" s="207">
        <f>_xll.qlIMMdate($C22,,Trigger)</f>
        <v>43089</v>
      </c>
      <c r="F22" s="207">
        <f>_xll.qlIMMNextDate($E22,,Trigger)</f>
        <v>43180</v>
      </c>
      <c r="G22" s="61" t="str">
        <f t="shared" si="7"/>
        <v>GbpLibor3M</v>
      </c>
      <c r="H22" s="119" t="str">
        <f t="shared" si="8"/>
        <v>FSSZ7_LCHQuote</v>
      </c>
      <c r="I22" s="119">
        <v>0</v>
      </c>
      <c r="J22" s="64" t="str">
        <f>_xll.qlFuturesRateHelper(,$H22,,$E22,$G22,$I22,FALSE,"customdate",$F22,Permanent,Trigger,ObjectOverwrite)</f>
        <v>obj_0068f#0005</v>
      </c>
      <c r="K22" s="48"/>
      <c r="L22" s="10" t="str">
        <f t="shared" si="5"/>
        <v>FUT</v>
      </c>
      <c r="M22" s="94" t="str">
        <f t="shared" si="6"/>
        <v>obj_0068a#0005</v>
      </c>
      <c r="N22" s="146" t="str">
        <f>IFERROR(_xll.qlRateHelperQuoteName(M22,Trigger),"--")</f>
        <v>FSSM8_LCHQuote</v>
      </c>
      <c r="O22" s="210" t="str">
        <f>IFERROR(_xll.qlRateHelperQuoteValue($M22,Trigger),"--")</f>
        <v>--</v>
      </c>
      <c r="P22" s="97" t="b">
        <v>0</v>
      </c>
      <c r="Q22" s="94">
        <v>20</v>
      </c>
      <c r="R22" s="94">
        <v>1</v>
      </c>
      <c r="S22" s="99">
        <f>IFERROR(_xll.qlRateHelperEarliestDate(M22,Trigger),"--")</f>
        <v>43271</v>
      </c>
      <c r="T22" s="99">
        <f>IFERROR(_xll.qlRateHelperPillarDate(M22,Trigger),"--")</f>
        <v>43362</v>
      </c>
      <c r="V22" s="4" t="str">
        <f t="shared" si="0"/>
        <v>Sw</v>
      </c>
      <c r="W22" s="4" t="str">
        <v>obj_00609</v>
      </c>
      <c r="X22" s="4" t="str">
        <f>IFERROR(_xll.qlRateHelperQuoteName(W22,Trigger),"")</f>
        <v>GBPSB6L12Y_LCHQuote</v>
      </c>
      <c r="Y22" s="70">
        <f>IFERROR(_xll.qlRateHelperRate(W22,Trigger),"")</f>
        <v>1.8933999999999999E-2</v>
      </c>
      <c r="Z22" s="104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42304</v>
      </c>
      <c r="AB22" s="5">
        <f>IFERROR(_xll.qlRateHelperPillarDate(W22,Trigger),"")</f>
        <v>46687</v>
      </c>
      <c r="AC22" s="70">
        <v>1.9193272771144604E-2</v>
      </c>
      <c r="AD22" s="169">
        <v>47779</v>
      </c>
      <c r="AE22" s="170">
        <v>2.02825936303331E-2</v>
      </c>
      <c r="AF22" s="172">
        <f>_xll.qlYieldTSZeroRate(yieldcurve1_STD,$AD22,"ACTUAL/365 (FIXED)",,,TRUE,Trigger)-AE22</f>
        <v>1.3252140589753436E-8</v>
      </c>
      <c r="AG22" s="161"/>
    </row>
    <row r="23" spans="1:33" ht="11.25" customHeight="1" x14ac:dyDescent="0.2">
      <c r="A23" s="59" t="s">
        <v>93</v>
      </c>
      <c r="B23" s="116" t="b">
        <v>1</v>
      </c>
      <c r="C23" s="62" t="str">
        <f>_xll.qlIMMNextCode($C22,$B23,Trigger)</f>
        <v>H8</v>
      </c>
      <c r="D23" s="123"/>
      <c r="E23" s="207">
        <f>_xll.qlIMMdate($C23,,Trigger)</f>
        <v>43180</v>
      </c>
      <c r="F23" s="207">
        <f>_xll.qlIMMNextDate($E23,,Trigger)</f>
        <v>43271</v>
      </c>
      <c r="G23" s="61" t="str">
        <f t="shared" si="7"/>
        <v>GbpLibor3M</v>
      </c>
      <c r="H23" s="119" t="str">
        <f t="shared" si="8"/>
        <v>FSSH8_LCHQuote</v>
      </c>
      <c r="I23" s="119">
        <v>0</v>
      </c>
      <c r="J23" s="64" t="str">
        <f>_xll.qlFuturesRateHelper(,$H23,,$E23,$G23,$I23,FALSE,"customdate",$F23,Permanent,Trigger,ObjectOverwrite)</f>
        <v>obj_00685#0005</v>
      </c>
      <c r="K23" s="48"/>
      <c r="L23" s="10" t="str">
        <f t="shared" si="5"/>
        <v>FUT</v>
      </c>
      <c r="M23" s="94" t="str">
        <f t="shared" si="6"/>
        <v>obj_0068c#0005</v>
      </c>
      <c r="N23" s="146" t="str">
        <f>IFERROR(_xll.qlRateHelperQuoteName(M23,Trigger),"--")</f>
        <v>FSSU8_LCHQuote</v>
      </c>
      <c r="O23" s="210" t="str">
        <f>IFERROR(_xll.qlRateHelperQuoteValue($M23,Trigger),"--")</f>
        <v>--</v>
      </c>
      <c r="P23" s="97" t="b">
        <v>0</v>
      </c>
      <c r="Q23" s="94">
        <v>20</v>
      </c>
      <c r="R23" s="94">
        <v>1</v>
      </c>
      <c r="S23" s="99">
        <f>IFERROR(_xll.qlRateHelperEarliestDate(M23,Trigger),"--")</f>
        <v>43362</v>
      </c>
      <c r="T23" s="99">
        <f>IFERROR(_xll.qlRateHelperPillarDate(M23,Trigger),"--")</f>
        <v>43453</v>
      </c>
      <c r="V23" s="4" t="str">
        <f t="shared" si="0"/>
        <v>Sw</v>
      </c>
      <c r="W23" s="4" t="str">
        <v>obj_005fe</v>
      </c>
      <c r="X23" s="4" t="str">
        <f>IFERROR(_xll.qlRateHelperQuoteName(W23,Trigger),"")</f>
        <v>GBPSB6L15Y_LCHQuote</v>
      </c>
      <c r="Y23" s="70">
        <f>IFERROR(_xll.qlRateHelperRate(W23,Trigger),"")</f>
        <v>1.9953249999999999E-2</v>
      </c>
      <c r="Z23" s="104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42304</v>
      </c>
      <c r="AB23" s="5">
        <f>IFERROR(_xll.qlRateHelperPillarDate(W23,Trigger),"")</f>
        <v>47784</v>
      </c>
      <c r="AC23" s="70">
        <v>2.0287594676023733E-2</v>
      </c>
      <c r="AD23" s="169">
        <v>49604</v>
      </c>
      <c r="AE23" s="170">
        <v>2.10243557148341E-2</v>
      </c>
      <c r="AF23" s="172">
        <f>_xll.qlYieldTSZeroRate(yieldcurve1_STD,$AD23,"ACTUAL/365 (FIXED)",,,TRUE,Trigger)-AE23</f>
        <v>-5.4515509082669888E-8</v>
      </c>
      <c r="AG23" s="161"/>
    </row>
    <row r="24" spans="1:33" ht="11.25" customHeight="1" x14ac:dyDescent="0.2">
      <c r="A24" s="59" t="s">
        <v>93</v>
      </c>
      <c r="B24" s="116" t="b">
        <v>1</v>
      </c>
      <c r="C24" s="62" t="str">
        <f>_xll.qlIMMNextCode($C23,$B24,Trigger)</f>
        <v>M8</v>
      </c>
      <c r="D24" s="123"/>
      <c r="E24" s="207">
        <f>_xll.qlIMMdate($C24,,Trigger)</f>
        <v>43271</v>
      </c>
      <c r="F24" s="207">
        <f>_xll.qlIMMNextDate($E24,,Trigger)</f>
        <v>43362</v>
      </c>
      <c r="G24" s="61" t="str">
        <f t="shared" si="7"/>
        <v>GbpLibor3M</v>
      </c>
      <c r="H24" s="119" t="str">
        <f t="shared" si="8"/>
        <v>FSSM8_LCHQuote</v>
      </c>
      <c r="I24" s="119">
        <v>0</v>
      </c>
      <c r="J24" s="64" t="str">
        <f>_xll.qlFuturesRateHelper(,$H24,,$E24,$G24,$I24,FALSE,"customdate",$F24,Permanent,Trigger,ObjectOverwrite)</f>
        <v>obj_0068a#0005</v>
      </c>
      <c r="K24" s="48"/>
      <c r="L24" s="10" t="str">
        <f t="shared" si="5"/>
        <v>FUT</v>
      </c>
      <c r="M24" s="94" t="str">
        <f t="shared" si="6"/>
        <v>obj_0068d#0005</v>
      </c>
      <c r="N24" s="146" t="str">
        <f>IFERROR(_xll.qlRateHelperQuoteName(M24,Trigger),"--")</f>
        <v>FSSZ8_LCHQuote</v>
      </c>
      <c r="O24" s="210" t="str">
        <f>IFERROR(_xll.qlRateHelperQuoteValue($M24,Trigger),"--")</f>
        <v>--</v>
      </c>
      <c r="P24" s="97" t="b">
        <v>0</v>
      </c>
      <c r="Q24" s="94">
        <v>20</v>
      </c>
      <c r="R24" s="94">
        <v>1</v>
      </c>
      <c r="S24" s="99">
        <f>IFERROR(_xll.qlRateHelperEarliestDate(M24,Trigger),"--")</f>
        <v>43453</v>
      </c>
      <c r="T24" s="99">
        <f>IFERROR(_xll.qlRateHelperPillarDate(M24,Trigger),"--")</f>
        <v>43544</v>
      </c>
      <c r="V24" s="4" t="str">
        <f t="shared" si="0"/>
        <v>Sw</v>
      </c>
      <c r="W24" s="4" t="str">
        <v>obj_0061a</v>
      </c>
      <c r="X24" s="4" t="str">
        <f>IFERROR(_xll.qlRateHelperQuoteName(W24,Trigger),"")</f>
        <v>GBPSB6L20Y_LCHQuote</v>
      </c>
      <c r="Y24" s="70">
        <f>IFERROR(_xll.qlRateHelperRate(W24,Trigger),"")</f>
        <v>2.0664999999999999E-2</v>
      </c>
      <c r="Z24" s="104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42304</v>
      </c>
      <c r="AB24" s="5">
        <f>IFERROR(_xll.qlRateHelperPillarDate(W24,Trigger),"")</f>
        <v>49611</v>
      </c>
      <c r="AC24" s="70">
        <v>2.1027134685953096E-2</v>
      </c>
      <c r="AD24" s="169">
        <v>51429</v>
      </c>
      <c r="AE24" s="170">
        <v>2.1026036601911199E-2</v>
      </c>
      <c r="AF24" s="172">
        <f>_xll.qlYieldTSZeroRate(yieldcurve1_STD,$AD24,"ACTUAL/365 (FIXED)",,,TRUE,Trigger)-AE24</f>
        <v>-5.6096425921081661E-8</v>
      </c>
      <c r="AG24" s="161"/>
    </row>
    <row r="25" spans="1:33" ht="11.25" customHeight="1" x14ac:dyDescent="0.2">
      <c r="A25" s="59" t="s">
        <v>93</v>
      </c>
      <c r="B25" s="116" t="b">
        <v>1</v>
      </c>
      <c r="C25" s="62" t="str">
        <f>_xll.qlIMMNextCode($C24,$B25,Trigger)</f>
        <v>U8</v>
      </c>
      <c r="D25" s="123"/>
      <c r="E25" s="207">
        <f>_xll.qlIMMdate($C25,,Trigger)</f>
        <v>43362</v>
      </c>
      <c r="F25" s="207">
        <f>_xll.qlIMMNextDate($E25,,Trigger)</f>
        <v>43453</v>
      </c>
      <c r="G25" s="61" t="str">
        <f t="shared" si="7"/>
        <v>GbpLibor3M</v>
      </c>
      <c r="H25" s="119" t="str">
        <f t="shared" si="8"/>
        <v>FSSU8_LCHQuote</v>
      </c>
      <c r="I25" s="119">
        <v>0</v>
      </c>
      <c r="J25" s="64" t="str">
        <f>_xll.qlFuturesRateHelper(,$H25,,$E25,$G25,$I25,FALSE,"customdate",$F25,Permanent,Trigger,ObjectOverwrite)</f>
        <v>obj_0068c#0005</v>
      </c>
      <c r="K25" s="48"/>
      <c r="L25" s="10" t="str">
        <f t="shared" si="5"/>
        <v>FUT</v>
      </c>
      <c r="M25" s="94" t="str">
        <f t="shared" si="6"/>
        <v>obj_00690#0005</v>
      </c>
      <c r="N25" s="146" t="str">
        <f>IFERROR(_xll.qlRateHelperQuoteName(M25,Trigger),"--")</f>
        <v>FSSH9_LCHQuote</v>
      </c>
      <c r="O25" s="210" t="str">
        <f>IFERROR(_xll.qlRateHelperQuoteValue($M25,Trigger),"--")</f>
        <v>--</v>
      </c>
      <c r="P25" s="97" t="b">
        <v>0</v>
      </c>
      <c r="Q25" s="94">
        <v>20</v>
      </c>
      <c r="R25" s="94">
        <v>1</v>
      </c>
      <c r="S25" s="99">
        <f>IFERROR(_xll.qlRateHelperEarliestDate(M25,Trigger),"--")</f>
        <v>43544</v>
      </c>
      <c r="T25" s="99">
        <f>IFERROR(_xll.qlRateHelperPillarDate(M25,Trigger),"--")</f>
        <v>43635</v>
      </c>
      <c r="V25" s="4" t="str">
        <f t="shared" si="0"/>
        <v>Sw</v>
      </c>
      <c r="W25" s="4" t="str">
        <v>obj_005f2</v>
      </c>
      <c r="X25" s="4" t="str">
        <f>IFERROR(_xll.qlRateHelperQuoteName(W25,Trigger),"")</f>
        <v>GBPSB6L25Y_LCHQuote</v>
      </c>
      <c r="Y25" s="70">
        <f>IFERROR(_xll.qlRateHelperRate(W25,Trigger),"")</f>
        <v>2.07385E-2</v>
      </c>
      <c r="Z25" s="104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42304</v>
      </c>
      <c r="AB25" s="5">
        <f>IFERROR(_xll.qlRateHelperPillarDate(W25,Trigger),"")</f>
        <v>51438</v>
      </c>
      <c r="AC25" s="70">
        <v>2.1025974791720591E-2</v>
      </c>
      <c r="AD25" s="169">
        <v>53254</v>
      </c>
      <c r="AE25" s="170">
        <v>2.0874341769787998E-2</v>
      </c>
      <c r="AF25" s="172">
        <f>_xll.qlYieldTSZeroRate(yieldcurve1_STD,$AD25,"ACTUAL/365 (FIXED)",,,TRUE,Trigger)-AE25</f>
        <v>-6.3118401394390844E-8</v>
      </c>
      <c r="AG25" s="161"/>
    </row>
    <row r="26" spans="1:33" ht="11.25" customHeight="1" x14ac:dyDescent="0.2">
      <c r="A26" s="59" t="s">
        <v>93</v>
      </c>
      <c r="B26" s="116" t="b">
        <v>1</v>
      </c>
      <c r="C26" s="62" t="str">
        <f>_xll.qlIMMNextCode($C25,$B26,Trigger)</f>
        <v>Z8</v>
      </c>
      <c r="D26" s="123"/>
      <c r="E26" s="207">
        <f>_xll.qlIMMdate($C26,,Trigger)</f>
        <v>43453</v>
      </c>
      <c r="F26" s="207">
        <f>_xll.qlIMMNextDate($E26,,Trigger)</f>
        <v>43544</v>
      </c>
      <c r="G26" s="61" t="str">
        <f t="shared" si="7"/>
        <v>GbpLibor3M</v>
      </c>
      <c r="H26" s="119" t="str">
        <f t="shared" si="8"/>
        <v>FSSZ8_LCHQuote</v>
      </c>
      <c r="I26" s="119">
        <v>0</v>
      </c>
      <c r="J26" s="64" t="str">
        <f>_xll.qlFuturesRateHelper(,$H26,,$E26,$G26,$I26,FALSE,"customdate",$F26,Permanent,Trigger,ObjectOverwrite)</f>
        <v>obj_0068d#0005</v>
      </c>
      <c r="K26" s="48"/>
      <c r="L26" s="10" t="str">
        <f t="shared" si="5"/>
        <v>FUT</v>
      </c>
      <c r="M26" s="94" t="str">
        <f t="shared" si="6"/>
        <v>obj_0068b#0005</v>
      </c>
      <c r="N26" s="146" t="str">
        <f>IFERROR(_xll.qlRateHelperQuoteName(M26,Trigger),"--")</f>
        <v>FSSM9_LCHQuote</v>
      </c>
      <c r="O26" s="210" t="str">
        <f>IFERROR(_xll.qlRateHelperQuoteValue($M26,Trigger),"--")</f>
        <v>--</v>
      </c>
      <c r="P26" s="97" t="b">
        <v>0</v>
      </c>
      <c r="Q26" s="94">
        <v>20</v>
      </c>
      <c r="R26" s="94">
        <v>1</v>
      </c>
      <c r="S26" s="99">
        <f>IFERROR(_xll.qlRateHelperEarliestDate(M26,Trigger),"--")</f>
        <v>43635</v>
      </c>
      <c r="T26" s="99">
        <f>IFERROR(_xll.qlRateHelperPillarDate(M26,Trigger),"--")</f>
        <v>43726</v>
      </c>
      <c r="V26" s="4" t="str">
        <f t="shared" si="0"/>
        <v>Sw</v>
      </c>
      <c r="W26" s="4" t="str">
        <v>obj_0060d</v>
      </c>
      <c r="X26" s="4" t="str">
        <f>IFERROR(_xll.qlRateHelperQuoteName(W26,Trigger),"")</f>
        <v>GBPSB6L30Y_LCHQuote</v>
      </c>
      <c r="Y26" s="70">
        <f>IFERROR(_xll.qlRateHelperRate(W26,Trigger),"")</f>
        <v>2.0673500000000001E-2</v>
      </c>
      <c r="Z26" s="104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42304</v>
      </c>
      <c r="AB26" s="5">
        <f>IFERROR(_xll.qlRateHelperPillarDate(W26,Trigger),"")</f>
        <v>53262</v>
      </c>
      <c r="AC26" s="70">
        <v>2.0873610386451212E-2</v>
      </c>
      <c r="AD26" s="169">
        <v>55079</v>
      </c>
      <c r="AE26" s="170">
        <v>2.0443580440158801E-2</v>
      </c>
      <c r="AF26" s="172">
        <f>_xll.qlYieldTSZeroRate(yieldcurve1_STD,$AD26,"ACTUAL/365 (FIXED)",,,TRUE,Trigger)-AE26</f>
        <v>-6.1273946225931519E-8</v>
      </c>
      <c r="AG26" s="161"/>
    </row>
    <row r="27" spans="1:33" ht="11.25" customHeight="1" x14ac:dyDescent="0.2">
      <c r="A27" s="59" t="s">
        <v>93</v>
      </c>
      <c r="B27" s="116" t="b">
        <v>1</v>
      </c>
      <c r="C27" s="62" t="str">
        <f>_xll.qlIMMNextCode($C26,$B27,Trigger)</f>
        <v>H9</v>
      </c>
      <c r="D27" s="123"/>
      <c r="E27" s="207">
        <f>_xll.qlIMMdate($C27,,Trigger)</f>
        <v>43544</v>
      </c>
      <c r="F27" s="207">
        <f>_xll.qlIMMNextDate($E27,,Trigger)</f>
        <v>43635</v>
      </c>
      <c r="G27" s="61" t="str">
        <f t="shared" si="7"/>
        <v>GbpLibor3M</v>
      </c>
      <c r="H27" s="119" t="str">
        <f t="shared" si="8"/>
        <v>FSSH9_LCHQuote</v>
      </c>
      <c r="I27" s="119">
        <v>0</v>
      </c>
      <c r="J27" s="64" t="str">
        <f>_xll.qlFuturesRateHelper(,$H27,,$E27,$G27,$I27,FALSE,"customdate",$F27,Permanent,Trigger,ObjectOverwrite)</f>
        <v>obj_00690#0005</v>
      </c>
      <c r="K27" s="48"/>
      <c r="L27" s="10" t="str">
        <f t="shared" si="5"/>
        <v>FUT</v>
      </c>
      <c r="M27" s="94" t="str">
        <f t="shared" si="6"/>
        <v>obj_00689#0005</v>
      </c>
      <c r="N27" s="146" t="str">
        <f>IFERROR(_xll.qlRateHelperQuoteName(M27,Trigger),"--")</f>
        <v>FSSU9_LCHQuote</v>
      </c>
      <c r="O27" s="210" t="str">
        <f>IFERROR(_xll.qlRateHelperQuoteValue($M27,Trigger),"--")</f>
        <v>--</v>
      </c>
      <c r="P27" s="97" t="b">
        <v>0</v>
      </c>
      <c r="Q27" s="94">
        <v>20</v>
      </c>
      <c r="R27" s="94">
        <v>1</v>
      </c>
      <c r="S27" s="99">
        <f>IFERROR(_xll.qlRateHelperEarliestDate(M27,Trigger),"--")</f>
        <v>43726</v>
      </c>
      <c r="T27" s="99">
        <f>IFERROR(_xll.qlRateHelperPillarDate(M27,Trigger),"--")</f>
        <v>43817</v>
      </c>
      <c r="V27" s="4" t="str">
        <f t="shared" si="0"/>
        <v>Sw</v>
      </c>
      <c r="W27" s="4" t="str">
        <v>obj_00606</v>
      </c>
      <c r="X27" s="4" t="str">
        <f>IFERROR(_xll.qlRateHelperQuoteName(W27,Trigger),"")</f>
        <v>GBPSB6L40Y_LCHQuote</v>
      </c>
      <c r="Y27" s="70">
        <f>IFERROR(_xll.qlRateHelperRate(W27,Trigger),"")</f>
        <v>2.0111500000000001E-2</v>
      </c>
      <c r="Z27" s="104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42304</v>
      </c>
      <c r="AB27" s="5">
        <f>IFERROR(_xll.qlRateHelperPillarDate(W27,Trigger),"")</f>
        <v>56914</v>
      </c>
      <c r="AC27" s="70">
        <v>2.0009167273456443E-2</v>
      </c>
      <c r="AD27" s="169">
        <v>56904</v>
      </c>
      <c r="AE27" s="170">
        <v>2.0011593704072801E-2</v>
      </c>
      <c r="AF27" s="172">
        <f>_xll.qlYieldTSZeroRate(yieldcurve1_STD,$AD27,"ACTUAL/365 (FIXED)",,,TRUE,Trigger)-AE27</f>
        <v>-5.9390328859681984E-8</v>
      </c>
      <c r="AG27" s="161"/>
    </row>
    <row r="28" spans="1:33" ht="11.25" customHeight="1" x14ac:dyDescent="0.2">
      <c r="A28" s="59" t="s">
        <v>93</v>
      </c>
      <c r="B28" s="116" t="b">
        <v>1</v>
      </c>
      <c r="C28" s="62" t="str">
        <f>_xll.qlIMMNextCode($C27,$B28,Trigger)</f>
        <v>M9</v>
      </c>
      <c r="D28" s="123"/>
      <c r="E28" s="207">
        <f>_xll.qlIMMdate($C28,,Trigger)</f>
        <v>43635</v>
      </c>
      <c r="F28" s="207">
        <f>_xll.qlIMMNextDate($E28,,Trigger)</f>
        <v>43726</v>
      </c>
      <c r="G28" s="61" t="str">
        <f t="shared" si="7"/>
        <v>GbpLibor3M</v>
      </c>
      <c r="H28" s="119" t="str">
        <f t="shared" si="8"/>
        <v>FSSM9_LCHQuote</v>
      </c>
      <c r="I28" s="119">
        <v>0</v>
      </c>
      <c r="J28" s="64" t="str">
        <f>_xll.qlFuturesRateHelper(,$H28,,$E28,$G28,$I28,FALSE,"customdate",$F28,Permanent,Trigger,ObjectOverwrite)</f>
        <v>obj_0068b#0005</v>
      </c>
      <c r="K28" s="48"/>
      <c r="L28" s="10" t="str">
        <f t="shared" si="5"/>
        <v>FUT</v>
      </c>
      <c r="M28" s="94" t="str">
        <f t="shared" si="6"/>
        <v>obj_00687#0005</v>
      </c>
      <c r="N28" s="146" t="str">
        <f>IFERROR(_xll.qlRateHelperQuoteName(M28,Trigger),"--")</f>
        <v>FSSZ9_LCHQuote</v>
      </c>
      <c r="O28" s="210" t="str">
        <f>IFERROR(_xll.qlRateHelperQuoteValue($M28,Trigger),"--")</f>
        <v>--</v>
      </c>
      <c r="P28" s="97" t="b">
        <v>0</v>
      </c>
      <c r="Q28" s="94">
        <v>20</v>
      </c>
      <c r="R28" s="94">
        <v>1</v>
      </c>
      <c r="S28" s="99">
        <f>IFERROR(_xll.qlRateHelperEarliestDate(M28,Trigger),"--")</f>
        <v>43817</v>
      </c>
      <c r="T28" s="99">
        <f>IFERROR(_xll.qlRateHelperPillarDate(M28,Trigger),"--")</f>
        <v>43908</v>
      </c>
      <c r="V28" s="4" t="str">
        <f t="shared" si="0"/>
        <v>Sw</v>
      </c>
      <c r="W28" s="4" t="str">
        <v>obj_00605</v>
      </c>
      <c r="X28" s="4" t="str">
        <f>IFERROR(_xll.qlRateHelperQuoteName(W28,Trigger),"")</f>
        <v>GBPSB6L50Y_LCHQuote</v>
      </c>
      <c r="Y28" s="70">
        <f>IFERROR(_xll.qlRateHelperRate(W28,Trigger),"")</f>
        <v>1.9783499999999999E-2</v>
      </c>
      <c r="Z28" s="104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42304</v>
      </c>
      <c r="AB28" s="5">
        <f>IFERROR(_xll.qlRateHelperPillarDate(W28,Trigger),"")</f>
        <v>60567</v>
      </c>
      <c r="AC28" s="70">
        <v>1.9507216295188725E-2</v>
      </c>
      <c r="AD28" s="169">
        <v>58729</v>
      </c>
      <c r="AE28" s="170">
        <v>1.9759833910645501E-2</v>
      </c>
      <c r="AF28" s="172">
        <f>_xll.qlYieldTSZeroRate(yieldcurve1_STD,$AD28,"ACTUAL/365 (FIXED)",,,TRUE,Trigger)-AE28</f>
        <v>-6.1935726120704304E-8</v>
      </c>
      <c r="AG28" s="161"/>
    </row>
    <row r="29" spans="1:33" ht="11.25" customHeight="1" x14ac:dyDescent="0.2">
      <c r="A29" s="59" t="s">
        <v>93</v>
      </c>
      <c r="B29" s="116" t="b">
        <v>1</v>
      </c>
      <c r="C29" s="62" t="str">
        <f>_xll.qlIMMNextCode($C28,$B29,Trigger)</f>
        <v>U9</v>
      </c>
      <c r="D29" s="123"/>
      <c r="E29" s="207">
        <f>_xll.qlIMMdate($C29,,Trigger)</f>
        <v>43726</v>
      </c>
      <c r="F29" s="207">
        <f>_xll.qlIMMNextDate($E29,,Trigger)</f>
        <v>43817</v>
      </c>
      <c r="G29" s="61" t="str">
        <f t="shared" si="7"/>
        <v>GbpLibor3M</v>
      </c>
      <c r="H29" s="119" t="str">
        <f t="shared" si="8"/>
        <v>FSSU9_LCHQuote</v>
      </c>
      <c r="I29" s="119">
        <v>0</v>
      </c>
      <c r="J29" s="64" t="str">
        <f>_xll.qlFuturesRateHelper(,$H29,,$E29,$G29,$I29,FALSE,"customdate",$F29,Permanent,Trigger,ObjectOverwrite)</f>
        <v>obj_00689#0005</v>
      </c>
      <c r="K29" s="48"/>
      <c r="L29" s="10" t="str">
        <f t="shared" si="5"/>
        <v>FUT</v>
      </c>
      <c r="M29" s="94" t="str">
        <f t="shared" si="6"/>
        <v>obj_0068e#0005</v>
      </c>
      <c r="N29" s="146" t="str">
        <f>IFERROR(_xll.qlRateHelperQuoteName(M29,Trigger),"--")</f>
        <v>FSSH0_LCHQuote</v>
      </c>
      <c r="O29" s="210" t="str">
        <f>IFERROR(_xll.qlRateHelperQuoteValue($M29,Trigger),"--")</f>
        <v>--</v>
      </c>
      <c r="P29" s="97" t="b">
        <v>0</v>
      </c>
      <c r="Q29" s="94">
        <v>20</v>
      </c>
      <c r="R29" s="94">
        <v>1</v>
      </c>
      <c r="S29" s="99">
        <f>IFERROR(_xll.qlRateHelperEarliestDate(M29,Trigger),"--")</f>
        <v>43908</v>
      </c>
      <c r="T29" s="99">
        <f>IFERROR(_xll.qlRateHelperPillarDate(M29,Trigger),"--")</f>
        <v>43999</v>
      </c>
      <c r="V29" s="4" t="str">
        <f t="shared" si="0"/>
        <v>Sw</v>
      </c>
      <c r="W29" s="4" t="str">
        <v>obj_005f4</v>
      </c>
      <c r="X29" s="4" t="str">
        <f>IFERROR(_xll.qlRateHelperQuoteName(W29,Trigger),"")</f>
        <v>GBPSB6L60Y_LCHQuote</v>
      </c>
      <c r="Y29" s="70">
        <f>IFERROR(_xll.qlRateHelperRate(W29,Trigger),"")</f>
        <v>1.9793000000000002E-2</v>
      </c>
      <c r="Z29" s="104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42304</v>
      </c>
      <c r="AB29" s="5">
        <f>IFERROR(_xll.qlRateHelperPillarDate(W29,Trigger),"")</f>
        <v>64220</v>
      </c>
      <c r="AC29" s="70">
        <v>1.9553360721946109E-2</v>
      </c>
      <c r="AD29" s="169">
        <v>60554</v>
      </c>
      <c r="AE29" s="170">
        <v>1.9509067103128299E-2</v>
      </c>
      <c r="AF29" s="172">
        <f>_xll.qlYieldTSZeroRate(yieldcurve1_STD,$AD29,"ACTUAL/365 (FIXED)",,,TRUE,Trigger)-AE29</f>
        <v>-6.4505525809721576E-8</v>
      </c>
      <c r="AG29" s="161"/>
    </row>
    <row r="30" spans="1:33" ht="11.25" customHeight="1" x14ac:dyDescent="0.2">
      <c r="A30" s="59" t="s">
        <v>93</v>
      </c>
      <c r="B30" s="116" t="b">
        <v>1</v>
      </c>
      <c r="C30" s="62" t="str">
        <f>_xll.qlIMMNextCode($C29,$B30,Trigger)</f>
        <v>Z9</v>
      </c>
      <c r="D30" s="123"/>
      <c r="E30" s="207">
        <f>_xll.qlIMMdate($C30,,Trigger)</f>
        <v>43817</v>
      </c>
      <c r="F30" s="207">
        <f>_xll.qlIMMNextDate($E30,,Trigger)</f>
        <v>43908</v>
      </c>
      <c r="G30" s="61" t="str">
        <f t="shared" si="7"/>
        <v>GbpLibor3M</v>
      </c>
      <c r="H30" s="119" t="str">
        <f t="shared" si="8"/>
        <v>FSSZ9_LCHQuote</v>
      </c>
      <c r="I30" s="119">
        <v>0</v>
      </c>
      <c r="J30" s="64" t="str">
        <f>_xll.qlFuturesRateHelper(,$H30,,$E30,$G30,$I30,FALSE,"customdate",$F30,Permanent,Trigger,ObjectOverwrite)</f>
        <v>obj_00687#0005</v>
      </c>
      <c r="K30" s="48"/>
      <c r="L30" s="10" t="str">
        <f t="shared" si="5"/>
        <v>FUT</v>
      </c>
      <c r="M30" s="94" t="str">
        <f t="shared" si="6"/>
        <v>obj_00686#0005</v>
      </c>
      <c r="N30" s="146" t="str">
        <f>IFERROR(_xll.qlRateHelperQuoteName(M30,Trigger),"--")</f>
        <v>FSSM0_LCHQuote</v>
      </c>
      <c r="O30" s="210" t="str">
        <f>IFERROR(_xll.qlRateHelperQuoteValue($M30,Trigger),"--")</f>
        <v>--</v>
      </c>
      <c r="P30" s="97" t="b">
        <v>0</v>
      </c>
      <c r="Q30" s="94">
        <v>20</v>
      </c>
      <c r="R30" s="94">
        <v>1</v>
      </c>
      <c r="S30" s="99">
        <f>IFERROR(_xll.qlRateHelperEarliestDate(M30,Trigger),"--")</f>
        <v>43999</v>
      </c>
      <c r="T30" s="99">
        <f>IFERROR(_xll.qlRateHelperPillarDate(M30,Trigger),"--")</f>
        <v>44090</v>
      </c>
      <c r="V30" s="4" t="str">
        <f t="shared" si="0"/>
        <v/>
      </c>
      <c r="W30" s="4" t="e">
        <v>#N/A</v>
      </c>
      <c r="X30" s="4" t="str">
        <f>IFERROR(_xll.qlRateHelperQuoteName(W30,Trigger),"")</f>
        <v/>
      </c>
      <c r="Y30" s="70" t="str">
        <f>IFERROR(_xll.qlRateHelperRate(W30,Trigger),"")</f>
        <v/>
      </c>
      <c r="Z30" s="104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70" t="e">
        <v>#N/A</v>
      </c>
      <c r="AD30" s="169">
        <v>62379</v>
      </c>
      <c r="AE30" s="170">
        <v>1.95301742691701E-2</v>
      </c>
      <c r="AF30" s="172">
        <f>_xll.qlYieldTSZeroRate(yieldcurve1_STD,$AD30,"ACTUAL/365 (FIXED)",,,TRUE,Trigger)-AE30</f>
        <v>-6.8923533966952499E-8</v>
      </c>
      <c r="AG30" s="161"/>
    </row>
    <row r="31" spans="1:33" ht="11.25" customHeight="1" x14ac:dyDescent="0.2">
      <c r="A31" s="59" t="s">
        <v>93</v>
      </c>
      <c r="B31" s="116" t="b">
        <v>1</v>
      </c>
      <c r="C31" s="62" t="str">
        <f>_xll.qlIMMNextCode($C30,$B31,Trigger)</f>
        <v>H0</v>
      </c>
      <c r="D31" s="123"/>
      <c r="E31" s="207">
        <f>_xll.qlIMMdate($C31,,Trigger)</f>
        <v>43908</v>
      </c>
      <c r="F31" s="207">
        <f>_xll.qlIMMNextDate($E31,,Trigger)</f>
        <v>43999</v>
      </c>
      <c r="G31" s="61" t="str">
        <f t="shared" si="7"/>
        <v>GbpLibor3M</v>
      </c>
      <c r="H31" s="119" t="str">
        <f t="shared" si="8"/>
        <v>FSSH0_LCHQuote</v>
      </c>
      <c r="I31" s="119">
        <v>0</v>
      </c>
      <c r="J31" s="64" t="str">
        <f>_xll.qlFuturesRateHelper(,$H31,,$E31,$G31,$I31,FALSE,"customdate",$F31,Permanent,Trigger,ObjectOverwrite)</f>
        <v>obj_0068e#0005</v>
      </c>
      <c r="K31" s="48"/>
      <c r="L31" s="10" t="str">
        <f t="shared" si="5"/>
        <v>FUT</v>
      </c>
      <c r="M31" s="94" t="str">
        <f t="shared" si="6"/>
        <v>obj_00688#0005</v>
      </c>
      <c r="N31" s="146" t="str">
        <f>IFERROR(_xll.qlRateHelperQuoteName(M31,Trigger),"--")</f>
        <v>FSSU0_LCHQuote</v>
      </c>
      <c r="O31" s="210" t="str">
        <f>IFERROR(_xll.qlRateHelperQuoteValue($M31,Trigger),"--")</f>
        <v>--</v>
      </c>
      <c r="P31" s="97" t="b">
        <v>0</v>
      </c>
      <c r="Q31" s="94">
        <v>20</v>
      </c>
      <c r="R31" s="94">
        <v>1</v>
      </c>
      <c r="S31" s="99">
        <f>IFERROR(_xll.qlRateHelperEarliestDate(M31,Trigger),"--")</f>
        <v>44090</v>
      </c>
      <c r="T31" s="99">
        <f>IFERROR(_xll.qlRateHelperPillarDate(M31,Trigger),"--")</f>
        <v>44181</v>
      </c>
      <c r="V31" s="4" t="str">
        <f t="shared" si="0"/>
        <v/>
      </c>
      <c r="W31" s="4" t="e">
        <v>#N/A</v>
      </c>
      <c r="X31" s="4" t="str">
        <f>IFERROR(_xll.qlRateHelperQuoteName(W31,Trigger),"")</f>
        <v/>
      </c>
      <c r="Y31" s="70" t="str">
        <f>IFERROR(_xll.qlRateHelperRate(W31,Trigger),"")</f>
        <v/>
      </c>
      <c r="Z31" s="104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70" t="e">
        <v>#N/A</v>
      </c>
      <c r="AD31" s="169">
        <v>64204</v>
      </c>
      <c r="AE31" s="170">
        <v>1.95532319659272E-2</v>
      </c>
      <c r="AF31" s="172">
        <f>_xll.qlYieldTSZeroRate(yieldcurve1_STD,$AD31,"ACTUAL/365 (FIXED)",,,TRUE,Trigger)-AE31</f>
        <v>-7.3354801819608406E-8</v>
      </c>
      <c r="AG31" s="161"/>
    </row>
    <row r="32" spans="1:33" ht="11.25" customHeight="1" x14ac:dyDescent="0.2">
      <c r="A32" s="59" t="s">
        <v>93</v>
      </c>
      <c r="B32" s="116" t="b">
        <v>1</v>
      </c>
      <c r="C32" s="62" t="str">
        <f>_xll.qlIMMNextCode($C31,$B32,Trigger)</f>
        <v>M0</v>
      </c>
      <c r="D32" s="123"/>
      <c r="E32" s="207">
        <f>_xll.qlIMMdate($C32,,Trigger)</f>
        <v>43999</v>
      </c>
      <c r="F32" s="207">
        <f>_xll.qlIMMNextDate($E32,,Trigger)</f>
        <v>44090</v>
      </c>
      <c r="G32" s="61" t="str">
        <f t="shared" si="7"/>
        <v>GbpLibor3M</v>
      </c>
      <c r="H32" s="119" t="str">
        <f t="shared" si="8"/>
        <v>FSSM0_LCHQuote</v>
      </c>
      <c r="I32" s="119">
        <v>0</v>
      </c>
      <c r="J32" s="64" t="str">
        <f>_xll.qlFuturesRateHelper(,$H32,,$E32,$G32,$I32,FALSE,"customdate",$F32,Permanent,Trigger,ObjectOverwrite)</f>
        <v>obj_00686#0005</v>
      </c>
      <c r="K32" s="48"/>
      <c r="L32" s="10" t="str">
        <f t="shared" si="5"/>
        <v>FUT</v>
      </c>
      <c r="M32" s="94" t="str">
        <f t="shared" si="6"/>
        <v>obj_00694#0005</v>
      </c>
      <c r="N32" s="146" t="str">
        <f>IFERROR(_xll.qlRateHelperQuoteName(M32,Trigger),"--")</f>
        <v>FSSZ0_LCHQuote</v>
      </c>
      <c r="O32" s="210" t="str">
        <f>IFERROR(_xll.qlRateHelperQuoteValue($M32,Trigger),"--")</f>
        <v>--</v>
      </c>
      <c r="P32" s="97" t="b">
        <v>0</v>
      </c>
      <c r="Q32" s="94">
        <v>20</v>
      </c>
      <c r="R32" s="94">
        <v>1</v>
      </c>
      <c r="S32" s="99">
        <f>IFERROR(_xll.qlRateHelperEarliestDate(M32,Trigger),"--")</f>
        <v>44181</v>
      </c>
      <c r="T32" s="99">
        <f>IFERROR(_xll.qlRateHelperPillarDate(M32,Trigger),"--")</f>
        <v>44272</v>
      </c>
      <c r="V32" s="4" t="str">
        <f t="shared" si="0"/>
        <v/>
      </c>
      <c r="W32" s="4" t="e">
        <v>#N/A</v>
      </c>
      <c r="X32" s="4" t="str">
        <f>IFERROR(_xll.qlRateHelperQuoteName(W32,Trigger),"")</f>
        <v/>
      </c>
      <c r="Y32" s="70" t="str">
        <f>IFERROR(_xll.qlRateHelperRate(W32,Trigger),"")</f>
        <v/>
      </c>
      <c r="Z32" s="104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70" t="e">
        <v>#N/A</v>
      </c>
      <c r="AD32" s="169" t="e">
        <v>#N/A</v>
      </c>
      <c r="AE32" s="170" t="e">
        <v>#N/A</v>
      </c>
      <c r="AF32" s="172" t="e">
        <f>_xll.qlYieldTSZeroRate(yieldcurve1_STD,$AD32,"ACTUAL/365 (FIXED)",,,TRUE,Trigger)-AE32</f>
        <v>#NUM!</v>
      </c>
      <c r="AG32" s="161"/>
    </row>
    <row r="33" spans="1:33" ht="11.25" customHeight="1" x14ac:dyDescent="0.2">
      <c r="A33" s="59" t="s">
        <v>93</v>
      </c>
      <c r="B33" s="116" t="b">
        <v>1</v>
      </c>
      <c r="C33" s="62" t="str">
        <f>_xll.qlIMMNextCode($C32,$B33,Trigger)</f>
        <v>U0</v>
      </c>
      <c r="D33" s="123"/>
      <c r="E33" s="207">
        <f>_xll.qlIMMdate($C33,,Trigger)</f>
        <v>44090</v>
      </c>
      <c r="F33" s="207">
        <f>_xll.qlIMMNextDate($E33,,Trigger)</f>
        <v>44181</v>
      </c>
      <c r="G33" s="61" t="str">
        <f t="shared" si="7"/>
        <v>GbpLibor3M</v>
      </c>
      <c r="H33" s="119" t="str">
        <f t="shared" si="8"/>
        <v>FSSU0_LCHQuote</v>
      </c>
      <c r="I33" s="119">
        <v>0</v>
      </c>
      <c r="J33" s="64" t="str">
        <f>_xll.qlFuturesRateHelper(,$H33,,$E33,$G33,$I33,FALSE,"customdate",$F33,Permanent,Trigger,ObjectOverwrite)</f>
        <v>obj_00688#0005</v>
      </c>
      <c r="K33" s="48"/>
      <c r="L33" s="10" t="str">
        <f t="shared" si="5"/>
        <v>FUT</v>
      </c>
      <c r="M33" s="94" t="str">
        <f t="shared" si="6"/>
        <v>obj_00691#0005</v>
      </c>
      <c r="N33" s="146" t="str">
        <f>IFERROR(_xll.qlRateHelperQuoteName(M33,Trigger),"--")</f>
        <v>FSSH1_LCHQuote</v>
      </c>
      <c r="O33" s="210" t="str">
        <f>IFERROR(_xll.qlRateHelperQuoteValue($M33,Trigger),"--")</f>
        <v>--</v>
      </c>
      <c r="P33" s="97" t="b">
        <v>0</v>
      </c>
      <c r="Q33" s="94">
        <v>20</v>
      </c>
      <c r="R33" s="94">
        <v>1</v>
      </c>
      <c r="S33" s="99">
        <f>IFERROR(_xll.qlRateHelperEarliestDate(M33,Trigger),"--")</f>
        <v>44272</v>
      </c>
      <c r="T33" s="99">
        <f>IFERROR(_xll.qlRateHelperPillarDate(M33,Trigger),"--")</f>
        <v>44363</v>
      </c>
      <c r="V33" s="4" t="str">
        <f t="shared" si="0"/>
        <v/>
      </c>
      <c r="W33" s="4" t="e">
        <v>#N/A</v>
      </c>
      <c r="X33" s="4" t="str">
        <f>IFERROR(_xll.qlRateHelperQuoteName(W33,Trigger),"")</f>
        <v/>
      </c>
      <c r="Y33" s="70" t="str">
        <f>IFERROR(_xll.qlRateHelperRate(W33,Trigger),"")</f>
        <v/>
      </c>
      <c r="Z33" s="104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70" t="e">
        <v>#N/A</v>
      </c>
      <c r="AD33" s="169" t="e">
        <v>#N/A</v>
      </c>
      <c r="AE33" s="170" t="e">
        <v>#N/A</v>
      </c>
      <c r="AF33" s="172" t="e">
        <f>_xll.qlYieldTSZeroRate(yieldcurve1_STD,$AD33,"ACTUAL/365 (FIXED)",,,TRUE,Trigger)-AE33</f>
        <v>#NUM!</v>
      </c>
      <c r="AG33" s="161"/>
    </row>
    <row r="34" spans="1:33" ht="11.25" customHeight="1" x14ac:dyDescent="0.2">
      <c r="A34" s="59" t="s">
        <v>93</v>
      </c>
      <c r="B34" s="116" t="b">
        <v>1</v>
      </c>
      <c r="C34" s="62" t="str">
        <f>_xll.qlIMMNextCode($C33,$B34,Trigger)</f>
        <v>Z0</v>
      </c>
      <c r="D34" s="123"/>
      <c r="E34" s="207">
        <f>_xll.qlIMMdate($C34,,Trigger)</f>
        <v>44181</v>
      </c>
      <c r="F34" s="207">
        <f>_xll.qlIMMNextDate($E34,,Trigger)</f>
        <v>44272</v>
      </c>
      <c r="G34" s="61" t="str">
        <f t="shared" si="7"/>
        <v>GbpLibor3M</v>
      </c>
      <c r="H34" s="119" t="str">
        <f t="shared" si="8"/>
        <v>FSSZ0_LCHQuote</v>
      </c>
      <c r="I34" s="119">
        <v>0</v>
      </c>
      <c r="J34" s="64" t="str">
        <f>_xll.qlFuturesRateHelper(,$H34,,$E34,$G34,$I34,FALSE,"customdate",$F34,Permanent,Trigger,ObjectOverwrite)</f>
        <v>obj_00694#0005</v>
      </c>
      <c r="K34" s="48"/>
      <c r="L34" s="10" t="str">
        <f t="shared" si="5"/>
        <v>FUT</v>
      </c>
      <c r="M34" s="94" t="str">
        <f t="shared" si="6"/>
        <v>obj_00692#0005</v>
      </c>
      <c r="N34" s="146" t="str">
        <f>IFERROR(_xll.qlRateHelperQuoteName(M34,Trigger),"--")</f>
        <v>FSSM1_LCHQuote</v>
      </c>
      <c r="O34" s="210" t="str">
        <f>IFERROR(_xll.qlRateHelperQuoteValue($M34,Trigger),"--")</f>
        <v>--</v>
      </c>
      <c r="P34" s="97" t="b">
        <v>0</v>
      </c>
      <c r="Q34" s="94">
        <v>20</v>
      </c>
      <c r="R34" s="94">
        <v>1</v>
      </c>
      <c r="S34" s="99">
        <f>IFERROR(_xll.qlRateHelperEarliestDate(M34,Trigger),"--")</f>
        <v>44363</v>
      </c>
      <c r="T34" s="99">
        <f>IFERROR(_xll.qlRateHelperPillarDate(M34,Trigger),"--")</f>
        <v>44454</v>
      </c>
      <c r="V34" s="4" t="str">
        <f t="shared" si="0"/>
        <v/>
      </c>
      <c r="W34" s="4" t="e">
        <v>#N/A</v>
      </c>
      <c r="X34" s="4" t="str">
        <f>IFERROR(_xll.qlRateHelperQuoteName(W34,Trigger),"")</f>
        <v/>
      </c>
      <c r="Y34" s="70" t="str">
        <f>IFERROR(_xll.qlRateHelperRate(W34,Trigger),"")</f>
        <v/>
      </c>
      <c r="Z34" s="104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70" t="e">
        <v>#N/A</v>
      </c>
      <c r="AD34" s="169" t="e">
        <v>#N/A</v>
      </c>
      <c r="AE34" s="170" t="e">
        <v>#N/A</v>
      </c>
      <c r="AF34" s="172" t="e">
        <f>_xll.qlYieldTSZeroRate(yieldcurve1_STD,$AD34,"ACTUAL/365 (FIXED)",,,TRUE,Trigger)-AE34</f>
        <v>#NUM!</v>
      </c>
      <c r="AG34" s="161"/>
    </row>
    <row r="35" spans="1:33" ht="11.25" customHeight="1" x14ac:dyDescent="0.2">
      <c r="A35" s="59" t="s">
        <v>93</v>
      </c>
      <c r="B35" s="116" t="b">
        <v>1</v>
      </c>
      <c r="C35" s="62" t="str">
        <f>_xll.qlIMMNextCode($C34,$B35,Trigger)</f>
        <v>H1</v>
      </c>
      <c r="D35" s="123"/>
      <c r="E35" s="207">
        <f>_xll.qlIMMdate($C35,,Trigger)</f>
        <v>44272</v>
      </c>
      <c r="F35" s="207">
        <f>_xll.qlIMMNextDate($E35,,Trigger)</f>
        <v>44363</v>
      </c>
      <c r="G35" s="61" t="str">
        <f t="shared" si="7"/>
        <v>GbpLibor3M</v>
      </c>
      <c r="H35" s="119" t="str">
        <f t="shared" si="8"/>
        <v>FSSH1_LCHQuote</v>
      </c>
      <c r="I35" s="119">
        <v>0</v>
      </c>
      <c r="J35" s="64" t="str">
        <f>_xll.qlFuturesRateHelper(,$H35,,$E35,$G35,$I35,FALSE,"customdate",$F35,Permanent,Trigger,ObjectOverwrite)</f>
        <v>obj_00691#0005</v>
      </c>
      <c r="K35" s="48"/>
      <c r="L35" s="10" t="str">
        <f t="shared" si="5"/>
        <v>FUT</v>
      </c>
      <c r="M35" s="94" t="str">
        <f t="shared" si="6"/>
        <v>obj_00693#0005</v>
      </c>
      <c r="N35" s="146" t="str">
        <f>IFERROR(_xll.qlRateHelperQuoteName(M35,Trigger),"--")</f>
        <v>FSSU1_LCHQuote</v>
      </c>
      <c r="O35" s="210" t="str">
        <f>IFERROR(_xll.qlRateHelperQuoteValue($M35,Trigger),"--")</f>
        <v>--</v>
      </c>
      <c r="P35" s="97" t="b">
        <v>0</v>
      </c>
      <c r="Q35" s="94">
        <v>20</v>
      </c>
      <c r="R35" s="94">
        <v>1</v>
      </c>
      <c r="S35" s="99">
        <f>IFERROR(_xll.qlRateHelperEarliestDate(M35,Trigger),"--")</f>
        <v>44454</v>
      </c>
      <c r="T35" s="99">
        <f>IFERROR(_xll.qlRateHelperPillarDate(M35,Trigger),"--")</f>
        <v>44545</v>
      </c>
      <c r="V35" s="4" t="str">
        <f t="shared" ref="V35:V66" si="9">IFERROR(INDEX($L$3:$L$72,MATCH(X35,$N$3:$N$72,0),1),"")</f>
        <v/>
      </c>
      <c r="W35" s="4" t="e">
        <v>#N/A</v>
      </c>
      <c r="X35" s="4" t="str">
        <f>IFERROR(_xll.qlRateHelperQuoteName(W35,Trigger),"")</f>
        <v/>
      </c>
      <c r="Y35" s="70" t="str">
        <f>IFERROR(_xll.qlRateHelperRate(W35,Trigger),"")</f>
        <v/>
      </c>
      <c r="Z35" s="104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70" t="e">
        <v>#N/A</v>
      </c>
      <c r="AD35" s="169" t="e">
        <v>#N/A</v>
      </c>
      <c r="AE35" s="170" t="e">
        <v>#N/A</v>
      </c>
      <c r="AF35" s="172" t="e">
        <f>_xll.qlYieldTSZeroRate(yieldcurve1_STD,$AD35,"ACTUAL/365 (FIXED)",,,TRUE,Trigger)-AE35</f>
        <v>#NUM!</v>
      </c>
      <c r="AG35" s="161"/>
    </row>
    <row r="36" spans="1:33" ht="11.25" customHeight="1" x14ac:dyDescent="0.2">
      <c r="A36" s="59" t="s">
        <v>93</v>
      </c>
      <c r="B36" s="116" t="b">
        <v>1</v>
      </c>
      <c r="C36" s="62" t="str">
        <f>_xll.qlIMMNextCode($C35,$B36,Trigger)</f>
        <v>M1</v>
      </c>
      <c r="D36" s="123"/>
      <c r="E36" s="207">
        <f>_xll.qlIMMdate($C36,,Trigger)</f>
        <v>44363</v>
      </c>
      <c r="F36" s="207">
        <f>_xll.qlIMMNextDate($E36,,Trigger)</f>
        <v>44454</v>
      </c>
      <c r="G36" s="61" t="str">
        <f t="shared" si="7"/>
        <v>GbpLibor3M</v>
      </c>
      <c r="H36" s="119" t="str">
        <f t="shared" si="8"/>
        <v>FSSM1_LCHQuote</v>
      </c>
      <c r="I36" s="119">
        <v>0</v>
      </c>
      <c r="J36" s="64" t="str">
        <f>_xll.qlFuturesRateHelper(,$H36,,$E36,$G36,$I36,FALSE,"customdate",$F36,Permanent,Trigger,ObjectOverwrite)</f>
        <v>obj_00692#0005</v>
      </c>
      <c r="K36" s="48"/>
      <c r="L36" s="68" t="str">
        <f t="shared" ref="L36:L72" si="10">A40</f>
        <v>Sw</v>
      </c>
      <c r="M36" s="131" t="str">
        <f t="shared" ref="M36" si="11">IF(ISBLANK(J40),"--",J40)</f>
        <v>obj_005f1#0005</v>
      </c>
      <c r="N36" s="145" t="str">
        <f>IFERROR(_xll.qlRateHelperQuoteName(M36,Trigger),"--")</f>
        <v>GBPSB6L1Y_LCHQuote</v>
      </c>
      <c r="O36" s="133" t="str">
        <f>IFERROR(_xll.qlRateHelperQuoteValue($M36,Trigger),"--")</f>
        <v>--</v>
      </c>
      <c r="P36" s="132" t="b">
        <v>0</v>
      </c>
      <c r="Q36" s="131">
        <v>10</v>
      </c>
      <c r="R36" s="131">
        <v>1</v>
      </c>
      <c r="S36" s="134">
        <f>IFERROR(_xll.qlRateHelperEarliestDate(M36,Trigger),"--")</f>
        <v>42304</v>
      </c>
      <c r="T36" s="134">
        <f>IFERROR(_xll.qlRateHelperPillarDate(M36,Trigger),"--")</f>
        <v>42670</v>
      </c>
      <c r="V36" s="4" t="str">
        <f t="shared" si="9"/>
        <v/>
      </c>
      <c r="W36" s="4" t="e">
        <v>#N/A</v>
      </c>
      <c r="X36" s="4" t="str">
        <f>IFERROR(_xll.qlRateHelperQuoteName(W36,Trigger),"")</f>
        <v/>
      </c>
      <c r="Y36" s="70" t="str">
        <f>IFERROR(_xll.qlRateHelperRate(W36,Trigger),"")</f>
        <v/>
      </c>
      <c r="Z36" s="104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70" t="e">
        <v>#N/A</v>
      </c>
      <c r="AD36" s="169" t="e">
        <v>#N/A</v>
      </c>
      <c r="AE36" s="170" t="e">
        <v>#N/A</v>
      </c>
      <c r="AF36" s="172" t="e">
        <f>_xll.qlYieldTSZeroRate(yieldcurve1_STD,$AD36,"ACTUAL/365 (FIXED)",,,TRUE,Trigger)-AE36</f>
        <v>#NUM!</v>
      </c>
      <c r="AG36" s="161"/>
    </row>
    <row r="37" spans="1:33" ht="11.25" customHeight="1" x14ac:dyDescent="0.2">
      <c r="A37" s="1" t="s">
        <v>93</v>
      </c>
      <c r="B37" s="117" t="b">
        <v>1</v>
      </c>
      <c r="C37" s="9" t="str">
        <f>_xll.qlIMMNextCode($C36,$B37,Trigger)</f>
        <v>U1</v>
      </c>
      <c r="D37" s="124"/>
      <c r="E37" s="208">
        <f>_xll.qlIMMdate($C37,,Trigger)</f>
        <v>44454</v>
      </c>
      <c r="F37" s="208">
        <f>_xll.qlIMMNextDate($E37,,Trigger)</f>
        <v>44545</v>
      </c>
      <c r="G37" s="7" t="str">
        <f t="shared" si="7"/>
        <v>GbpLibor3M</v>
      </c>
      <c r="H37" s="120" t="str">
        <f t="shared" si="8"/>
        <v>FSSU1_LCHQuote</v>
      </c>
      <c r="I37" s="120">
        <v>0</v>
      </c>
      <c r="J37" s="3" t="str">
        <f>_xll.qlFuturesRateHelper(,$H37,,$E37,$G37,$I37,FALSE,"customdate",$F37,Permanent,Trigger,ObjectOverwrite)</f>
        <v>obj_00693#0005</v>
      </c>
      <c r="K37" s="48"/>
      <c r="L37" s="10" t="str">
        <f t="shared" si="10"/>
        <v>Sw</v>
      </c>
      <c r="M37" s="94" t="str">
        <f t="shared" ref="M37:M72" si="12">IF(ISBLANK(J41),"--",J41)</f>
        <v>obj_0060f#0005</v>
      </c>
      <c r="N37" s="146" t="str">
        <f>IFERROR(_xll.qlRateHelperQuoteName(M37,Trigger),"--")</f>
        <v>GBPSB6L15M_LCHQuote</v>
      </c>
      <c r="O37" s="98" t="str">
        <f>IFERROR(_xll.qlRateHelperQuoteValue($M37,Trigger),"--")</f>
        <v>--</v>
      </c>
      <c r="P37" s="97" t="b">
        <v>0</v>
      </c>
      <c r="Q37" s="94">
        <v>10</v>
      </c>
      <c r="R37" s="94">
        <v>1</v>
      </c>
      <c r="S37" s="99">
        <f>IFERROR(_xll.qlRateHelperEarliestDate(M37,Trigger),"--")</f>
        <v>42304</v>
      </c>
      <c r="T37" s="99">
        <f>IFERROR(_xll.qlRateHelperPillarDate(M37,Trigger),"--")</f>
        <v>42762</v>
      </c>
      <c r="V37" s="4" t="str">
        <f t="shared" si="9"/>
        <v/>
      </c>
      <c r="W37" s="4" t="e">
        <v>#N/A</v>
      </c>
      <c r="X37" s="4" t="str">
        <f>IFERROR(_xll.qlRateHelperQuoteName(W37,Trigger),"")</f>
        <v/>
      </c>
      <c r="Y37" s="70" t="str">
        <f>IFERROR(_xll.qlRateHelperRate(W37,Trigger),"")</f>
        <v/>
      </c>
      <c r="Z37" s="104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70" t="e">
        <v>#N/A</v>
      </c>
      <c r="AD37" s="169" t="e">
        <v>#N/A</v>
      </c>
      <c r="AE37" s="170" t="e">
        <v>#N/A</v>
      </c>
      <c r="AF37" s="172" t="e">
        <f>_xll.qlYieldTSZeroRate(yieldcurve1_STD,$AD37,"ACTUAL/365 (FIXED)",,,TRUE,Trigger)-AE37</f>
        <v>#NUM!</v>
      </c>
      <c r="AG37" s="161"/>
    </row>
    <row r="38" spans="1:33" ht="11.25" customHeight="1" x14ac:dyDescent="0.2">
      <c r="B38" s="46"/>
      <c r="C38" s="46"/>
      <c r="D38" s="46"/>
      <c r="E38" s="46"/>
      <c r="G38" s="50" t="s">
        <v>160</v>
      </c>
      <c r="H38" s="50" t="s">
        <v>152</v>
      </c>
      <c r="K38" s="48"/>
      <c r="L38" s="10" t="str">
        <f t="shared" si="10"/>
        <v>Sw</v>
      </c>
      <c r="M38" s="94" t="str">
        <f t="shared" si="12"/>
        <v>obj_00614#0005</v>
      </c>
      <c r="N38" s="146" t="str">
        <f>IFERROR(_xll.qlRateHelperQuoteName(M38,Trigger),"--")</f>
        <v>GBPSB6L18M_LCHQuote</v>
      </c>
      <c r="O38" s="98" t="str">
        <f>IFERROR(_xll.qlRateHelperQuoteValue($M38,Trigger),"--")</f>
        <v>--</v>
      </c>
      <c r="P38" s="97" t="b">
        <v>0</v>
      </c>
      <c r="Q38" s="94">
        <v>10</v>
      </c>
      <c r="R38" s="94">
        <v>1</v>
      </c>
      <c r="S38" s="99">
        <f>IFERROR(_xll.qlRateHelperEarliestDate(M38,Trigger),"--")</f>
        <v>42304</v>
      </c>
      <c r="T38" s="99">
        <f>IFERROR(_xll.qlRateHelperPillarDate(M38,Trigger),"--")</f>
        <v>42852</v>
      </c>
      <c r="V38" s="4" t="str">
        <f t="shared" si="9"/>
        <v/>
      </c>
      <c r="W38" s="4" t="e">
        <v>#N/A</v>
      </c>
      <c r="X38" s="4" t="str">
        <f>IFERROR(_xll.qlRateHelperQuoteName(W38,Trigger),"")</f>
        <v/>
      </c>
      <c r="Y38" s="70" t="str">
        <f>IFERROR(_xll.qlRateHelperRate(W38,Trigger),"")</f>
        <v/>
      </c>
      <c r="Z38" s="104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70" t="e">
        <v>#N/A</v>
      </c>
      <c r="AD38" s="169" t="e">
        <v>#N/A</v>
      </c>
      <c r="AE38" s="170" t="e">
        <v>#N/A</v>
      </c>
      <c r="AF38" s="172" t="e">
        <f>_xll.qlYieldTSZeroRate(yieldcurve1_STD,$AD38,"ACTUAL/365 (FIXED)",,,TRUE,Trigger)-AE38</f>
        <v>#NUM!</v>
      </c>
      <c r="AG38" s="161"/>
    </row>
    <row r="39" spans="1:33" ht="11.25" customHeight="1" x14ac:dyDescent="0.2">
      <c r="A39" s="65" t="s">
        <v>9</v>
      </c>
      <c r="B39" s="65" t="s">
        <v>28</v>
      </c>
      <c r="C39" s="65" t="s">
        <v>113</v>
      </c>
      <c r="D39" s="65" t="s">
        <v>5</v>
      </c>
      <c r="E39" s="65" t="s">
        <v>33</v>
      </c>
      <c r="F39" s="65" t="s">
        <v>114</v>
      </c>
      <c r="G39" s="65" t="s">
        <v>4</v>
      </c>
      <c r="H39" s="65" t="s">
        <v>1</v>
      </c>
      <c r="I39" s="65" t="s">
        <v>112</v>
      </c>
      <c r="J39" s="65" t="s">
        <v>24</v>
      </c>
      <c r="K39" s="48"/>
      <c r="L39" s="10" t="str">
        <f t="shared" si="10"/>
        <v>Sw</v>
      </c>
      <c r="M39" s="94" t="str">
        <f t="shared" si="12"/>
        <v>obj_005ff#0005</v>
      </c>
      <c r="N39" s="146" t="str">
        <f>IFERROR(_xll.qlRateHelperQuoteName(M39,Trigger),"--")</f>
        <v>GBPSB6L21M_LCHQuote</v>
      </c>
      <c r="O39" s="98" t="str">
        <f>IFERROR(_xll.qlRateHelperQuoteValue($M39,Trigger),"--")</f>
        <v>--</v>
      </c>
      <c r="P39" s="97" t="b">
        <v>0</v>
      </c>
      <c r="Q39" s="94">
        <v>10</v>
      </c>
      <c r="R39" s="94">
        <v>1</v>
      </c>
      <c r="S39" s="99">
        <f>IFERROR(_xll.qlRateHelperEarliestDate(M39,Trigger),"--")</f>
        <v>42304</v>
      </c>
      <c r="T39" s="99">
        <f>IFERROR(_xll.qlRateHelperPillarDate(M39,Trigger),"--")</f>
        <v>42943</v>
      </c>
      <c r="V39" s="4" t="str">
        <f t="shared" si="9"/>
        <v/>
      </c>
      <c r="W39" s="4" t="e">
        <v>#N/A</v>
      </c>
      <c r="X39" s="4" t="str">
        <f>IFERROR(_xll.qlRateHelperQuoteName(W39,Trigger),"")</f>
        <v/>
      </c>
      <c r="Y39" s="70" t="str">
        <f>IFERROR(_xll.qlRateHelperRate(W39,Trigger),"")</f>
        <v/>
      </c>
      <c r="Z39" s="104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70" t="e">
        <v>#N/A</v>
      </c>
      <c r="AD39" s="169" t="e">
        <v>#N/A</v>
      </c>
      <c r="AE39" s="170" t="e">
        <v>#N/A</v>
      </c>
      <c r="AF39" s="172" t="e">
        <f>_xll.qlYieldTSZeroRate(yieldcurve1_STD,$AD39,"ACTUAL/365 (FIXED)",,,TRUE,Trigger)-AE39</f>
        <v>#NUM!</v>
      </c>
      <c r="AG39" s="161"/>
    </row>
    <row r="40" spans="1:33" ht="11.25" customHeight="1" x14ac:dyDescent="0.2">
      <c r="A40" s="53" t="s">
        <v>25</v>
      </c>
      <c r="B40" s="54" t="s">
        <v>27</v>
      </c>
      <c r="C40" s="55" t="s">
        <v>6</v>
      </c>
      <c r="D40" s="55" t="s">
        <v>158</v>
      </c>
      <c r="E40" s="55" t="s">
        <v>7</v>
      </c>
      <c r="F40" s="55" t="s">
        <v>159</v>
      </c>
      <c r="G40" s="55" t="str">
        <f t="shared" ref="G40:G76" si="13">PROPER(Currency)&amp;FamilyName&amp;"3M"</f>
        <v>GbpLibor3M</v>
      </c>
      <c r="H40" s="53" t="str">
        <f t="shared" ref="H40:H76" si="14">IF(LCHQuoteOverwrite,Currency&amp;$G$38&amp;$H$38&amp;$B40&amp;LCHQuoteSuffix,Currency&amp;$G$38&amp;$H$38&amp;$B40&amp;QuoteSuffix)</f>
        <v>GBPSB6L1Y_LCHQuote</v>
      </c>
      <c r="I40" s="126">
        <v>0</v>
      </c>
      <c r="J40" s="64" t="str">
        <f>_xll.qlSwapRateHelper2(,$H40,0,$B40,Calendar,$D40,$E40,$F40,$G40,$I40,$C40,,PillarDate,,Permanent,Trigger,ObjectOverwrite)</f>
        <v>obj_005f1#0005</v>
      </c>
      <c r="K40" s="48"/>
      <c r="L40" s="10" t="str">
        <f t="shared" si="10"/>
        <v>Sw</v>
      </c>
      <c r="M40" s="94" t="str">
        <f t="shared" si="12"/>
        <v>obj_00619#0005</v>
      </c>
      <c r="N40" s="146" t="str">
        <f>IFERROR(_xll.qlRateHelperQuoteName(M40,Trigger),"--")</f>
        <v>GBPSB6L2Y_LCHQuote</v>
      </c>
      <c r="O40" s="98">
        <f>IFERROR(_xll.qlRateHelperQuoteValue($M40,Trigger),"--")</f>
        <v>9.1795000000000002E-3</v>
      </c>
      <c r="P40" s="97" t="b">
        <v>0</v>
      </c>
      <c r="Q40" s="94">
        <v>10</v>
      </c>
      <c r="R40" s="94">
        <v>1</v>
      </c>
      <c r="S40" s="99">
        <f>IFERROR(_xll.qlRateHelperEarliestDate(M40,Trigger),"--")</f>
        <v>42304</v>
      </c>
      <c r="T40" s="99">
        <f>IFERROR(_xll.qlRateHelperPillarDate(M40,Trigger),"--")</f>
        <v>43035</v>
      </c>
      <c r="V40" s="4" t="str">
        <f t="shared" si="9"/>
        <v/>
      </c>
      <c r="W40" s="4" t="e">
        <v>#N/A</v>
      </c>
      <c r="X40" s="4" t="str">
        <f>IFERROR(_xll.qlRateHelperQuoteName(W40,Trigger),"")</f>
        <v/>
      </c>
      <c r="Y40" s="70" t="str">
        <f>IFERROR(_xll.qlRateHelperRate(W40,Trigger),"")</f>
        <v/>
      </c>
      <c r="Z40" s="104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70" t="e">
        <v>#N/A</v>
      </c>
      <c r="AD40" s="169" t="e">
        <v>#N/A</v>
      </c>
      <c r="AE40" s="170" t="e">
        <v>#N/A</v>
      </c>
      <c r="AF40" s="172" t="e">
        <f>_xll.qlYieldTSZeroRate(yieldcurve1_STD,$AD40,"ACTUAL/365 (FIXED)",,,TRUE,Trigger)-AE40</f>
        <v>#NUM!</v>
      </c>
    </row>
    <row r="41" spans="1:33" ht="11.25" customHeight="1" x14ac:dyDescent="0.2">
      <c r="A41" s="59" t="s">
        <v>25</v>
      </c>
      <c r="B41" s="60" t="s">
        <v>48</v>
      </c>
      <c r="C41" s="61" t="s">
        <v>6</v>
      </c>
      <c r="D41" s="61" t="s">
        <v>158</v>
      </c>
      <c r="E41" s="61" t="s">
        <v>7</v>
      </c>
      <c r="F41" s="61" t="s">
        <v>159</v>
      </c>
      <c r="G41" s="61" t="str">
        <f t="shared" si="13"/>
        <v>GbpLibor3M</v>
      </c>
      <c r="H41" s="59" t="str">
        <f t="shared" si="14"/>
        <v>GBPSB6L15M_LCHQuote</v>
      </c>
      <c r="I41" s="127">
        <v>0</v>
      </c>
      <c r="J41" s="64" t="str">
        <f>_xll.qlSwapRateHelper2(,$H41,0,$B41,Calendar,$D41,$E41,$F41,$G41,$I41,$C41,,PillarDate,,Permanent,Trigger,ObjectOverwrite)</f>
        <v>obj_0060f#0005</v>
      </c>
      <c r="K41" s="48"/>
      <c r="L41" s="10" t="str">
        <f t="shared" si="10"/>
        <v>Sw</v>
      </c>
      <c r="M41" s="94" t="str">
        <f t="shared" si="12"/>
        <v>obj_005fd#0005</v>
      </c>
      <c r="N41" s="146" t="str">
        <f>IFERROR(_xll.qlRateHelperQuoteName(M41,Trigger),"--")</f>
        <v>GBPSB6L3Y_LCHQuote</v>
      </c>
      <c r="O41" s="98">
        <f>IFERROR(_xll.qlRateHelperQuoteValue($M41,Trigger),"--")</f>
        <v>1.0783249999999999E-2</v>
      </c>
      <c r="P41" s="97" t="b">
        <v>1</v>
      </c>
      <c r="Q41" s="94">
        <v>10</v>
      </c>
      <c r="R41" s="94">
        <v>1</v>
      </c>
      <c r="S41" s="99">
        <f>IFERROR(_xll.qlRateHelperEarliestDate(M41,Trigger),"--")</f>
        <v>42304</v>
      </c>
      <c r="T41" s="99">
        <f>IFERROR(_xll.qlRateHelperPillarDate(M41,Trigger),"--")</f>
        <v>43402</v>
      </c>
      <c r="V41" s="4" t="str">
        <f t="shared" si="9"/>
        <v/>
      </c>
      <c r="W41" s="4" t="e">
        <v>#N/A</v>
      </c>
      <c r="X41" s="4" t="str">
        <f>IFERROR(_xll.qlRateHelperQuoteName(W41,Trigger),"")</f>
        <v/>
      </c>
      <c r="Y41" s="70" t="str">
        <f>IFERROR(_xll.qlRateHelperRate(W41,Trigger),"")</f>
        <v/>
      </c>
      <c r="Z41" s="104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70" t="e">
        <v>#N/A</v>
      </c>
      <c r="AD41" s="169" t="e">
        <v>#N/A</v>
      </c>
      <c r="AE41" s="170" t="e">
        <v>#N/A</v>
      </c>
      <c r="AF41" s="172" t="e">
        <f>_xll.qlYieldTSZeroRate(yieldcurve1_STD,$AD41,"ACTUAL/365 (FIXED)",,,TRUE,Trigger)-AE41</f>
        <v>#NUM!</v>
      </c>
    </row>
    <row r="42" spans="1:33" ht="11.25" customHeight="1" x14ac:dyDescent="0.2">
      <c r="A42" s="59" t="s">
        <v>25</v>
      </c>
      <c r="B42" s="60" t="s">
        <v>49</v>
      </c>
      <c r="C42" s="61" t="s">
        <v>6</v>
      </c>
      <c r="D42" s="61" t="s">
        <v>158</v>
      </c>
      <c r="E42" s="61" t="s">
        <v>7</v>
      </c>
      <c r="F42" s="61" t="s">
        <v>159</v>
      </c>
      <c r="G42" s="61" t="str">
        <f t="shared" si="13"/>
        <v>GbpLibor3M</v>
      </c>
      <c r="H42" s="59" t="str">
        <f t="shared" si="14"/>
        <v>GBPSB6L18M_LCHQuote</v>
      </c>
      <c r="I42" s="127">
        <v>0</v>
      </c>
      <c r="J42" s="64" t="str">
        <f>_xll.qlSwapRateHelper2(,$H42,0,$B42,Calendar,$D42,$E42,$F42,$G42,$I42,$C42,,PillarDate,,Permanent,Trigger,ObjectOverwrite)</f>
        <v>obj_00614#0005</v>
      </c>
      <c r="K42" s="48"/>
      <c r="L42" s="10" t="str">
        <f t="shared" si="10"/>
        <v>Sw</v>
      </c>
      <c r="M42" s="94" t="str">
        <f t="shared" si="12"/>
        <v>obj_00617#0005</v>
      </c>
      <c r="N42" s="146" t="str">
        <f>IFERROR(_xll.qlRateHelperQuoteName(M42,Trigger),"--")</f>
        <v>GBPSB6L4Y_LCHQuote</v>
      </c>
      <c r="O42" s="98">
        <f>IFERROR(_xll.qlRateHelperQuoteValue($M42,Trigger),"--")</f>
        <v>1.2314E-2</v>
      </c>
      <c r="P42" s="97" t="b">
        <v>1</v>
      </c>
      <c r="Q42" s="94">
        <v>10</v>
      </c>
      <c r="R42" s="94">
        <v>1</v>
      </c>
      <c r="S42" s="99">
        <f>IFERROR(_xll.qlRateHelperEarliestDate(M42,Trigger),"--")</f>
        <v>42304</v>
      </c>
      <c r="T42" s="99">
        <f>IFERROR(_xll.qlRateHelperPillarDate(M42,Trigger),"--")</f>
        <v>43766</v>
      </c>
      <c r="V42" s="4" t="str">
        <f t="shared" si="9"/>
        <v/>
      </c>
      <c r="W42" s="4" t="e">
        <v>#N/A</v>
      </c>
      <c r="X42" s="4" t="str">
        <f>IFERROR(_xll.qlRateHelperQuoteName(W42,Trigger),"")</f>
        <v/>
      </c>
      <c r="Y42" s="70" t="str">
        <f>IFERROR(_xll.qlRateHelperRate(W42,Trigger),"")</f>
        <v/>
      </c>
      <c r="Z42" s="104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70" t="e">
        <v>#N/A</v>
      </c>
      <c r="AD42" s="169" t="e">
        <v>#N/A</v>
      </c>
      <c r="AE42" s="170" t="e">
        <v>#N/A</v>
      </c>
      <c r="AF42" s="172" t="e">
        <f>_xll.qlYieldTSZeroRate(yieldcurve1_STD,$AD42,"ACTUAL/365 (FIXED)",,,TRUE,Trigger)-AE42</f>
        <v>#NUM!</v>
      </c>
    </row>
    <row r="43" spans="1:33" ht="11.25" customHeight="1" x14ac:dyDescent="0.2">
      <c r="A43" s="59" t="s">
        <v>25</v>
      </c>
      <c r="B43" s="60" t="s">
        <v>50</v>
      </c>
      <c r="C43" s="61" t="s">
        <v>6</v>
      </c>
      <c r="D43" s="61" t="s">
        <v>158</v>
      </c>
      <c r="E43" s="61" t="s">
        <v>7</v>
      </c>
      <c r="F43" s="61" t="s">
        <v>159</v>
      </c>
      <c r="G43" s="61" t="str">
        <f t="shared" si="13"/>
        <v>GbpLibor3M</v>
      </c>
      <c r="H43" s="59" t="str">
        <f t="shared" si="14"/>
        <v>GBPSB6L21M_LCHQuote</v>
      </c>
      <c r="I43" s="127">
        <v>0</v>
      </c>
      <c r="J43" s="64" t="str">
        <f>_xll.qlSwapRateHelper2(,$H43,0,$B43,Calendar,$D43,$E43,$F43,$G43,$I43,$C43,,PillarDate,,Permanent,Trigger,ObjectOverwrite)</f>
        <v>obj_005ff#0005</v>
      </c>
      <c r="K43" s="48"/>
      <c r="L43" s="10" t="str">
        <f t="shared" si="10"/>
        <v>Sw</v>
      </c>
      <c r="M43" s="94" t="str">
        <f t="shared" si="12"/>
        <v>obj_00600#0005</v>
      </c>
      <c r="N43" s="146" t="str">
        <f>IFERROR(_xll.qlRateHelperQuoteName(M43,Trigger),"--")</f>
        <v>GBPSB6L5Y_LCHQuote</v>
      </c>
      <c r="O43" s="98">
        <f>IFERROR(_xll.qlRateHelperQuoteValue($M43,Trigger),"--")</f>
        <v>1.368925E-2</v>
      </c>
      <c r="P43" s="97" t="b">
        <v>1</v>
      </c>
      <c r="Q43" s="94">
        <v>10</v>
      </c>
      <c r="R43" s="94">
        <v>1</v>
      </c>
      <c r="S43" s="99">
        <f>IFERROR(_xll.qlRateHelperEarliestDate(M43,Trigger),"--")</f>
        <v>42304</v>
      </c>
      <c r="T43" s="99">
        <f>IFERROR(_xll.qlRateHelperPillarDate(M43,Trigger),"--")</f>
        <v>44131</v>
      </c>
      <c r="V43" s="4" t="str">
        <f t="shared" si="9"/>
        <v/>
      </c>
      <c r="W43" s="4" t="e">
        <v>#N/A</v>
      </c>
      <c r="X43" s="4" t="str">
        <f>IFERROR(_xll.qlRateHelperQuoteName(W43,Trigger),"")</f>
        <v/>
      </c>
      <c r="Y43" s="70" t="str">
        <f>IFERROR(_xll.qlRateHelperRate(W43,Trigger),"")</f>
        <v/>
      </c>
      <c r="Z43" s="104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70" t="e">
        <v>#N/A</v>
      </c>
      <c r="AD43" s="169" t="e">
        <v>#N/A</v>
      </c>
      <c r="AE43" s="170" t="e">
        <v>#N/A</v>
      </c>
      <c r="AF43" s="172" t="e">
        <f>_xll.qlYieldTSZeroRate(yieldcurve1_STD,$AD43,"ACTUAL/365 (FIXED)",,,TRUE,Trigger)-AE43</f>
        <v>#NUM!</v>
      </c>
    </row>
    <row r="44" spans="1:33" ht="11.25" customHeight="1" x14ac:dyDescent="0.2">
      <c r="A44" s="59" t="s">
        <v>25</v>
      </c>
      <c r="B44" s="60" t="s">
        <v>51</v>
      </c>
      <c r="C44" s="61" t="s">
        <v>6</v>
      </c>
      <c r="D44" s="61" t="s">
        <v>158</v>
      </c>
      <c r="E44" s="61" t="s">
        <v>7</v>
      </c>
      <c r="F44" s="61" t="s">
        <v>159</v>
      </c>
      <c r="G44" s="61" t="str">
        <f t="shared" si="13"/>
        <v>GbpLibor3M</v>
      </c>
      <c r="H44" s="59" t="str">
        <f t="shared" si="14"/>
        <v>GBPSB6L2Y_LCHQuote</v>
      </c>
      <c r="I44" s="127">
        <v>0</v>
      </c>
      <c r="J44" s="64" t="str">
        <f>_xll.qlSwapRateHelper2(,$H44,0,$B44,Calendar,$D44,$E44,$F44,$G44,$I44,$C44,,PillarDate,,Permanent,Trigger,ObjectOverwrite)</f>
        <v>obj_00619#0005</v>
      </c>
      <c r="K44" s="48"/>
      <c r="L44" s="10" t="str">
        <f t="shared" si="10"/>
        <v>Sw</v>
      </c>
      <c r="M44" s="94" t="str">
        <f t="shared" si="12"/>
        <v>obj_00610#0005</v>
      </c>
      <c r="N44" s="146" t="str">
        <f>IFERROR(_xll.qlRateHelperQuoteName(M44,Trigger),"--")</f>
        <v>GBPSB6L6Y_LCHQuote</v>
      </c>
      <c r="O44" s="98">
        <f>IFERROR(_xll.qlRateHelperQuoteValue($M44,Trigger),"--")</f>
        <v>1.4872E-2</v>
      </c>
      <c r="P44" s="97" t="b">
        <v>1</v>
      </c>
      <c r="Q44" s="94">
        <v>10</v>
      </c>
      <c r="R44" s="94">
        <v>1</v>
      </c>
      <c r="S44" s="99">
        <f>IFERROR(_xll.qlRateHelperEarliestDate(M44,Trigger),"--")</f>
        <v>42304</v>
      </c>
      <c r="T44" s="99">
        <f>IFERROR(_xll.qlRateHelperPillarDate(M44,Trigger),"--")</f>
        <v>44496</v>
      </c>
      <c r="V44" s="4" t="str">
        <f t="shared" si="9"/>
        <v/>
      </c>
      <c r="W44" s="4" t="e">
        <v>#N/A</v>
      </c>
      <c r="X44" s="4" t="str">
        <f>IFERROR(_xll.qlRateHelperQuoteName(W44,Trigger),"")</f>
        <v/>
      </c>
      <c r="Y44" s="70" t="str">
        <f>IFERROR(_xll.qlRateHelperRate(W44,Trigger),"")</f>
        <v/>
      </c>
      <c r="Z44" s="104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0" t="e">
        <v>#N/A</v>
      </c>
      <c r="AD44" s="169" t="e">
        <v>#N/A</v>
      </c>
      <c r="AE44" s="170" t="e">
        <v>#N/A</v>
      </c>
      <c r="AF44" s="172" t="e">
        <f>_xll.qlYieldTSZeroRate(yieldcurve1_STD,$AD44,"ACTUAL/365 (FIXED)",,,TRUE,Trigger)-AE44</f>
        <v>#NUM!</v>
      </c>
    </row>
    <row r="45" spans="1:33" ht="11.25" customHeight="1" x14ac:dyDescent="0.2">
      <c r="A45" s="59" t="s">
        <v>25</v>
      </c>
      <c r="B45" s="60" t="s">
        <v>52</v>
      </c>
      <c r="C45" s="61" t="s">
        <v>6</v>
      </c>
      <c r="D45" s="61" t="s">
        <v>158</v>
      </c>
      <c r="E45" s="61" t="s">
        <v>7</v>
      </c>
      <c r="F45" s="61" t="s">
        <v>159</v>
      </c>
      <c r="G45" s="61" t="str">
        <f t="shared" si="13"/>
        <v>GbpLibor3M</v>
      </c>
      <c r="H45" s="59" t="str">
        <f t="shared" si="14"/>
        <v>GBPSB6L3Y_LCHQuote</v>
      </c>
      <c r="I45" s="127">
        <v>0</v>
      </c>
      <c r="J45" s="64" t="str">
        <f>_xll.qlSwapRateHelper2(,$H45,0,$B45,Calendar,$D45,$E45,$F45,$G45,$I45,$C45,,PillarDate,,Permanent,Trigger,ObjectOverwrite)</f>
        <v>obj_005fd#0005</v>
      </c>
      <c r="K45" s="48"/>
      <c r="L45" s="10" t="str">
        <f t="shared" si="10"/>
        <v>Sw</v>
      </c>
      <c r="M45" s="94" t="str">
        <f t="shared" si="12"/>
        <v>obj_005fb#0005</v>
      </c>
      <c r="N45" s="146" t="str">
        <f>IFERROR(_xll.qlRateHelperQuoteName(M45,Trigger),"--")</f>
        <v>GBPSB6L7Y_LCHQuote</v>
      </c>
      <c r="O45" s="98">
        <f>IFERROR(_xll.qlRateHelperQuoteValue($M45,Trigger),"--")</f>
        <v>1.5837750000000001E-2</v>
      </c>
      <c r="P45" s="97" t="b">
        <v>1</v>
      </c>
      <c r="Q45" s="94">
        <v>10</v>
      </c>
      <c r="R45" s="94">
        <v>1</v>
      </c>
      <c r="S45" s="99">
        <f>IFERROR(_xll.qlRateHelperEarliestDate(M45,Trigger),"--")</f>
        <v>42304</v>
      </c>
      <c r="T45" s="99">
        <f>IFERROR(_xll.qlRateHelperPillarDate(M45,Trigger),"--")</f>
        <v>44861</v>
      </c>
      <c r="V45" s="4" t="str">
        <f t="shared" si="9"/>
        <v/>
      </c>
      <c r="W45" s="4" t="e">
        <v>#N/A</v>
      </c>
      <c r="X45" s="4" t="str">
        <f>IFERROR(_xll.qlRateHelperQuoteName(W45,Trigger),"")</f>
        <v/>
      </c>
      <c r="Y45" s="70" t="str">
        <f>IFERROR(_xll.qlRateHelperRate(W45,Trigger),"")</f>
        <v/>
      </c>
      <c r="Z45" s="104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0" t="e">
        <v>#N/A</v>
      </c>
      <c r="AD45" s="169" t="e">
        <v>#N/A</v>
      </c>
      <c r="AE45" s="170" t="e">
        <v>#N/A</v>
      </c>
      <c r="AF45" s="172" t="e">
        <f>_xll.qlYieldTSZeroRate(yieldcurve1_STD,$AD45,"ACTUAL/365 (FIXED)",,,TRUE,Trigger)-AE45</f>
        <v>#NUM!</v>
      </c>
    </row>
    <row r="46" spans="1:33" ht="11.25" customHeight="1" x14ac:dyDescent="0.2">
      <c r="A46" s="59" t="s">
        <v>25</v>
      </c>
      <c r="B46" s="60" t="s">
        <v>53</v>
      </c>
      <c r="C46" s="61" t="s">
        <v>6</v>
      </c>
      <c r="D46" s="61" t="s">
        <v>158</v>
      </c>
      <c r="E46" s="61" t="s">
        <v>7</v>
      </c>
      <c r="F46" s="61" t="s">
        <v>159</v>
      </c>
      <c r="G46" s="61" t="str">
        <f t="shared" si="13"/>
        <v>GbpLibor3M</v>
      </c>
      <c r="H46" s="59" t="str">
        <f t="shared" si="14"/>
        <v>GBPSB6L4Y_LCHQuote</v>
      </c>
      <c r="I46" s="127">
        <v>0</v>
      </c>
      <c r="J46" s="64" t="str">
        <f>_xll.qlSwapRateHelper2(,$H46,0,$B46,Calendar,$D46,$E46,$F46,$G46,$I46,$C46,,PillarDate,,Permanent,Trigger,ObjectOverwrite)</f>
        <v>obj_00617#0005</v>
      </c>
      <c r="L46" s="10" t="str">
        <f t="shared" si="10"/>
        <v>Sw</v>
      </c>
      <c r="M46" s="94" t="str">
        <f t="shared" si="12"/>
        <v>obj_00601#0005</v>
      </c>
      <c r="N46" s="146" t="str">
        <f>IFERROR(_xll.qlRateHelperQuoteName(M46,Trigger),"--")</f>
        <v>GBPSB6L8Y_LCHQuote</v>
      </c>
      <c r="O46" s="98">
        <f>IFERROR(_xll.qlRateHelperQuoteValue($M46,Trigger),"--")</f>
        <v>1.66415E-2</v>
      </c>
      <c r="P46" s="97" t="b">
        <v>1</v>
      </c>
      <c r="Q46" s="94">
        <v>10</v>
      </c>
      <c r="R46" s="94">
        <v>1</v>
      </c>
      <c r="S46" s="99">
        <f>IFERROR(_xll.qlRateHelperEarliestDate(M46,Trigger),"--")</f>
        <v>42304</v>
      </c>
      <c r="T46" s="99">
        <f>IFERROR(_xll.qlRateHelperPillarDate(M46,Trigger),"--")</f>
        <v>45226</v>
      </c>
      <c r="V46" s="4" t="str">
        <f t="shared" si="9"/>
        <v/>
      </c>
      <c r="W46" s="4" t="e">
        <v>#N/A</v>
      </c>
      <c r="X46" s="4" t="str">
        <f>IFERROR(_xll.qlRateHelperQuoteName(W46,Trigger),"")</f>
        <v/>
      </c>
      <c r="Y46" s="70" t="str">
        <f>IFERROR(_xll.qlRateHelperRate(W46,Trigger),"")</f>
        <v/>
      </c>
      <c r="Z46" s="104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0" t="e">
        <v>#N/A</v>
      </c>
      <c r="AD46" s="169" t="e">
        <v>#N/A</v>
      </c>
      <c r="AE46" s="170" t="e">
        <v>#N/A</v>
      </c>
      <c r="AF46" s="172" t="e">
        <f>_xll.qlYieldTSZeroRate(yieldcurve1_STD,$AD46,"ACTUAL/365 (FIXED)",,,TRUE,Trigger)-AE46</f>
        <v>#NUM!</v>
      </c>
    </row>
    <row r="47" spans="1:33" ht="11.25" customHeight="1" x14ac:dyDescent="0.2">
      <c r="A47" s="59" t="s">
        <v>25</v>
      </c>
      <c r="B47" s="60" t="s">
        <v>54</v>
      </c>
      <c r="C47" s="61" t="s">
        <v>6</v>
      </c>
      <c r="D47" s="61" t="s">
        <v>158</v>
      </c>
      <c r="E47" s="61" t="s">
        <v>7</v>
      </c>
      <c r="F47" s="61" t="s">
        <v>159</v>
      </c>
      <c r="G47" s="61" t="str">
        <f t="shared" si="13"/>
        <v>GbpLibor3M</v>
      </c>
      <c r="H47" s="59" t="str">
        <f t="shared" si="14"/>
        <v>GBPSB6L5Y_LCHQuote</v>
      </c>
      <c r="I47" s="127">
        <v>0</v>
      </c>
      <c r="J47" s="64" t="str">
        <f>_xll.qlSwapRateHelper2(,$H47,0,$B47,Calendar,$D47,$E47,$F47,$G47,$I47,$C47,,PillarDate,,Permanent,Trigger,ObjectOverwrite)</f>
        <v>obj_00600#0005</v>
      </c>
      <c r="L47" s="10" t="str">
        <f t="shared" si="10"/>
        <v>Sw</v>
      </c>
      <c r="M47" s="94" t="str">
        <f t="shared" si="12"/>
        <v>obj_005f7#0005</v>
      </c>
      <c r="N47" s="146" t="str">
        <f>IFERROR(_xll.qlRateHelperQuoteName(M47,Trigger),"--")</f>
        <v>GBPSB6L9Y_LCHQuote</v>
      </c>
      <c r="O47" s="98">
        <f>IFERROR(_xll.qlRateHelperQuoteValue($M47,Trigger),"--")</f>
        <v>1.7323499999999999E-2</v>
      </c>
      <c r="P47" s="97" t="b">
        <v>1</v>
      </c>
      <c r="Q47" s="94">
        <v>10</v>
      </c>
      <c r="R47" s="94">
        <v>1</v>
      </c>
      <c r="S47" s="99">
        <f>IFERROR(_xll.qlRateHelperEarliestDate(M47,Trigger),"--")</f>
        <v>42304</v>
      </c>
      <c r="T47" s="99">
        <f>IFERROR(_xll.qlRateHelperPillarDate(M47,Trigger),"--")</f>
        <v>45593</v>
      </c>
      <c r="V47" s="4" t="str">
        <f t="shared" si="9"/>
        <v/>
      </c>
      <c r="W47" s="4" t="e">
        <v>#N/A</v>
      </c>
      <c r="X47" s="4" t="str">
        <f>IFERROR(_xll.qlRateHelperQuoteName(W47,Trigger),"")</f>
        <v/>
      </c>
      <c r="Y47" s="70" t="str">
        <f>IFERROR(_xll.qlRateHelperRate(W47,Trigger),"")</f>
        <v/>
      </c>
      <c r="Z47" s="104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0" t="e">
        <v>#N/A</v>
      </c>
      <c r="AD47" s="169" t="e">
        <v>#N/A</v>
      </c>
      <c r="AE47" s="170" t="e">
        <v>#N/A</v>
      </c>
      <c r="AF47" s="172" t="e">
        <f>_xll.qlYieldTSZeroRate(yieldcurve1_STD,$AD47,"ACTUAL/365 (FIXED)",,,TRUE,Trigger)-AE47</f>
        <v>#NUM!</v>
      </c>
    </row>
    <row r="48" spans="1:33" ht="11.25" customHeight="1" x14ac:dyDescent="0.2">
      <c r="A48" s="59" t="s">
        <v>25</v>
      </c>
      <c r="B48" s="60" t="s">
        <v>55</v>
      </c>
      <c r="C48" s="61" t="s">
        <v>6</v>
      </c>
      <c r="D48" s="61" t="s">
        <v>158</v>
      </c>
      <c r="E48" s="61" t="s">
        <v>7</v>
      </c>
      <c r="F48" s="61" t="s">
        <v>159</v>
      </c>
      <c r="G48" s="61" t="str">
        <f t="shared" si="13"/>
        <v>GbpLibor3M</v>
      </c>
      <c r="H48" s="59" t="str">
        <f t="shared" si="14"/>
        <v>GBPSB6L6Y_LCHQuote</v>
      </c>
      <c r="I48" s="127">
        <v>0</v>
      </c>
      <c r="J48" s="64" t="str">
        <f>_xll.qlSwapRateHelper2(,$H48,0,$B48,Calendar,$D48,$E48,$F48,$G48,$I48,$C48,,PillarDate,,Permanent,Trigger,ObjectOverwrite)</f>
        <v>obj_00610#0005</v>
      </c>
      <c r="L48" s="10" t="str">
        <f t="shared" si="10"/>
        <v>Sw</v>
      </c>
      <c r="M48" s="94" t="str">
        <f t="shared" si="12"/>
        <v>obj_00602#0005</v>
      </c>
      <c r="N48" s="146" t="str">
        <f>IFERROR(_xll.qlRateHelperQuoteName(M48,Trigger),"--")</f>
        <v>GBPSB6L10Y_LCHQuote</v>
      </c>
      <c r="O48" s="98">
        <f>IFERROR(_xll.qlRateHelperQuoteValue($M48,Trigger),"--")</f>
        <v>1.7923999999999999E-2</v>
      </c>
      <c r="P48" s="97" t="b">
        <v>1</v>
      </c>
      <c r="Q48" s="94">
        <v>10</v>
      </c>
      <c r="R48" s="94">
        <v>1</v>
      </c>
      <c r="S48" s="99">
        <f>IFERROR(_xll.qlRateHelperEarliestDate(M48,Trigger),"--")</f>
        <v>42304</v>
      </c>
      <c r="T48" s="99">
        <f>IFERROR(_xll.qlRateHelperPillarDate(M48,Trigger),"--")</f>
        <v>45957</v>
      </c>
      <c r="V48" s="4" t="str">
        <f t="shared" si="9"/>
        <v/>
      </c>
      <c r="W48" s="4" t="e">
        <v>#N/A</v>
      </c>
      <c r="X48" s="4" t="str">
        <f>IFERROR(_xll.qlRateHelperQuoteName(W48,Trigger),"")</f>
        <v/>
      </c>
      <c r="Y48" s="70" t="str">
        <f>IFERROR(_xll.qlRateHelperRate(W48,Trigger),"")</f>
        <v/>
      </c>
      <c r="Z48" s="104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0" t="e">
        <v>#N/A</v>
      </c>
      <c r="AD48" s="169" t="e">
        <v>#N/A</v>
      </c>
      <c r="AE48" s="170" t="e">
        <v>#N/A</v>
      </c>
      <c r="AF48" s="172" t="e">
        <f>_xll.qlYieldTSZeroRate(yieldcurve1_STD,$AD48,"ACTUAL/365 (FIXED)",,,TRUE,Trigger)-AE48</f>
        <v>#NUM!</v>
      </c>
    </row>
    <row r="49" spans="1:32" ht="11.25" customHeight="1" x14ac:dyDescent="0.2">
      <c r="A49" s="59" t="s">
        <v>25</v>
      </c>
      <c r="B49" s="60" t="s">
        <v>56</v>
      </c>
      <c r="C49" s="61" t="s">
        <v>6</v>
      </c>
      <c r="D49" s="61" t="s">
        <v>158</v>
      </c>
      <c r="E49" s="61" t="s">
        <v>7</v>
      </c>
      <c r="F49" s="61" t="s">
        <v>159</v>
      </c>
      <c r="G49" s="61" t="str">
        <f t="shared" si="13"/>
        <v>GbpLibor3M</v>
      </c>
      <c r="H49" s="59" t="str">
        <f t="shared" si="14"/>
        <v>GBPSB6L7Y_LCHQuote</v>
      </c>
      <c r="I49" s="127">
        <v>0</v>
      </c>
      <c r="J49" s="64" t="str">
        <f>_xll.qlSwapRateHelper2(,$H49,0,$B49,Calendar,$D49,$E49,$F49,$G49,$I49,$C49,,PillarDate,,Permanent,Trigger,ObjectOverwrite)</f>
        <v>obj_005fb#0005</v>
      </c>
      <c r="L49" s="10" t="str">
        <f t="shared" si="10"/>
        <v>Sw</v>
      </c>
      <c r="M49" s="94" t="str">
        <f t="shared" si="12"/>
        <v>obj_00608#0005</v>
      </c>
      <c r="N49" s="146" t="str">
        <f>IFERROR(_xll.qlRateHelperQuoteName(M49,Trigger),"--")</f>
        <v>GBPSB6L11Y_LCHQuote</v>
      </c>
      <c r="O49" s="98" t="str">
        <f>IFERROR(_xll.qlRateHelperQuoteValue($M49,Trigger),"--")</f>
        <v>--</v>
      </c>
      <c r="P49" s="97" t="b">
        <v>0</v>
      </c>
      <c r="Q49" s="94">
        <v>10</v>
      </c>
      <c r="R49" s="94">
        <v>1</v>
      </c>
      <c r="S49" s="99">
        <f>IFERROR(_xll.qlRateHelperEarliestDate(M49,Trigger),"--")</f>
        <v>42304</v>
      </c>
      <c r="T49" s="99">
        <f>IFERROR(_xll.qlRateHelperPillarDate(M49,Trigger),"--")</f>
        <v>46322</v>
      </c>
      <c r="V49" s="4" t="str">
        <f t="shared" si="9"/>
        <v/>
      </c>
      <c r="W49" s="4" t="e">
        <v>#N/A</v>
      </c>
      <c r="X49" s="4" t="str">
        <f>IFERROR(_xll.qlRateHelperQuoteName(W49,Trigger),"")</f>
        <v/>
      </c>
      <c r="Y49" s="70" t="str">
        <f>IFERROR(_xll.qlRateHelperRate(W49,Trigger),"")</f>
        <v/>
      </c>
      <c r="Z49" s="104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0" t="e">
        <v>#N/A</v>
      </c>
      <c r="AD49" s="169" t="e">
        <v>#N/A</v>
      </c>
      <c r="AE49" s="170" t="e">
        <v>#N/A</v>
      </c>
      <c r="AF49" s="172" t="e">
        <f>_xll.qlYieldTSZeroRate(yieldcurve1_STD,$AD49,"ACTUAL/365 (FIXED)",,,TRUE,Trigger)-AE49</f>
        <v>#NUM!</v>
      </c>
    </row>
    <row r="50" spans="1:32" ht="11.25" customHeight="1" x14ac:dyDescent="0.2">
      <c r="A50" s="59" t="s">
        <v>25</v>
      </c>
      <c r="B50" s="60" t="s">
        <v>57</v>
      </c>
      <c r="C50" s="61" t="s">
        <v>6</v>
      </c>
      <c r="D50" s="61" t="s">
        <v>158</v>
      </c>
      <c r="E50" s="61" t="s">
        <v>7</v>
      </c>
      <c r="F50" s="61" t="s">
        <v>159</v>
      </c>
      <c r="G50" s="61" t="str">
        <f t="shared" si="13"/>
        <v>GbpLibor3M</v>
      </c>
      <c r="H50" s="59" t="str">
        <f t="shared" si="14"/>
        <v>GBPSB6L8Y_LCHQuote</v>
      </c>
      <c r="I50" s="127">
        <v>0</v>
      </c>
      <c r="J50" s="64" t="str">
        <f>_xll.qlSwapRateHelper2(,$H50,0,$B50,Calendar,$D50,$E50,$F50,$G50,$I50,$C50,,PillarDate,,Permanent,Trigger,ObjectOverwrite)</f>
        <v>obj_00601#0005</v>
      </c>
      <c r="L50" s="10" t="str">
        <f t="shared" si="10"/>
        <v>Sw</v>
      </c>
      <c r="M50" s="94" t="str">
        <f t="shared" si="12"/>
        <v>obj_00609#0005</v>
      </c>
      <c r="N50" s="146" t="str">
        <f>IFERROR(_xll.qlRateHelperQuoteName(M50,Trigger),"--")</f>
        <v>GBPSB6L12Y_LCHQuote</v>
      </c>
      <c r="O50" s="98">
        <f>IFERROR(_xll.qlRateHelperQuoteValue($M50,Trigger),"--")</f>
        <v>1.8933999999999999E-2</v>
      </c>
      <c r="P50" s="97" t="b">
        <v>1</v>
      </c>
      <c r="Q50" s="94">
        <v>10</v>
      </c>
      <c r="R50" s="94">
        <v>1</v>
      </c>
      <c r="S50" s="99">
        <f>IFERROR(_xll.qlRateHelperEarliestDate(M50,Trigger),"--")</f>
        <v>42304</v>
      </c>
      <c r="T50" s="99">
        <f>IFERROR(_xll.qlRateHelperPillarDate(M50,Trigger),"--")</f>
        <v>46687</v>
      </c>
      <c r="V50" s="4" t="str">
        <f t="shared" si="9"/>
        <v/>
      </c>
      <c r="W50" s="4" t="e">
        <v>#N/A</v>
      </c>
      <c r="X50" s="4" t="str">
        <f>IFERROR(_xll.qlRateHelperQuoteName(W50,Trigger),"")</f>
        <v/>
      </c>
      <c r="Y50" s="70" t="str">
        <f>IFERROR(_xll.qlRateHelperRate(W50,Trigger),"")</f>
        <v/>
      </c>
      <c r="Z50" s="104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0" t="e">
        <v>#N/A</v>
      </c>
      <c r="AD50" s="169" t="e">
        <v>#N/A</v>
      </c>
      <c r="AE50" s="170" t="e">
        <v>#N/A</v>
      </c>
      <c r="AF50" s="172" t="e">
        <f>_xll.qlYieldTSZeroRate(yieldcurve1_STD,$AD50,"ACTUAL/365 (FIXED)",,,TRUE,Trigger)-AE50</f>
        <v>#NUM!</v>
      </c>
    </row>
    <row r="51" spans="1:32" ht="11.25" customHeight="1" x14ac:dyDescent="0.2">
      <c r="A51" s="59" t="s">
        <v>25</v>
      </c>
      <c r="B51" s="60" t="s">
        <v>58</v>
      </c>
      <c r="C51" s="61" t="s">
        <v>6</v>
      </c>
      <c r="D51" s="61" t="s">
        <v>158</v>
      </c>
      <c r="E51" s="61" t="s">
        <v>7</v>
      </c>
      <c r="F51" s="61" t="s">
        <v>159</v>
      </c>
      <c r="G51" s="61" t="str">
        <f t="shared" si="13"/>
        <v>GbpLibor3M</v>
      </c>
      <c r="H51" s="59" t="str">
        <f t="shared" si="14"/>
        <v>GBPSB6L9Y_LCHQuote</v>
      </c>
      <c r="I51" s="127">
        <v>0</v>
      </c>
      <c r="J51" s="64" t="str">
        <f>_xll.qlSwapRateHelper2(,$H51,0,$B51,Calendar,$D51,$E51,$F51,$G51,$I51,$C51,,PillarDate,,Permanent,Trigger,ObjectOverwrite)</f>
        <v>obj_005f7#0005</v>
      </c>
      <c r="L51" s="10" t="str">
        <f t="shared" si="10"/>
        <v>Sw</v>
      </c>
      <c r="M51" s="94" t="str">
        <f t="shared" si="12"/>
        <v>obj_0061b#0005</v>
      </c>
      <c r="N51" s="146" t="str">
        <f>IFERROR(_xll.qlRateHelperQuoteName(M51,Trigger),"--")</f>
        <v>GBPSB6L13Y_LCHQuote</v>
      </c>
      <c r="O51" s="98" t="str">
        <f>IFERROR(_xll.qlRateHelperQuoteValue($M51,Trigger),"--")</f>
        <v>--</v>
      </c>
      <c r="P51" s="97" t="b">
        <v>0</v>
      </c>
      <c r="Q51" s="94">
        <v>10</v>
      </c>
      <c r="R51" s="94">
        <v>1</v>
      </c>
      <c r="S51" s="99">
        <f>IFERROR(_xll.qlRateHelperEarliestDate(M51,Trigger),"--")</f>
        <v>42304</v>
      </c>
      <c r="T51" s="99">
        <f>IFERROR(_xll.qlRateHelperPillarDate(M51,Trigger),"--")</f>
        <v>47053</v>
      </c>
      <c r="V51" s="4" t="str">
        <f t="shared" si="9"/>
        <v/>
      </c>
      <c r="W51" s="4" t="e">
        <v>#N/A</v>
      </c>
      <c r="X51" s="4" t="str">
        <f>IFERROR(_xll.qlRateHelperQuoteName(W51,Trigger),"")</f>
        <v/>
      </c>
      <c r="Y51" s="70" t="str">
        <f>IFERROR(_xll.qlRateHelperRate(W51,Trigger),"")</f>
        <v/>
      </c>
      <c r="Z51" s="104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0" t="e">
        <v>#N/A</v>
      </c>
      <c r="AD51" s="169" t="e">
        <v>#N/A</v>
      </c>
      <c r="AE51" s="170" t="e">
        <v>#N/A</v>
      </c>
      <c r="AF51" s="172" t="e">
        <f>_xll.qlYieldTSZeroRate(yieldcurve1_STD,$AD51,"ACTUAL/365 (FIXED)",,,TRUE,Trigger)-AE51</f>
        <v>#NUM!</v>
      </c>
    </row>
    <row r="52" spans="1:32" ht="11.25" customHeight="1" x14ac:dyDescent="0.2">
      <c r="A52" s="59" t="s">
        <v>25</v>
      </c>
      <c r="B52" s="60" t="s">
        <v>59</v>
      </c>
      <c r="C52" s="61" t="s">
        <v>6</v>
      </c>
      <c r="D52" s="61" t="s">
        <v>158</v>
      </c>
      <c r="E52" s="61" t="s">
        <v>7</v>
      </c>
      <c r="F52" s="61" t="s">
        <v>159</v>
      </c>
      <c r="G52" s="61" t="str">
        <f t="shared" si="13"/>
        <v>GbpLibor3M</v>
      </c>
      <c r="H52" s="59" t="str">
        <f t="shared" si="14"/>
        <v>GBPSB6L10Y_LCHQuote</v>
      </c>
      <c r="I52" s="127">
        <v>0</v>
      </c>
      <c r="J52" s="64" t="str">
        <f>_xll.qlSwapRateHelper2(,$H52,0,$B52,Calendar,$D52,$E52,$F52,$G52,$I52,$C52,,PillarDate,,Permanent,Trigger,ObjectOverwrite)</f>
        <v>obj_00602#0005</v>
      </c>
      <c r="L52" s="10" t="str">
        <f t="shared" si="10"/>
        <v>Sw</v>
      </c>
      <c r="M52" s="94" t="str">
        <f t="shared" si="12"/>
        <v>obj_005f5#0005</v>
      </c>
      <c r="N52" s="146" t="str">
        <f>IFERROR(_xll.qlRateHelperQuoteName(M52,Trigger),"--")</f>
        <v>GBPSB6L14Y_LCHQuote</v>
      </c>
      <c r="O52" s="98" t="str">
        <f>IFERROR(_xll.qlRateHelperQuoteValue($M52,Trigger),"--")</f>
        <v>--</v>
      </c>
      <c r="P52" s="97" t="b">
        <v>0</v>
      </c>
      <c r="Q52" s="94">
        <v>10</v>
      </c>
      <c r="R52" s="94">
        <v>1</v>
      </c>
      <c r="S52" s="99">
        <f>IFERROR(_xll.qlRateHelperEarliestDate(M52,Trigger),"--")</f>
        <v>42304</v>
      </c>
      <c r="T52" s="99">
        <f>IFERROR(_xll.qlRateHelperPillarDate(M52,Trigger),"--")</f>
        <v>47420</v>
      </c>
      <c r="V52" s="4" t="str">
        <f t="shared" si="9"/>
        <v/>
      </c>
      <c r="W52" s="4" t="e">
        <v>#N/A</v>
      </c>
      <c r="X52" s="4" t="str">
        <f>IFERROR(_xll.qlRateHelperQuoteName(W52,Trigger),"")</f>
        <v/>
      </c>
      <c r="Y52" s="70" t="str">
        <f>IFERROR(_xll.qlRateHelperRate(W52,Trigger),"")</f>
        <v/>
      </c>
      <c r="Z52" s="104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0" t="e">
        <v>#N/A</v>
      </c>
      <c r="AD52" s="169" t="e">
        <v>#N/A</v>
      </c>
      <c r="AE52" s="170" t="e">
        <v>#N/A</v>
      </c>
      <c r="AF52" s="172" t="e">
        <f>_xll.qlYieldTSZeroRate(yieldcurve1_STD,$AD52,"ACTUAL/365 (FIXED)",,,TRUE,Trigger)-AE52</f>
        <v>#NUM!</v>
      </c>
    </row>
    <row r="53" spans="1:32" ht="11.25" customHeight="1" x14ac:dyDescent="0.2">
      <c r="A53" s="59" t="s">
        <v>25</v>
      </c>
      <c r="B53" s="60" t="s">
        <v>97</v>
      </c>
      <c r="C53" s="61" t="s">
        <v>6</v>
      </c>
      <c r="D53" s="61" t="s">
        <v>158</v>
      </c>
      <c r="E53" s="61" t="s">
        <v>7</v>
      </c>
      <c r="F53" s="61" t="s">
        <v>159</v>
      </c>
      <c r="G53" s="61" t="str">
        <f t="shared" si="13"/>
        <v>GbpLibor3M</v>
      </c>
      <c r="H53" s="59" t="str">
        <f t="shared" si="14"/>
        <v>GBPSB6L11Y_LCHQuote</v>
      </c>
      <c r="I53" s="127">
        <v>0</v>
      </c>
      <c r="J53" s="64" t="str">
        <f>_xll.qlSwapRateHelper2(,$H53,0,$B53,Calendar,$D53,$E53,$F53,$G53,$I53,$C53,,PillarDate,,Permanent,Trigger,ObjectOverwrite)</f>
        <v>obj_00608#0005</v>
      </c>
      <c r="L53" s="10" t="str">
        <f t="shared" si="10"/>
        <v>Sw</v>
      </c>
      <c r="M53" s="94" t="str">
        <f t="shared" si="12"/>
        <v>obj_005fe#0005</v>
      </c>
      <c r="N53" s="146" t="str">
        <f>IFERROR(_xll.qlRateHelperQuoteName(M53,Trigger),"--")</f>
        <v>GBPSB6L15Y_LCHQuote</v>
      </c>
      <c r="O53" s="98">
        <f>IFERROR(_xll.qlRateHelperQuoteValue($M53,Trigger),"--")</f>
        <v>1.9953249999999999E-2</v>
      </c>
      <c r="P53" s="97" t="b">
        <v>1</v>
      </c>
      <c r="Q53" s="94">
        <v>10</v>
      </c>
      <c r="R53" s="94">
        <v>1</v>
      </c>
      <c r="S53" s="99">
        <f>IFERROR(_xll.qlRateHelperEarliestDate(M53,Trigger),"--")</f>
        <v>42304</v>
      </c>
      <c r="T53" s="99">
        <f>IFERROR(_xll.qlRateHelperPillarDate(M53,Trigger),"--")</f>
        <v>47784</v>
      </c>
      <c r="V53" s="4" t="str">
        <f t="shared" si="9"/>
        <v/>
      </c>
      <c r="W53" s="4" t="e">
        <v>#N/A</v>
      </c>
      <c r="X53" s="4" t="str">
        <f>IFERROR(_xll.qlRateHelperQuoteName(W53,Trigger),"")</f>
        <v/>
      </c>
      <c r="Y53" s="70" t="str">
        <f>IFERROR(_xll.qlRateHelperRate(W53,Trigger),"")</f>
        <v/>
      </c>
      <c r="Z53" s="104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0" t="e">
        <v>#N/A</v>
      </c>
      <c r="AD53" s="169" t="e">
        <v>#N/A</v>
      </c>
      <c r="AE53" s="170" t="e">
        <v>#N/A</v>
      </c>
      <c r="AF53" s="172" t="e">
        <f>_xll.qlYieldTSZeroRate(yieldcurve1_STD,$AD53,"ACTUAL/365 (FIXED)",,,TRUE,Trigger)-AE53</f>
        <v>#NUM!</v>
      </c>
    </row>
    <row r="54" spans="1:32" ht="11.25" customHeight="1" x14ac:dyDescent="0.2">
      <c r="A54" s="59" t="s">
        <v>25</v>
      </c>
      <c r="B54" s="60" t="s">
        <v>60</v>
      </c>
      <c r="C54" s="61" t="s">
        <v>6</v>
      </c>
      <c r="D54" s="61" t="s">
        <v>158</v>
      </c>
      <c r="E54" s="61" t="s">
        <v>7</v>
      </c>
      <c r="F54" s="61" t="s">
        <v>159</v>
      </c>
      <c r="G54" s="61" t="str">
        <f t="shared" si="13"/>
        <v>GbpLibor3M</v>
      </c>
      <c r="H54" s="59" t="str">
        <f t="shared" si="14"/>
        <v>GBPSB6L12Y_LCHQuote</v>
      </c>
      <c r="I54" s="127">
        <v>0</v>
      </c>
      <c r="J54" s="64" t="str">
        <f>_xll.qlSwapRateHelper2(,$H54,0,$B54,Calendar,$D54,$E54,$F54,$G54,$I54,$C54,,PillarDate,,Permanent,Trigger,ObjectOverwrite)</f>
        <v>obj_00609#0005</v>
      </c>
      <c r="L54" s="10" t="str">
        <f t="shared" si="10"/>
        <v>Sw</v>
      </c>
      <c r="M54" s="94" t="str">
        <f t="shared" si="12"/>
        <v>obj_00611#0005</v>
      </c>
      <c r="N54" s="146" t="str">
        <f>IFERROR(_xll.qlRateHelperQuoteName(M54,Trigger),"--")</f>
        <v>GBPSB6L16Y_LCHQuote</v>
      </c>
      <c r="O54" s="98" t="str">
        <f>IFERROR(_xll.qlRateHelperQuoteValue($M54,Trigger),"--")</f>
        <v>--</v>
      </c>
      <c r="P54" s="97" t="b">
        <v>0</v>
      </c>
      <c r="Q54" s="94">
        <v>10</v>
      </c>
      <c r="R54" s="94">
        <v>1</v>
      </c>
      <c r="S54" s="99">
        <f>IFERROR(_xll.qlRateHelperEarliestDate(M54,Trigger),"--")</f>
        <v>42304</v>
      </c>
      <c r="T54" s="99">
        <f>IFERROR(_xll.qlRateHelperPillarDate(M54,Trigger),"--")</f>
        <v>48148</v>
      </c>
      <c r="V54" s="4" t="str">
        <f t="shared" si="9"/>
        <v/>
      </c>
      <c r="W54" s="4" t="e">
        <v>#N/A</v>
      </c>
      <c r="X54" s="4" t="str">
        <f>IFERROR(_xll.qlRateHelperQuoteName(W54,Trigger),"")</f>
        <v/>
      </c>
      <c r="Y54" s="70" t="str">
        <f>IFERROR(_xll.qlRateHelperRate(W54,Trigger),"")</f>
        <v/>
      </c>
      <c r="Z54" s="104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0" t="e">
        <v>#N/A</v>
      </c>
      <c r="AD54" s="169" t="e">
        <v>#N/A</v>
      </c>
      <c r="AE54" s="170" t="e">
        <v>#N/A</v>
      </c>
      <c r="AF54" s="172" t="e">
        <f>_xll.qlYieldTSZeroRate(yieldcurve1_STD,$AD54,"ACTUAL/365 (FIXED)",,,TRUE,Trigger)-AE54</f>
        <v>#NUM!</v>
      </c>
    </row>
    <row r="55" spans="1:32" ht="11.25" customHeight="1" x14ac:dyDescent="0.2">
      <c r="A55" s="59" t="s">
        <v>25</v>
      </c>
      <c r="B55" s="60" t="s">
        <v>98</v>
      </c>
      <c r="C55" s="61" t="s">
        <v>6</v>
      </c>
      <c r="D55" s="61" t="s">
        <v>158</v>
      </c>
      <c r="E55" s="61" t="s">
        <v>7</v>
      </c>
      <c r="F55" s="61" t="s">
        <v>159</v>
      </c>
      <c r="G55" s="61" t="str">
        <f t="shared" si="13"/>
        <v>GbpLibor3M</v>
      </c>
      <c r="H55" s="59" t="str">
        <f t="shared" si="14"/>
        <v>GBPSB6L13Y_LCHQuote</v>
      </c>
      <c r="I55" s="127">
        <v>0</v>
      </c>
      <c r="J55" s="64" t="str">
        <f>_xll.qlSwapRateHelper2(,$H55,0,$B55,Calendar,$D55,$E55,$F55,$G55,$I55,$C55,,PillarDate,,Permanent,Trigger,ObjectOverwrite)</f>
        <v>obj_0061b#0005</v>
      </c>
      <c r="L55" s="10" t="str">
        <f t="shared" si="10"/>
        <v>Sw</v>
      </c>
      <c r="M55" s="94" t="str">
        <f t="shared" si="12"/>
        <v>obj_005f0#0005</v>
      </c>
      <c r="N55" s="146" t="str">
        <f>IFERROR(_xll.qlRateHelperQuoteName(M55,Trigger),"--")</f>
        <v>GBPSB6L17Y_LCHQuote</v>
      </c>
      <c r="O55" s="98" t="str">
        <f>IFERROR(_xll.qlRateHelperQuoteValue($M55,Trigger),"--")</f>
        <v>--</v>
      </c>
      <c r="P55" s="97" t="b">
        <v>0</v>
      </c>
      <c r="Q55" s="94">
        <v>10</v>
      </c>
      <c r="R55" s="94">
        <v>1</v>
      </c>
      <c r="S55" s="99">
        <f>IFERROR(_xll.qlRateHelperEarliestDate(M55,Trigger),"--")</f>
        <v>42304</v>
      </c>
      <c r="T55" s="99">
        <f>IFERROR(_xll.qlRateHelperPillarDate(M55,Trigger),"--")</f>
        <v>48514</v>
      </c>
      <c r="V55" s="4" t="str">
        <f t="shared" si="9"/>
        <v/>
      </c>
      <c r="W55" s="4" t="e">
        <v>#N/A</v>
      </c>
      <c r="X55" s="4" t="str">
        <f>IFERROR(_xll.qlRateHelperQuoteName(W55,Trigger),"")</f>
        <v/>
      </c>
      <c r="Y55" s="70" t="str">
        <f>IFERROR(_xll.qlRateHelperRate(W55,Trigger),"")</f>
        <v/>
      </c>
      <c r="Z55" s="104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0" t="e">
        <v>#N/A</v>
      </c>
      <c r="AD55" s="169" t="e">
        <v>#N/A</v>
      </c>
      <c r="AE55" s="170" t="e">
        <v>#N/A</v>
      </c>
      <c r="AF55" s="172" t="e">
        <f>_xll.qlYieldTSZeroRate(yieldcurve1_STD,$AD55,"ACTUAL/365 (FIXED)",,,TRUE,Trigger)-AE55</f>
        <v>#NUM!</v>
      </c>
    </row>
    <row r="56" spans="1:32" ht="11.25" customHeight="1" x14ac:dyDescent="0.2">
      <c r="A56" s="59" t="s">
        <v>25</v>
      </c>
      <c r="B56" s="60" t="s">
        <v>99</v>
      </c>
      <c r="C56" s="61" t="s">
        <v>6</v>
      </c>
      <c r="D56" s="61" t="s">
        <v>158</v>
      </c>
      <c r="E56" s="61" t="s">
        <v>7</v>
      </c>
      <c r="F56" s="61" t="s">
        <v>159</v>
      </c>
      <c r="G56" s="61" t="str">
        <f t="shared" si="13"/>
        <v>GbpLibor3M</v>
      </c>
      <c r="H56" s="59" t="str">
        <f t="shared" si="14"/>
        <v>GBPSB6L14Y_LCHQuote</v>
      </c>
      <c r="I56" s="127">
        <v>0</v>
      </c>
      <c r="J56" s="64" t="str">
        <f>_xll.qlSwapRateHelper2(,$H56,0,$B56,Calendar,$D56,$E56,$F56,$G56,$I56,$C56,,PillarDate,,Permanent,Trigger,ObjectOverwrite)</f>
        <v>obj_005f5#0005</v>
      </c>
      <c r="L56" s="10" t="str">
        <f t="shared" si="10"/>
        <v>Sw</v>
      </c>
      <c r="M56" s="94" t="str">
        <f t="shared" si="12"/>
        <v>obj_005f6#0005</v>
      </c>
      <c r="N56" s="146" t="str">
        <f>IFERROR(_xll.qlRateHelperQuoteName(M56,Trigger),"--")</f>
        <v>GBPSB6L18Y_LCHQuote</v>
      </c>
      <c r="O56" s="98" t="str">
        <f>IFERROR(_xll.qlRateHelperQuoteValue($M56,Trigger),"--")</f>
        <v>--</v>
      </c>
      <c r="P56" s="97" t="b">
        <v>0</v>
      </c>
      <c r="Q56" s="94">
        <v>10</v>
      </c>
      <c r="R56" s="94">
        <v>1</v>
      </c>
      <c r="S56" s="99">
        <f>IFERROR(_xll.qlRateHelperEarliestDate(M56,Trigger),"--")</f>
        <v>42304</v>
      </c>
      <c r="T56" s="99">
        <f>IFERROR(_xll.qlRateHelperPillarDate(M56,Trigger),"--")</f>
        <v>48879</v>
      </c>
      <c r="V56" s="4" t="str">
        <f t="shared" si="9"/>
        <v/>
      </c>
      <c r="W56" s="4" t="e">
        <v>#N/A</v>
      </c>
      <c r="X56" s="4" t="str">
        <f>IFERROR(_xll.qlRateHelperQuoteName(W56,Trigger),"")</f>
        <v/>
      </c>
      <c r="Y56" s="70" t="str">
        <f>IFERROR(_xll.qlRateHelperRate(W56,Trigger),"")</f>
        <v/>
      </c>
      <c r="Z56" s="104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0" t="e">
        <v>#N/A</v>
      </c>
      <c r="AD56" s="169" t="e">
        <v>#N/A</v>
      </c>
      <c r="AE56" s="170" t="e">
        <v>#N/A</v>
      </c>
      <c r="AF56" s="172" t="e">
        <f>_xll.qlYieldTSZeroRate(yieldcurve1_STD,$AD56,"ACTUAL/365 (FIXED)",,,TRUE,Trigger)-AE56</f>
        <v>#NUM!</v>
      </c>
    </row>
    <row r="57" spans="1:32" ht="11.25" customHeight="1" x14ac:dyDescent="0.2">
      <c r="A57" s="59" t="s">
        <v>25</v>
      </c>
      <c r="B57" s="60" t="s">
        <v>61</v>
      </c>
      <c r="C57" s="61" t="s">
        <v>6</v>
      </c>
      <c r="D57" s="61" t="s">
        <v>158</v>
      </c>
      <c r="E57" s="61" t="s">
        <v>7</v>
      </c>
      <c r="F57" s="61" t="s">
        <v>159</v>
      </c>
      <c r="G57" s="61" t="str">
        <f t="shared" si="13"/>
        <v>GbpLibor3M</v>
      </c>
      <c r="H57" s="59" t="str">
        <f t="shared" si="14"/>
        <v>GBPSB6L15Y_LCHQuote</v>
      </c>
      <c r="I57" s="127">
        <v>0</v>
      </c>
      <c r="J57" s="64" t="str">
        <f>_xll.qlSwapRateHelper2(,$H57,0,$B57,Calendar,$D57,$E57,$F57,$G57,$I57,$C57,,PillarDate,,Permanent,Trigger,ObjectOverwrite)</f>
        <v>obj_005fe#0005</v>
      </c>
      <c r="L57" s="10" t="str">
        <f t="shared" si="10"/>
        <v>Sw</v>
      </c>
      <c r="M57" s="94" t="str">
        <f t="shared" si="12"/>
        <v>obj_0060b#0005</v>
      </c>
      <c r="N57" s="146" t="str">
        <f>IFERROR(_xll.qlRateHelperQuoteName(M57,Trigger),"--")</f>
        <v>GBPSB6L19Y_LCHQuote</v>
      </c>
      <c r="O57" s="98" t="str">
        <f>IFERROR(_xll.qlRateHelperQuoteValue($M57,Trigger),"--")</f>
        <v>--</v>
      </c>
      <c r="P57" s="97" t="b">
        <v>0</v>
      </c>
      <c r="Q57" s="94">
        <v>10</v>
      </c>
      <c r="R57" s="94">
        <v>1</v>
      </c>
      <c r="S57" s="99">
        <f>IFERROR(_xll.qlRateHelperEarliestDate(M57,Trigger),"--")</f>
        <v>42304</v>
      </c>
      <c r="T57" s="99">
        <f>IFERROR(_xll.qlRateHelperPillarDate(M57,Trigger),"--")</f>
        <v>49244</v>
      </c>
      <c r="V57" s="4" t="str">
        <f t="shared" si="9"/>
        <v/>
      </c>
      <c r="W57" s="4" t="e">
        <v>#N/A</v>
      </c>
      <c r="X57" s="4" t="str">
        <f>IFERROR(_xll.qlRateHelperQuoteName(W57,Trigger),"")</f>
        <v/>
      </c>
      <c r="Y57" s="70" t="str">
        <f>IFERROR(_xll.qlRateHelperRate(W57,Trigger),"")</f>
        <v/>
      </c>
      <c r="Z57" s="104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0" t="e">
        <v>#N/A</v>
      </c>
      <c r="AD57" s="46" t="e">
        <v>#N/A</v>
      </c>
      <c r="AE57" s="46" t="e">
        <v>#N/A</v>
      </c>
      <c r="AF57" s="172" t="e">
        <f>_xll.qlYieldTSZeroRate(yieldcurve1_STD,$AD57,"ACTUAL/365 (FIXED)",,,TRUE,Trigger)-AE57</f>
        <v>#NUM!</v>
      </c>
    </row>
    <row r="58" spans="1:32" ht="11.25" customHeight="1" x14ac:dyDescent="0.2">
      <c r="A58" s="59" t="s">
        <v>25</v>
      </c>
      <c r="B58" s="60" t="s">
        <v>100</v>
      </c>
      <c r="C58" s="61" t="s">
        <v>6</v>
      </c>
      <c r="D58" s="61" t="s">
        <v>158</v>
      </c>
      <c r="E58" s="61" t="s">
        <v>7</v>
      </c>
      <c r="F58" s="61" t="s">
        <v>159</v>
      </c>
      <c r="G58" s="61" t="str">
        <f t="shared" si="13"/>
        <v>GbpLibor3M</v>
      </c>
      <c r="H58" s="59" t="str">
        <f t="shared" si="14"/>
        <v>GBPSB6L16Y_LCHQuote</v>
      </c>
      <c r="I58" s="127">
        <v>0</v>
      </c>
      <c r="J58" s="64" t="str">
        <f>_xll.qlSwapRateHelper2(,$H58,0,$B58,Calendar,$D58,$E58,$F58,$G58,$I58,$C58,,PillarDate,,Permanent,Trigger,ObjectOverwrite)</f>
        <v>obj_00611#0005</v>
      </c>
      <c r="L58" s="10" t="str">
        <f t="shared" si="10"/>
        <v>Sw</v>
      </c>
      <c r="M58" s="94" t="str">
        <f t="shared" si="12"/>
        <v>obj_0061a#0005</v>
      </c>
      <c r="N58" s="146" t="str">
        <f>IFERROR(_xll.qlRateHelperQuoteName(M58,Trigger),"--")</f>
        <v>GBPSB6L20Y_LCHQuote</v>
      </c>
      <c r="O58" s="98">
        <f>IFERROR(_xll.qlRateHelperQuoteValue($M58,Trigger),"--")</f>
        <v>2.0664999999999999E-2</v>
      </c>
      <c r="P58" s="97" t="b">
        <v>1</v>
      </c>
      <c r="Q58" s="94">
        <v>10</v>
      </c>
      <c r="R58" s="94">
        <v>1</v>
      </c>
      <c r="S58" s="99">
        <f>IFERROR(_xll.qlRateHelperEarliestDate(M58,Trigger),"--")</f>
        <v>42304</v>
      </c>
      <c r="T58" s="99">
        <f>IFERROR(_xll.qlRateHelperPillarDate(M58,Trigger),"--")</f>
        <v>49611</v>
      </c>
      <c r="V58" s="4" t="str">
        <f t="shared" si="9"/>
        <v/>
      </c>
      <c r="W58" s="4" t="e">
        <v>#N/A</v>
      </c>
      <c r="X58" s="4" t="str">
        <f>IFERROR(_xll.qlRateHelperQuoteName(W58,Trigger),"")</f>
        <v/>
      </c>
      <c r="Y58" s="70" t="str">
        <f>IFERROR(_xll.qlRateHelperRate(W58,Trigger),"")</f>
        <v/>
      </c>
      <c r="Z58" s="104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0" t="e">
        <v>#N/A</v>
      </c>
      <c r="AD58" s="46" t="e">
        <v>#N/A</v>
      </c>
      <c r="AE58" s="46" t="e">
        <v>#N/A</v>
      </c>
      <c r="AF58" s="172" t="e">
        <f>_xll.qlYieldTSZeroRate(yieldcurve1_STD,$AD58,"ACTUAL/365 (FIXED)",,,TRUE,Trigger)-AE58</f>
        <v>#NUM!</v>
      </c>
    </row>
    <row r="59" spans="1:32" ht="11.25" customHeight="1" x14ac:dyDescent="0.2">
      <c r="A59" s="59" t="s">
        <v>25</v>
      </c>
      <c r="B59" s="60" t="s">
        <v>101</v>
      </c>
      <c r="C59" s="61" t="s">
        <v>6</v>
      </c>
      <c r="D59" s="61" t="s">
        <v>158</v>
      </c>
      <c r="E59" s="61" t="s">
        <v>7</v>
      </c>
      <c r="F59" s="61" t="s">
        <v>159</v>
      </c>
      <c r="G59" s="61" t="str">
        <f t="shared" si="13"/>
        <v>GbpLibor3M</v>
      </c>
      <c r="H59" s="59" t="str">
        <f t="shared" si="14"/>
        <v>GBPSB6L17Y_LCHQuote</v>
      </c>
      <c r="I59" s="127">
        <v>0</v>
      </c>
      <c r="J59" s="64" t="str">
        <f>_xll.qlSwapRateHelper2(,$H59,0,$B59,Calendar,$D59,$E59,$F59,$G59,$I59,$C59,,PillarDate,,Permanent,Trigger,ObjectOverwrite)</f>
        <v>obj_005f0#0005</v>
      </c>
      <c r="L59" s="10" t="str">
        <f t="shared" si="10"/>
        <v>Sw</v>
      </c>
      <c r="M59" s="94" t="str">
        <f t="shared" si="12"/>
        <v>obj_005ef#0005</v>
      </c>
      <c r="N59" s="146" t="str">
        <f>IFERROR(_xll.qlRateHelperQuoteName(M59,Trigger),"--")</f>
        <v>GBPSB6L21Y_LCHQuote</v>
      </c>
      <c r="O59" s="98" t="str">
        <f>IFERROR(_xll.qlRateHelperQuoteValue($M59,Trigger),"--")</f>
        <v>--</v>
      </c>
      <c r="P59" s="97" t="b">
        <v>0</v>
      </c>
      <c r="Q59" s="94">
        <v>10</v>
      </c>
      <c r="R59" s="94">
        <v>1</v>
      </c>
      <c r="S59" s="99">
        <f>IFERROR(_xll.qlRateHelperEarliestDate(M59,Trigger),"--")</f>
        <v>42304</v>
      </c>
      <c r="T59" s="99">
        <f>IFERROR(_xll.qlRateHelperPillarDate(M59,Trigger),"--")</f>
        <v>49975</v>
      </c>
      <c r="V59" s="4" t="str">
        <f t="shared" si="9"/>
        <v/>
      </c>
      <c r="W59" s="4" t="e">
        <v>#N/A</v>
      </c>
      <c r="X59" s="4" t="str">
        <f>IFERROR(_xll.qlRateHelperQuoteName(W59,Trigger),"")</f>
        <v/>
      </c>
      <c r="Y59" s="70" t="str">
        <f>IFERROR(_xll.qlRateHelperRate(W59,Trigger),"")</f>
        <v/>
      </c>
      <c r="Z59" s="104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0" t="e">
        <v>#N/A</v>
      </c>
      <c r="AD59" s="46" t="e">
        <v>#N/A</v>
      </c>
      <c r="AE59" s="46" t="e">
        <v>#N/A</v>
      </c>
      <c r="AF59" s="172" t="e">
        <f>_xll.qlYieldTSZeroRate(yieldcurve1_STD,$AD59,"ACTUAL/365 (FIXED)",,,TRUE,Trigger)-AE59</f>
        <v>#NUM!</v>
      </c>
    </row>
    <row r="60" spans="1:32" ht="11.25" customHeight="1" x14ac:dyDescent="0.2">
      <c r="A60" s="59" t="s">
        <v>25</v>
      </c>
      <c r="B60" s="60" t="s">
        <v>102</v>
      </c>
      <c r="C60" s="61" t="s">
        <v>6</v>
      </c>
      <c r="D60" s="61" t="s">
        <v>158</v>
      </c>
      <c r="E60" s="61" t="s">
        <v>7</v>
      </c>
      <c r="F60" s="61" t="s">
        <v>159</v>
      </c>
      <c r="G60" s="61" t="str">
        <f t="shared" si="13"/>
        <v>GbpLibor3M</v>
      </c>
      <c r="H60" s="59" t="str">
        <f t="shared" si="14"/>
        <v>GBPSB6L18Y_LCHQuote</v>
      </c>
      <c r="I60" s="127">
        <v>0</v>
      </c>
      <c r="J60" s="64" t="str">
        <f>_xll.qlSwapRateHelper2(,$H60,0,$B60,Calendar,$D60,$E60,$F60,$G60,$I60,$C60,,PillarDate,,Permanent,Trigger,ObjectOverwrite)</f>
        <v>obj_005f6#0005</v>
      </c>
      <c r="L60" s="10" t="str">
        <f t="shared" si="10"/>
        <v>Sw</v>
      </c>
      <c r="M60" s="94" t="str">
        <f t="shared" si="12"/>
        <v>obj_005f8#0005</v>
      </c>
      <c r="N60" s="146" t="str">
        <f>IFERROR(_xll.qlRateHelperQuoteName(M60,Trigger),"--")</f>
        <v>GBPSB6L22Y_LCHQuote</v>
      </c>
      <c r="O60" s="98" t="str">
        <f>IFERROR(_xll.qlRateHelperQuoteValue($M60,Trigger),"--")</f>
        <v>--</v>
      </c>
      <c r="P60" s="97" t="b">
        <v>0</v>
      </c>
      <c r="Q60" s="94">
        <v>10</v>
      </c>
      <c r="R60" s="94">
        <v>1</v>
      </c>
      <c r="S60" s="99">
        <f>IFERROR(_xll.qlRateHelperEarliestDate(M60,Trigger),"--")</f>
        <v>42304</v>
      </c>
      <c r="T60" s="99">
        <f>IFERROR(_xll.qlRateHelperPillarDate(M60,Trigger),"--")</f>
        <v>50340</v>
      </c>
      <c r="V60" s="4" t="str">
        <f t="shared" si="9"/>
        <v/>
      </c>
      <c r="W60" s="4" t="e">
        <v>#N/A</v>
      </c>
      <c r="X60" s="4" t="str">
        <f>IFERROR(_xll.qlRateHelperQuoteName(W60,Trigger),"")</f>
        <v/>
      </c>
      <c r="Y60" s="70" t="str">
        <f>IFERROR(_xll.qlRateHelperRate(W60,Trigger),"")</f>
        <v/>
      </c>
      <c r="Z60" s="104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0" t="e">
        <v>#N/A</v>
      </c>
      <c r="AD60" s="46" t="e">
        <v>#N/A</v>
      </c>
      <c r="AE60" s="46" t="e">
        <v>#N/A</v>
      </c>
      <c r="AF60" s="172" t="e">
        <f>_xll.qlYieldTSZeroRate(yieldcurve1_STD,$AD60,"ACTUAL/365 (FIXED)",,,TRUE,Trigger)-AE60</f>
        <v>#NUM!</v>
      </c>
    </row>
    <row r="61" spans="1:32" ht="11.25" customHeight="1" x14ac:dyDescent="0.2">
      <c r="A61" s="59" t="s">
        <v>25</v>
      </c>
      <c r="B61" s="60" t="s">
        <v>103</v>
      </c>
      <c r="C61" s="61" t="s">
        <v>6</v>
      </c>
      <c r="D61" s="61" t="s">
        <v>158</v>
      </c>
      <c r="E61" s="61" t="s">
        <v>7</v>
      </c>
      <c r="F61" s="61" t="s">
        <v>159</v>
      </c>
      <c r="G61" s="61" t="str">
        <f t="shared" si="13"/>
        <v>GbpLibor3M</v>
      </c>
      <c r="H61" s="59" t="str">
        <f t="shared" si="14"/>
        <v>GBPSB6L19Y_LCHQuote</v>
      </c>
      <c r="I61" s="127">
        <v>0</v>
      </c>
      <c r="J61" s="64" t="str">
        <f>_xll.qlSwapRateHelper2(,$H61,0,$B61,Calendar,$D61,$E61,$F61,$G61,$I61,$C61,,PillarDate,,Permanent,Trigger,ObjectOverwrite)</f>
        <v>obj_0060b#0005</v>
      </c>
      <c r="L61" s="10" t="str">
        <f t="shared" si="10"/>
        <v>Sw</v>
      </c>
      <c r="M61" s="94" t="str">
        <f t="shared" si="12"/>
        <v>obj_00613#0005</v>
      </c>
      <c r="N61" s="146" t="str">
        <f>IFERROR(_xll.qlRateHelperQuoteName(M61,Trigger),"--")</f>
        <v>GBPSB6L23Y_LCHQuote</v>
      </c>
      <c r="O61" s="98" t="str">
        <f>IFERROR(_xll.qlRateHelperQuoteValue($M61,Trigger),"--")</f>
        <v>--</v>
      </c>
      <c r="P61" s="97" t="b">
        <v>0</v>
      </c>
      <c r="Q61" s="94">
        <v>10</v>
      </c>
      <c r="R61" s="94">
        <v>1</v>
      </c>
      <c r="S61" s="99">
        <f>IFERROR(_xll.qlRateHelperEarliestDate(M61,Trigger),"--")</f>
        <v>42304</v>
      </c>
      <c r="T61" s="99">
        <f>IFERROR(_xll.qlRateHelperPillarDate(M61,Trigger),"--")</f>
        <v>50705</v>
      </c>
      <c r="V61" s="4" t="str">
        <f t="shared" si="9"/>
        <v/>
      </c>
      <c r="W61" s="4" t="e">
        <v>#N/A</v>
      </c>
      <c r="X61" s="4" t="str">
        <f>IFERROR(_xll.qlRateHelperQuoteName(W61,Trigger),"")</f>
        <v/>
      </c>
      <c r="Y61" s="70" t="str">
        <f>IFERROR(_xll.qlRateHelperRate(W61,Trigger),"")</f>
        <v/>
      </c>
      <c r="Z61" s="104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0" t="e">
        <v>#N/A</v>
      </c>
      <c r="AD61" s="46" t="e">
        <v>#N/A</v>
      </c>
      <c r="AE61" s="46" t="e">
        <v>#N/A</v>
      </c>
      <c r="AF61" s="172" t="e">
        <f>_xll.qlYieldTSZeroRate(yieldcurve1_STD,$AD61,"ACTUAL/365 (FIXED)",,,TRUE,Trigger)-AE61</f>
        <v>#NUM!</v>
      </c>
    </row>
    <row r="62" spans="1:32" ht="11.25" customHeight="1" x14ac:dyDescent="0.2">
      <c r="A62" s="59" t="s">
        <v>25</v>
      </c>
      <c r="B62" s="60" t="s">
        <v>62</v>
      </c>
      <c r="C62" s="61" t="s">
        <v>6</v>
      </c>
      <c r="D62" s="61" t="s">
        <v>158</v>
      </c>
      <c r="E62" s="61" t="s">
        <v>7</v>
      </c>
      <c r="F62" s="61" t="s">
        <v>159</v>
      </c>
      <c r="G62" s="61" t="str">
        <f t="shared" si="13"/>
        <v>GbpLibor3M</v>
      </c>
      <c r="H62" s="59" t="str">
        <f t="shared" si="14"/>
        <v>GBPSB6L20Y_LCHQuote</v>
      </c>
      <c r="I62" s="127">
        <v>0</v>
      </c>
      <c r="J62" s="64" t="str">
        <f>_xll.qlSwapRateHelper2(,$H62,0,$B62,Calendar,$D62,$E62,$F62,$G62,$I62,$C62,,PillarDate,,Permanent,Trigger,ObjectOverwrite)</f>
        <v>obj_0061a#0005</v>
      </c>
      <c r="L62" s="10" t="str">
        <f t="shared" si="10"/>
        <v>Sw</v>
      </c>
      <c r="M62" s="94" t="str">
        <f t="shared" si="12"/>
        <v>obj_005fc#0005</v>
      </c>
      <c r="N62" s="146" t="str">
        <f>IFERROR(_xll.qlRateHelperQuoteName(M62,Trigger),"--")</f>
        <v>GBPSB6L24Y_LCHQuote</v>
      </c>
      <c r="O62" s="98" t="str">
        <f>IFERROR(_xll.qlRateHelperQuoteValue($M62,Trigger),"--")</f>
        <v>--</v>
      </c>
      <c r="P62" s="97" t="b">
        <v>0</v>
      </c>
      <c r="Q62" s="94">
        <v>10</v>
      </c>
      <c r="R62" s="94">
        <v>1</v>
      </c>
      <c r="S62" s="99">
        <f>IFERROR(_xll.qlRateHelperEarliestDate(M62,Trigger),"--")</f>
        <v>42304</v>
      </c>
      <c r="T62" s="99">
        <f>IFERROR(_xll.qlRateHelperPillarDate(M62,Trigger),"--")</f>
        <v>51070</v>
      </c>
      <c r="V62" s="4" t="str">
        <f t="shared" si="9"/>
        <v/>
      </c>
      <c r="W62" s="4" t="e">
        <v>#N/A</v>
      </c>
      <c r="X62" s="4" t="str">
        <f>IFERROR(_xll.qlRateHelperQuoteName(W62,Trigger),"")</f>
        <v/>
      </c>
      <c r="Y62" s="70" t="str">
        <f>IFERROR(_xll.qlRateHelperRate(W62,Trigger),"")</f>
        <v/>
      </c>
      <c r="Z62" s="104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0" t="e">
        <v>#N/A</v>
      </c>
      <c r="AD62" s="46" t="e">
        <v>#N/A</v>
      </c>
      <c r="AE62" s="46" t="e">
        <v>#N/A</v>
      </c>
      <c r="AF62" s="172" t="e">
        <f>_xll.qlYieldTSZeroRate(yieldcurve1_STD,$AD62,"ACTUAL/365 (FIXED)",,,TRUE,Trigger)-AE62</f>
        <v>#NUM!</v>
      </c>
    </row>
    <row r="63" spans="1:32" ht="11.25" customHeight="1" x14ac:dyDescent="0.2">
      <c r="A63" s="59" t="s">
        <v>25</v>
      </c>
      <c r="B63" s="60" t="s">
        <v>104</v>
      </c>
      <c r="C63" s="61" t="s">
        <v>6</v>
      </c>
      <c r="D63" s="61" t="s">
        <v>158</v>
      </c>
      <c r="E63" s="61" t="s">
        <v>7</v>
      </c>
      <c r="F63" s="61" t="s">
        <v>159</v>
      </c>
      <c r="G63" s="61" t="str">
        <f t="shared" si="13"/>
        <v>GbpLibor3M</v>
      </c>
      <c r="H63" s="59" t="str">
        <f t="shared" si="14"/>
        <v>GBPSB6L21Y_LCHQuote</v>
      </c>
      <c r="I63" s="127">
        <v>0</v>
      </c>
      <c r="J63" s="64" t="str">
        <f>_xll.qlSwapRateHelper2(,$H63,0,$B63,Calendar,$D63,$E63,$F63,$G63,$I63,$C63,,PillarDate,,Permanent,Trigger,ObjectOverwrite)</f>
        <v>obj_005ef#0005</v>
      </c>
      <c r="L63" s="10" t="str">
        <f t="shared" si="10"/>
        <v>Sw</v>
      </c>
      <c r="M63" s="94" t="str">
        <f t="shared" si="12"/>
        <v>obj_005f2#0005</v>
      </c>
      <c r="N63" s="146" t="str">
        <f>IFERROR(_xll.qlRateHelperQuoteName(M63,Trigger),"--")</f>
        <v>GBPSB6L25Y_LCHQuote</v>
      </c>
      <c r="O63" s="98">
        <f>IFERROR(_xll.qlRateHelperQuoteValue($M63,Trigger),"--")</f>
        <v>2.07385E-2</v>
      </c>
      <c r="P63" s="97" t="b">
        <v>1</v>
      </c>
      <c r="Q63" s="94">
        <v>10</v>
      </c>
      <c r="R63" s="94">
        <v>1</v>
      </c>
      <c r="S63" s="99">
        <f>IFERROR(_xll.qlRateHelperEarliestDate(M63,Trigger),"--")</f>
        <v>42304</v>
      </c>
      <c r="T63" s="99">
        <f>IFERROR(_xll.qlRateHelperPillarDate(M63,Trigger),"--")</f>
        <v>51438</v>
      </c>
      <c r="V63" s="4" t="str">
        <f t="shared" si="9"/>
        <v/>
      </c>
      <c r="W63" s="4" t="e">
        <v>#N/A</v>
      </c>
      <c r="X63" s="4" t="str">
        <f>IFERROR(_xll.qlRateHelperQuoteName(W63,Trigger),"")</f>
        <v/>
      </c>
      <c r="Y63" s="70" t="str">
        <f>IFERROR(_xll.qlRateHelperRate(W63,Trigger),"")</f>
        <v/>
      </c>
      <c r="Z63" s="104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0" t="e">
        <v>#N/A</v>
      </c>
      <c r="AD63" s="46" t="e">
        <v>#N/A</v>
      </c>
      <c r="AE63" s="46" t="e">
        <v>#N/A</v>
      </c>
      <c r="AF63" s="172" t="e">
        <f>_xll.qlYieldTSZeroRate(yieldcurve1_STD,$AD63,"ACTUAL/365 (FIXED)",,,TRUE,Trigger)-AE63</f>
        <v>#NUM!</v>
      </c>
    </row>
    <row r="64" spans="1:32" ht="11.25" customHeight="1" x14ac:dyDescent="0.2">
      <c r="A64" s="59" t="s">
        <v>25</v>
      </c>
      <c r="B64" s="60" t="s">
        <v>105</v>
      </c>
      <c r="C64" s="61" t="s">
        <v>6</v>
      </c>
      <c r="D64" s="61" t="s">
        <v>158</v>
      </c>
      <c r="E64" s="61" t="s">
        <v>7</v>
      </c>
      <c r="F64" s="61" t="s">
        <v>159</v>
      </c>
      <c r="G64" s="61" t="str">
        <f t="shared" si="13"/>
        <v>GbpLibor3M</v>
      </c>
      <c r="H64" s="59" t="str">
        <f t="shared" si="14"/>
        <v>GBPSB6L22Y_LCHQuote</v>
      </c>
      <c r="I64" s="127">
        <v>0</v>
      </c>
      <c r="J64" s="64" t="str">
        <f>_xll.qlSwapRateHelper2(,$H64,0,$B64,Calendar,$D64,$E64,$F64,$G64,$I64,$C64,,PillarDate,,Permanent,Trigger,ObjectOverwrite)</f>
        <v>obj_005f8#0005</v>
      </c>
      <c r="L64" s="10" t="str">
        <f t="shared" si="10"/>
        <v>Sw</v>
      </c>
      <c r="M64" s="94" t="str">
        <f t="shared" si="12"/>
        <v>obj_00615#0005</v>
      </c>
      <c r="N64" s="146" t="str">
        <f>IFERROR(_xll.qlRateHelperQuoteName(M64,Trigger),"--")</f>
        <v>GBPSB6L26Y_LCHQuote</v>
      </c>
      <c r="O64" s="98" t="str">
        <f>IFERROR(_xll.qlRateHelperQuoteValue($M64,Trigger),"--")</f>
        <v>--</v>
      </c>
      <c r="P64" s="97" t="b">
        <v>0</v>
      </c>
      <c r="Q64" s="94">
        <v>10</v>
      </c>
      <c r="R64" s="94">
        <v>1</v>
      </c>
      <c r="S64" s="99">
        <f>IFERROR(_xll.qlRateHelperEarliestDate(M64,Trigger),"--")</f>
        <v>42304</v>
      </c>
      <c r="T64" s="99">
        <f>IFERROR(_xll.qlRateHelperPillarDate(M64,Trigger),"--")</f>
        <v>51802</v>
      </c>
      <c r="V64" s="4" t="str">
        <f t="shared" si="9"/>
        <v/>
      </c>
      <c r="W64" s="4" t="e">
        <v>#N/A</v>
      </c>
      <c r="X64" s="4" t="str">
        <f>IFERROR(_xll.qlRateHelperQuoteName(W64,Trigger),"")</f>
        <v/>
      </c>
      <c r="Y64" s="70" t="str">
        <f>IFERROR(_xll.qlRateHelperRate(W64,Trigger),"")</f>
        <v/>
      </c>
      <c r="Z64" s="104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0" t="e">
        <v>#N/A</v>
      </c>
      <c r="AD64" s="46" t="e">
        <v>#N/A</v>
      </c>
      <c r="AE64" s="46" t="e">
        <v>#N/A</v>
      </c>
      <c r="AF64" s="172" t="e">
        <f>_xll.qlYieldTSZeroRate(yieldcurve1_STD,$AD64,"ACTUAL/365 (FIXED)",,,TRUE,Trigger)-AE64</f>
        <v>#NUM!</v>
      </c>
    </row>
    <row r="65" spans="1:32" ht="11.25" customHeight="1" x14ac:dyDescent="0.2">
      <c r="A65" s="59" t="s">
        <v>25</v>
      </c>
      <c r="B65" s="60" t="s">
        <v>106</v>
      </c>
      <c r="C65" s="61" t="s">
        <v>6</v>
      </c>
      <c r="D65" s="61" t="s">
        <v>158</v>
      </c>
      <c r="E65" s="61" t="s">
        <v>7</v>
      </c>
      <c r="F65" s="61" t="s">
        <v>159</v>
      </c>
      <c r="G65" s="61" t="str">
        <f t="shared" si="13"/>
        <v>GbpLibor3M</v>
      </c>
      <c r="H65" s="59" t="str">
        <f t="shared" si="14"/>
        <v>GBPSB6L23Y_LCHQuote</v>
      </c>
      <c r="I65" s="127">
        <v>0</v>
      </c>
      <c r="J65" s="64" t="str">
        <f>_xll.qlSwapRateHelper2(,$H65,0,$B65,Calendar,$D65,$E65,$F65,$G65,$I65,$C65,,PillarDate,,Permanent,Trigger,ObjectOverwrite)</f>
        <v>obj_00613#0005</v>
      </c>
      <c r="L65" s="10" t="str">
        <f t="shared" si="10"/>
        <v>Sw</v>
      </c>
      <c r="M65" s="94" t="str">
        <f t="shared" si="12"/>
        <v>obj_005ee#0005</v>
      </c>
      <c r="N65" s="146" t="str">
        <f>IFERROR(_xll.qlRateHelperQuoteName(M65,Trigger),"--")</f>
        <v>GBPSB6L27Y_LCHQuote</v>
      </c>
      <c r="O65" s="98" t="str">
        <f>IFERROR(_xll.qlRateHelperQuoteValue($M65,Trigger),"--")</f>
        <v>--</v>
      </c>
      <c r="P65" s="97" t="b">
        <v>0</v>
      </c>
      <c r="Q65" s="94">
        <v>10</v>
      </c>
      <c r="R65" s="94">
        <v>1</v>
      </c>
      <c r="S65" s="99">
        <f>IFERROR(_xll.qlRateHelperEarliestDate(M65,Trigger),"--")</f>
        <v>42304</v>
      </c>
      <c r="T65" s="99">
        <f>IFERROR(_xll.qlRateHelperPillarDate(M65,Trigger),"--")</f>
        <v>52166</v>
      </c>
      <c r="V65" s="4" t="str">
        <f t="shared" si="9"/>
        <v/>
      </c>
      <c r="W65" s="4" t="e">
        <v>#N/A</v>
      </c>
      <c r="X65" s="4" t="str">
        <f>IFERROR(_xll.qlRateHelperQuoteName(W65,Trigger),"")</f>
        <v/>
      </c>
      <c r="Y65" s="70" t="str">
        <f>IFERROR(_xll.qlRateHelperRate(W65,Trigger),"")</f>
        <v/>
      </c>
      <c r="Z65" s="104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0" t="e">
        <v>#N/A</v>
      </c>
      <c r="AD65" s="46" t="e">
        <v>#N/A</v>
      </c>
      <c r="AE65" s="46" t="e">
        <v>#N/A</v>
      </c>
      <c r="AF65" s="172" t="e">
        <f>_xll.qlYieldTSZeroRate(yieldcurve1_STD,$AD65,"ACTUAL/365 (FIXED)",,,TRUE,Trigger)-AE65</f>
        <v>#NUM!</v>
      </c>
    </row>
    <row r="66" spans="1:32" ht="11.25" customHeight="1" x14ac:dyDescent="0.2">
      <c r="A66" s="59" t="s">
        <v>25</v>
      </c>
      <c r="B66" s="60" t="s">
        <v>107</v>
      </c>
      <c r="C66" s="61" t="s">
        <v>6</v>
      </c>
      <c r="D66" s="61" t="s">
        <v>158</v>
      </c>
      <c r="E66" s="61" t="s">
        <v>7</v>
      </c>
      <c r="F66" s="61" t="s">
        <v>159</v>
      </c>
      <c r="G66" s="61" t="str">
        <f t="shared" si="13"/>
        <v>GbpLibor3M</v>
      </c>
      <c r="H66" s="59" t="str">
        <f t="shared" si="14"/>
        <v>GBPSB6L24Y_LCHQuote</v>
      </c>
      <c r="I66" s="127">
        <v>0</v>
      </c>
      <c r="J66" s="64" t="str">
        <f>_xll.qlSwapRateHelper2(,$H66,0,$B66,Calendar,$D66,$E66,$F66,$G66,$I66,$C66,,PillarDate,,Permanent,Trigger,ObjectOverwrite)</f>
        <v>obj_005fc#0005</v>
      </c>
      <c r="L66" s="10" t="str">
        <f t="shared" si="10"/>
        <v>Sw</v>
      </c>
      <c r="M66" s="94" t="str">
        <f t="shared" si="12"/>
        <v>obj_0060e#0005</v>
      </c>
      <c r="N66" s="146" t="str">
        <f>IFERROR(_xll.qlRateHelperQuoteName(M66,Trigger),"--")</f>
        <v>GBPSB6L28Y_LCHQuote</v>
      </c>
      <c r="O66" s="98" t="str">
        <f>IFERROR(_xll.qlRateHelperQuoteValue($M66,Trigger),"--")</f>
        <v>--</v>
      </c>
      <c r="P66" s="97" t="b">
        <v>0</v>
      </c>
      <c r="Q66" s="94">
        <v>10</v>
      </c>
      <c r="R66" s="94">
        <v>1</v>
      </c>
      <c r="S66" s="99">
        <f>IFERROR(_xll.qlRateHelperEarliestDate(M66,Trigger),"--")</f>
        <v>42304</v>
      </c>
      <c r="T66" s="99">
        <f>IFERROR(_xll.qlRateHelperPillarDate(M66,Trigger),"--")</f>
        <v>52531</v>
      </c>
      <c r="V66" s="4" t="str">
        <f t="shared" si="9"/>
        <v/>
      </c>
      <c r="W66" s="4" t="e">
        <v>#N/A</v>
      </c>
      <c r="X66" s="4" t="str">
        <f>IFERROR(_xll.qlRateHelperQuoteName(W66,Trigger),"")</f>
        <v/>
      </c>
      <c r="Y66" s="70" t="str">
        <f>IFERROR(_xll.qlRateHelperRate(W66,Trigger),"")</f>
        <v/>
      </c>
      <c r="Z66" s="104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70" t="e">
        <v>#N/A</v>
      </c>
      <c r="AD66" s="46" t="e">
        <v>#N/A</v>
      </c>
      <c r="AE66" s="46" t="e">
        <v>#N/A</v>
      </c>
      <c r="AF66" s="172" t="e">
        <f>_xll.qlYieldTSZeroRate(yieldcurve1_STD,$AD66,"ACTUAL/365 (FIXED)",,,TRUE,Trigger)-AE66</f>
        <v>#NUM!</v>
      </c>
    </row>
    <row r="67" spans="1:32" ht="11.25" customHeight="1" x14ac:dyDescent="0.2">
      <c r="A67" s="59" t="s">
        <v>25</v>
      </c>
      <c r="B67" s="60" t="s">
        <v>63</v>
      </c>
      <c r="C67" s="61" t="s">
        <v>6</v>
      </c>
      <c r="D67" s="61" t="s">
        <v>158</v>
      </c>
      <c r="E67" s="61" t="s">
        <v>7</v>
      </c>
      <c r="F67" s="61" t="s">
        <v>159</v>
      </c>
      <c r="G67" s="61" t="str">
        <f t="shared" si="13"/>
        <v>GbpLibor3M</v>
      </c>
      <c r="H67" s="59" t="str">
        <f t="shared" si="14"/>
        <v>GBPSB6L25Y_LCHQuote</v>
      </c>
      <c r="I67" s="127">
        <v>0</v>
      </c>
      <c r="J67" s="64" t="str">
        <f>_xll.qlSwapRateHelper2(,$H67,0,$B67,Calendar,$D67,$E67,$F67,$G67,$I67,$C67,,PillarDate,,Permanent,Trigger,ObjectOverwrite)</f>
        <v>obj_005f2#0005</v>
      </c>
      <c r="L67" s="10" t="str">
        <f t="shared" si="10"/>
        <v>Sw</v>
      </c>
      <c r="M67" s="94" t="str">
        <f t="shared" si="12"/>
        <v>obj_0060a#0005</v>
      </c>
      <c r="N67" s="146" t="str">
        <f>IFERROR(_xll.qlRateHelperQuoteName(M67,Trigger),"--")</f>
        <v>GBPSB6L29Y_LCHQuote</v>
      </c>
      <c r="O67" s="98" t="str">
        <f>IFERROR(_xll.qlRateHelperQuoteValue($M67,Trigger),"--")</f>
        <v>--</v>
      </c>
      <c r="P67" s="97" t="b">
        <v>0</v>
      </c>
      <c r="Q67" s="94">
        <v>10</v>
      </c>
      <c r="R67" s="94">
        <v>1</v>
      </c>
      <c r="S67" s="99">
        <f>IFERROR(_xll.qlRateHelperEarliestDate(M67,Trigger),"--")</f>
        <v>42304</v>
      </c>
      <c r="T67" s="99">
        <f>IFERROR(_xll.qlRateHelperPillarDate(M67,Trigger),"--")</f>
        <v>52897</v>
      </c>
      <c r="V67" s="4" t="str">
        <f t="shared" ref="V67:V72" si="15">IFERROR(INDEX($L$3:$L$72,MATCH(X67,$N$3:$N$72,0),1),"")</f>
        <v/>
      </c>
      <c r="W67" s="4" t="e">
        <v>#N/A</v>
      </c>
      <c r="X67" s="4" t="str">
        <f>IFERROR(_xll.qlRateHelperQuoteName(W67,Trigger),"")</f>
        <v/>
      </c>
      <c r="Y67" s="70" t="str">
        <f>IFERROR(_xll.qlRateHelperRate(W67,Trigger),"")</f>
        <v/>
      </c>
      <c r="Z67" s="104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70" t="e">
        <v>#N/A</v>
      </c>
      <c r="AD67" s="46" t="e">
        <v>#N/A</v>
      </c>
      <c r="AE67" s="46" t="e">
        <v>#N/A</v>
      </c>
      <c r="AF67" s="172" t="e">
        <f>_xll.qlYieldTSZeroRate(yieldcurve1_STD,$AD67,"ACTUAL/365 (FIXED)",,,TRUE,Trigger)-AE67</f>
        <v>#NUM!</v>
      </c>
    </row>
    <row r="68" spans="1:32" ht="11.25" customHeight="1" x14ac:dyDescent="0.2">
      <c r="A68" s="59" t="s">
        <v>25</v>
      </c>
      <c r="B68" s="60" t="s">
        <v>108</v>
      </c>
      <c r="C68" s="61" t="s">
        <v>6</v>
      </c>
      <c r="D68" s="61" t="s">
        <v>158</v>
      </c>
      <c r="E68" s="61" t="s">
        <v>7</v>
      </c>
      <c r="F68" s="61" t="s">
        <v>159</v>
      </c>
      <c r="G68" s="61" t="str">
        <f t="shared" si="13"/>
        <v>GbpLibor3M</v>
      </c>
      <c r="H68" s="59" t="str">
        <f t="shared" si="14"/>
        <v>GBPSB6L26Y_LCHQuote</v>
      </c>
      <c r="I68" s="127">
        <v>0</v>
      </c>
      <c r="J68" s="64" t="str">
        <f>_xll.qlSwapRateHelper2(,$H68,0,$B68,Calendar,$D68,$E68,$F68,$G68,$I68,$C68,,PillarDate,,Permanent,Trigger,ObjectOverwrite)</f>
        <v>obj_00615#0005</v>
      </c>
      <c r="L68" s="10" t="str">
        <f t="shared" si="10"/>
        <v>Sw</v>
      </c>
      <c r="M68" s="94" t="str">
        <f t="shared" si="12"/>
        <v>obj_0060d#0005</v>
      </c>
      <c r="N68" s="146" t="str">
        <f>IFERROR(_xll.qlRateHelperQuoteName(M68,Trigger),"--")</f>
        <v>GBPSB6L30Y_LCHQuote</v>
      </c>
      <c r="O68" s="98">
        <f>IFERROR(_xll.qlRateHelperQuoteValue($M68,Trigger),"--")</f>
        <v>2.0673500000000001E-2</v>
      </c>
      <c r="P68" s="97" t="b">
        <v>1</v>
      </c>
      <c r="Q68" s="94">
        <v>10</v>
      </c>
      <c r="R68" s="94">
        <v>1</v>
      </c>
      <c r="S68" s="99">
        <f>IFERROR(_xll.qlRateHelperEarliestDate(M68,Trigger),"--")</f>
        <v>42304</v>
      </c>
      <c r="T68" s="99">
        <f>IFERROR(_xll.qlRateHelperPillarDate(M68,Trigger),"--")</f>
        <v>53262</v>
      </c>
      <c r="V68" s="4" t="str">
        <f t="shared" si="15"/>
        <v/>
      </c>
      <c r="W68" s="4" t="e">
        <v>#N/A</v>
      </c>
      <c r="X68" s="4" t="str">
        <f>IFERROR(_xll.qlRateHelperQuoteName(W68,Trigger),"")</f>
        <v/>
      </c>
      <c r="Y68" s="70" t="str">
        <f>IFERROR(_xll.qlRateHelperRate(W68,Trigger),"")</f>
        <v/>
      </c>
      <c r="Z68" s="104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70" t="e">
        <v>#N/A</v>
      </c>
      <c r="AD68" s="46" t="e">
        <v>#N/A</v>
      </c>
      <c r="AE68" s="46" t="e">
        <v>#N/A</v>
      </c>
      <c r="AF68" s="172" t="e">
        <f>_xll.qlYieldTSZeroRate(yieldcurve1_STD,$AD68,"ACTUAL/365 (FIXED)",,,TRUE,Trigger)-AE68</f>
        <v>#NUM!</v>
      </c>
    </row>
    <row r="69" spans="1:32" ht="11.25" customHeight="1" x14ac:dyDescent="0.2">
      <c r="A69" s="59" t="s">
        <v>25</v>
      </c>
      <c r="B69" s="60" t="s">
        <v>64</v>
      </c>
      <c r="C69" s="61" t="s">
        <v>6</v>
      </c>
      <c r="D69" s="61" t="s">
        <v>158</v>
      </c>
      <c r="E69" s="61" t="s">
        <v>7</v>
      </c>
      <c r="F69" s="61" t="s">
        <v>159</v>
      </c>
      <c r="G69" s="61" t="str">
        <f t="shared" si="13"/>
        <v>GbpLibor3M</v>
      </c>
      <c r="H69" s="59" t="str">
        <f t="shared" si="14"/>
        <v>GBPSB6L27Y_LCHQuote</v>
      </c>
      <c r="I69" s="127">
        <v>0</v>
      </c>
      <c r="J69" s="64" t="str">
        <f>_xll.qlSwapRateHelper2(,$H69,0,$B69,Calendar,$D69,$E69,$F69,$G69,$I69,$C69,,PillarDate,,Permanent,Trigger,ObjectOverwrite)</f>
        <v>obj_005ee#0005</v>
      </c>
      <c r="L69" s="10" t="str">
        <f t="shared" si="10"/>
        <v>Sw</v>
      </c>
      <c r="M69" s="94" t="str">
        <f t="shared" si="12"/>
        <v>obj_00604#0005</v>
      </c>
      <c r="N69" s="146" t="str">
        <f>IFERROR(_xll.qlRateHelperQuoteName(M69,Trigger),"--")</f>
        <v>GBPSB6L35Y_LCHQuote</v>
      </c>
      <c r="O69" s="98" t="str">
        <f>IFERROR(_xll.qlRateHelperQuoteValue($M69,Trigger),"--")</f>
        <v>--</v>
      </c>
      <c r="P69" s="97" t="b">
        <v>0</v>
      </c>
      <c r="Q69" s="94">
        <v>10</v>
      </c>
      <c r="R69" s="94">
        <v>1</v>
      </c>
      <c r="S69" s="99">
        <f>IFERROR(_xll.qlRateHelperEarliestDate(M69,Trigger),"--")</f>
        <v>42304</v>
      </c>
      <c r="T69" s="99">
        <f>IFERROR(_xll.qlRateHelperPillarDate(M69,Trigger),"--")</f>
        <v>55088</v>
      </c>
      <c r="V69" s="4" t="str">
        <f t="shared" si="15"/>
        <v/>
      </c>
      <c r="W69" s="4" t="e">
        <v>#N/A</v>
      </c>
      <c r="X69" s="4" t="str">
        <f>IFERROR(_xll.qlRateHelperQuoteName(W69,Trigger),"")</f>
        <v/>
      </c>
      <c r="Y69" s="70" t="str">
        <f>IFERROR(_xll.qlRateHelperRate(W69,Trigger),"")</f>
        <v/>
      </c>
      <c r="Z69" s="104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70" t="e">
        <v>#N/A</v>
      </c>
      <c r="AD69" s="46" t="e">
        <v>#N/A</v>
      </c>
      <c r="AE69" s="46" t="e">
        <v>#N/A</v>
      </c>
      <c r="AF69" s="172" t="e">
        <f>_xll.qlYieldTSZeroRate(yieldcurve1_STD,$AD69,"ACTUAL/365 (FIXED)",,,TRUE,Trigger)-AE69</f>
        <v>#NUM!</v>
      </c>
    </row>
    <row r="70" spans="1:32" ht="11.25" customHeight="1" x14ac:dyDescent="0.2">
      <c r="A70" s="59" t="s">
        <v>25</v>
      </c>
      <c r="B70" s="60" t="s">
        <v>109</v>
      </c>
      <c r="C70" s="61" t="s">
        <v>6</v>
      </c>
      <c r="D70" s="61" t="s">
        <v>158</v>
      </c>
      <c r="E70" s="61" t="s">
        <v>7</v>
      </c>
      <c r="F70" s="61" t="s">
        <v>159</v>
      </c>
      <c r="G70" s="61" t="str">
        <f t="shared" si="13"/>
        <v>GbpLibor3M</v>
      </c>
      <c r="H70" s="59" t="str">
        <f t="shared" si="14"/>
        <v>GBPSB6L28Y_LCHQuote</v>
      </c>
      <c r="I70" s="127">
        <v>0</v>
      </c>
      <c r="J70" s="64" t="str">
        <f>_xll.qlSwapRateHelper2(,$H70,0,$B70,Calendar,$D70,$E70,$F70,$G70,$I70,$C70,,PillarDate,,Permanent,Trigger,ObjectOverwrite)</f>
        <v>obj_0060e#0005</v>
      </c>
      <c r="L70" s="10" t="str">
        <f t="shared" si="10"/>
        <v>Sw</v>
      </c>
      <c r="M70" s="94" t="str">
        <f t="shared" si="12"/>
        <v>obj_00606#0005</v>
      </c>
      <c r="N70" s="146" t="str">
        <f>IFERROR(_xll.qlRateHelperQuoteName(M70,Trigger),"--")</f>
        <v>GBPSB6L40Y_LCHQuote</v>
      </c>
      <c r="O70" s="98">
        <f>IFERROR(_xll.qlRateHelperQuoteValue($M70,Trigger),"--")</f>
        <v>2.0111500000000001E-2</v>
      </c>
      <c r="P70" s="97" t="b">
        <v>1</v>
      </c>
      <c r="Q70" s="94">
        <v>10</v>
      </c>
      <c r="R70" s="94">
        <v>1</v>
      </c>
      <c r="S70" s="99">
        <f>IFERROR(_xll.qlRateHelperEarliestDate(M70,Trigger),"--")</f>
        <v>42304</v>
      </c>
      <c r="T70" s="99">
        <f>IFERROR(_xll.qlRateHelperPillarDate(M70,Trigger),"--")</f>
        <v>56914</v>
      </c>
      <c r="V70" s="4" t="str">
        <f t="shared" si="15"/>
        <v/>
      </c>
      <c r="W70" s="4" t="e">
        <v>#N/A</v>
      </c>
      <c r="X70" s="4" t="str">
        <f>IFERROR(_xll.qlRateHelperQuoteName(W70,Trigger),"")</f>
        <v/>
      </c>
      <c r="Y70" s="70" t="str">
        <f>IFERROR(_xll.qlRateHelperRate(W70,Trigger),"")</f>
        <v/>
      </c>
      <c r="Z70" s="104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70" t="e">
        <v>#N/A</v>
      </c>
      <c r="AD70" s="46" t="e">
        <v>#N/A</v>
      </c>
      <c r="AE70" s="46" t="e">
        <v>#N/A</v>
      </c>
      <c r="AF70" s="172" t="e">
        <f>_xll.qlYieldTSZeroRate(yieldcurve1_STD,$AD70,"ACTUAL/365 (FIXED)",,,TRUE,Trigger)-AE70</f>
        <v>#NUM!</v>
      </c>
    </row>
    <row r="71" spans="1:32" ht="11.25" customHeight="1" x14ac:dyDescent="0.2">
      <c r="A71" s="59" t="s">
        <v>25</v>
      </c>
      <c r="B71" s="60" t="s">
        <v>110</v>
      </c>
      <c r="C71" s="61" t="s">
        <v>6</v>
      </c>
      <c r="D71" s="61" t="s">
        <v>158</v>
      </c>
      <c r="E71" s="61" t="s">
        <v>7</v>
      </c>
      <c r="F71" s="61" t="s">
        <v>159</v>
      </c>
      <c r="G71" s="61" t="str">
        <f t="shared" si="13"/>
        <v>GbpLibor3M</v>
      </c>
      <c r="H71" s="59" t="str">
        <f t="shared" si="14"/>
        <v>GBPSB6L29Y_LCHQuote</v>
      </c>
      <c r="I71" s="127">
        <v>0</v>
      </c>
      <c r="J71" s="64" t="str">
        <f>_xll.qlSwapRateHelper2(,$H71,0,$B71,Calendar,$D71,$E71,$F71,$G71,$I71,$C71,,PillarDate,,Permanent,Trigger,ObjectOverwrite)</f>
        <v>obj_0060a#0005</v>
      </c>
      <c r="L71" s="10" t="str">
        <f t="shared" si="10"/>
        <v>Sw</v>
      </c>
      <c r="M71" s="94" t="str">
        <f t="shared" si="12"/>
        <v>obj_00605#0005</v>
      </c>
      <c r="N71" s="146" t="str">
        <f>IFERROR(_xll.qlRateHelperQuoteName(M71,Trigger),"--")</f>
        <v>GBPSB6L50Y_LCHQuote</v>
      </c>
      <c r="O71" s="98">
        <f>IFERROR(_xll.qlRateHelperQuoteValue($M71,Trigger),"--")</f>
        <v>1.9783499999999999E-2</v>
      </c>
      <c r="P71" s="97" t="b">
        <v>1</v>
      </c>
      <c r="Q71" s="94">
        <v>10</v>
      </c>
      <c r="R71" s="94">
        <v>1</v>
      </c>
      <c r="S71" s="99">
        <f>IFERROR(_xll.qlRateHelperEarliestDate(M71,Trigger),"--")</f>
        <v>42304</v>
      </c>
      <c r="T71" s="99">
        <f>IFERROR(_xll.qlRateHelperPillarDate(M71,Trigger),"--")</f>
        <v>60567</v>
      </c>
      <c r="V71" s="4" t="str">
        <f t="shared" si="15"/>
        <v/>
      </c>
      <c r="W71" s="4" t="e">
        <v>#N/A</v>
      </c>
      <c r="X71" s="4" t="str">
        <f>IFERROR(_xll.qlRateHelperQuoteName(W71,Trigger),"")</f>
        <v/>
      </c>
      <c r="Y71" s="70" t="str">
        <f>IFERROR(_xll.qlRateHelperRate(W71,Trigger),"")</f>
        <v/>
      </c>
      <c r="Z71" s="104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70" t="e">
        <v>#N/A</v>
      </c>
      <c r="AD71" s="46" t="e">
        <v>#N/A</v>
      </c>
      <c r="AE71" s="46" t="e">
        <v>#N/A</v>
      </c>
      <c r="AF71" s="172" t="e">
        <f>_xll.qlYieldTSZeroRate(yieldcurve1_STD,$AD71,"ACTUAL/365 (FIXED)",,,TRUE,Trigger)-AE71</f>
        <v>#NUM!</v>
      </c>
    </row>
    <row r="72" spans="1:32" ht="11.25" customHeight="1" x14ac:dyDescent="0.2">
      <c r="A72" s="59" t="s">
        <v>25</v>
      </c>
      <c r="B72" s="60" t="s">
        <v>65</v>
      </c>
      <c r="C72" s="61" t="s">
        <v>6</v>
      </c>
      <c r="D72" s="61" t="s">
        <v>158</v>
      </c>
      <c r="E72" s="61" t="s">
        <v>7</v>
      </c>
      <c r="F72" s="61" t="s">
        <v>159</v>
      </c>
      <c r="G72" s="61" t="str">
        <f t="shared" si="13"/>
        <v>GbpLibor3M</v>
      </c>
      <c r="H72" s="59" t="str">
        <f t="shared" si="14"/>
        <v>GBPSB6L30Y_LCHQuote</v>
      </c>
      <c r="I72" s="127">
        <v>0</v>
      </c>
      <c r="J72" s="64" t="str">
        <f>_xll.qlSwapRateHelper2(,$H72,0,$B72,Calendar,$D72,$E72,$F72,$G72,$I72,$C72,,PillarDate,,Permanent,Trigger,ObjectOverwrite)</f>
        <v>obj_0060d#0005</v>
      </c>
      <c r="L72" s="11" t="str">
        <f t="shared" si="10"/>
        <v>Sw</v>
      </c>
      <c r="M72" s="95" t="str">
        <f t="shared" si="12"/>
        <v>obj_005f4#0005</v>
      </c>
      <c r="N72" s="147" t="str">
        <f>IFERROR(_xll.qlRateHelperQuoteName(M72,Trigger),"--")</f>
        <v>GBPSB6L60Y_LCHQuote</v>
      </c>
      <c r="O72" s="101">
        <f>IFERROR(_xll.qlRateHelperQuoteValue($M72,Trigger),"--")</f>
        <v>1.9793000000000002E-2</v>
      </c>
      <c r="P72" s="100" t="b">
        <v>1</v>
      </c>
      <c r="Q72" s="95">
        <v>10</v>
      </c>
      <c r="R72" s="95">
        <v>1</v>
      </c>
      <c r="S72" s="102">
        <f>IFERROR(_xll.qlRateHelperEarliestDate(M72,Trigger),"--")</f>
        <v>42304</v>
      </c>
      <c r="T72" s="102">
        <f>IFERROR(_xll.qlRateHelperPillarDate(M72,Trigger),"--")</f>
        <v>64220</v>
      </c>
      <c r="V72" s="6" t="str">
        <f t="shared" si="15"/>
        <v/>
      </c>
      <c r="W72" s="6" t="e">
        <v>#N/A</v>
      </c>
      <c r="X72" s="6" t="str">
        <f>IFERROR(_xll.qlRateHelperQuoteName(W72,Trigger),"")</f>
        <v/>
      </c>
      <c r="Y72" s="79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12" t="str">
        <f>IFERROR(_xll.qlRateHelperEarliestDate(W72,Trigger),"")</f>
        <v/>
      </c>
      <c r="AB72" s="12" t="str">
        <f>IFERROR(_xll.qlRateHelperPillarDate(W72,Trigger),"")</f>
        <v/>
      </c>
      <c r="AC72" s="79" t="e">
        <v>#N/A</v>
      </c>
      <c r="AD72" s="46" t="e">
        <v>#N/A</v>
      </c>
      <c r="AE72" s="46" t="e">
        <v>#N/A</v>
      </c>
      <c r="AF72" s="172" t="e">
        <f>_xll.qlYieldTSZeroRate(yieldcurve1_STD,$AD72,"ACTUAL/365 (FIXED)",,,TRUE,Trigger)-AE72</f>
        <v>#NUM!</v>
      </c>
    </row>
    <row r="73" spans="1:32" ht="11.25" customHeight="1" x14ac:dyDescent="0.2">
      <c r="A73" s="59" t="s">
        <v>25</v>
      </c>
      <c r="B73" s="60" t="s">
        <v>66</v>
      </c>
      <c r="C73" s="61" t="s">
        <v>6</v>
      </c>
      <c r="D73" s="61" t="s">
        <v>158</v>
      </c>
      <c r="E73" s="61" t="s">
        <v>7</v>
      </c>
      <c r="F73" s="61" t="s">
        <v>159</v>
      </c>
      <c r="G73" s="61" t="str">
        <f t="shared" si="13"/>
        <v>GbpLibor3M</v>
      </c>
      <c r="H73" s="59" t="str">
        <f t="shared" si="14"/>
        <v>GBPSB6L35Y_LCHQuote</v>
      </c>
      <c r="I73" s="127">
        <v>0</v>
      </c>
      <c r="J73" s="64" t="str">
        <f>_xll.qlSwapRateHelper2(,$H73,0,$B73,Calendar,$D73,$E73,$F73,$G73,$I73,$C73,,PillarDate,,Permanent,Trigger,ObjectOverwrite)</f>
        <v>obj_00604#0005</v>
      </c>
    </row>
    <row r="74" spans="1:32" ht="11.25" customHeight="1" x14ac:dyDescent="0.2">
      <c r="A74" s="59" t="s">
        <v>25</v>
      </c>
      <c r="B74" s="60" t="s">
        <v>67</v>
      </c>
      <c r="C74" s="61" t="s">
        <v>6</v>
      </c>
      <c r="D74" s="61" t="s">
        <v>158</v>
      </c>
      <c r="E74" s="61" t="s">
        <v>7</v>
      </c>
      <c r="F74" s="61" t="s">
        <v>159</v>
      </c>
      <c r="G74" s="61" t="str">
        <f t="shared" si="13"/>
        <v>GbpLibor3M</v>
      </c>
      <c r="H74" s="59" t="str">
        <f t="shared" si="14"/>
        <v>GBPSB6L40Y_LCHQuote</v>
      </c>
      <c r="I74" s="125">
        <v>0</v>
      </c>
      <c r="J74" s="64" t="str">
        <f>_xll.qlSwapRateHelper2(,$H74,0,$B74,Calendar,$D74,$E74,$F74,$G74,$I74,$C74,,PillarDate,,Permanent,Trigger,ObjectOverwrite)</f>
        <v>obj_00606#0005</v>
      </c>
    </row>
    <row r="75" spans="1:32" ht="11.25" customHeight="1" x14ac:dyDescent="0.2">
      <c r="A75" s="59" t="s">
        <v>25</v>
      </c>
      <c r="B75" s="60" t="s">
        <v>68</v>
      </c>
      <c r="C75" s="61" t="s">
        <v>6</v>
      </c>
      <c r="D75" s="61" t="s">
        <v>158</v>
      </c>
      <c r="E75" s="61" t="s">
        <v>7</v>
      </c>
      <c r="F75" s="61" t="s">
        <v>159</v>
      </c>
      <c r="G75" s="61" t="str">
        <f t="shared" si="13"/>
        <v>GbpLibor3M</v>
      </c>
      <c r="H75" s="59" t="str">
        <f t="shared" si="14"/>
        <v>GBPSB6L50Y_LCHQuote</v>
      </c>
      <c r="I75" s="125">
        <v>0</v>
      </c>
      <c r="J75" s="64" t="str">
        <f>_xll.qlSwapRateHelper2(,$H75,0,$B75,Calendar,$D75,$E75,$F75,$G75,$I75,$C75,,PillarDate,,Permanent,Trigger,ObjectOverwrite)</f>
        <v>obj_00605#0005</v>
      </c>
    </row>
    <row r="76" spans="1:32" ht="11.25" customHeight="1" x14ac:dyDescent="0.2">
      <c r="A76" s="1" t="s">
        <v>25</v>
      </c>
      <c r="B76" s="8" t="s">
        <v>111</v>
      </c>
      <c r="C76" s="7" t="s">
        <v>6</v>
      </c>
      <c r="D76" s="7" t="s">
        <v>158</v>
      </c>
      <c r="E76" s="7" t="s">
        <v>7</v>
      </c>
      <c r="F76" s="7" t="s">
        <v>159</v>
      </c>
      <c r="G76" s="7" t="str">
        <f t="shared" si="13"/>
        <v>GbpLibor3M</v>
      </c>
      <c r="H76" s="1" t="str">
        <f t="shared" si="14"/>
        <v>GBPSB6L60Y_LCHQuote</v>
      </c>
      <c r="I76" s="128">
        <v>0</v>
      </c>
      <c r="J76" s="3" t="str">
        <f>_xll.qlSwapRateHelper2(,$H76,0,$B76,Calendar,$D76,$E76,$F76,$G76,$I76,$C76,,PillarDate,,Permanent,Trigger,ObjectOverwrite)</f>
        <v>obj_005f4#0005</v>
      </c>
    </row>
    <row r="77" spans="1:32" ht="11.25" customHeight="1" x14ac:dyDescent="0.2"/>
    <row r="78" spans="1:32" ht="11.25" customHeight="1" x14ac:dyDescent="0.2"/>
    <row r="79" spans="1:32" ht="11.25" customHeight="1" x14ac:dyDescent="0.2"/>
    <row r="80" spans="1:32" ht="11.25" customHeight="1" x14ac:dyDescent="0.2"/>
    <row r="81" spans="2:21" ht="11.25" customHeight="1" x14ac:dyDescent="0.2"/>
    <row r="82" spans="2:21" ht="11.25" customHeight="1" x14ac:dyDescent="0.2"/>
    <row r="83" spans="2:21" ht="11.25" customHeight="1" x14ac:dyDescent="0.2"/>
    <row r="84" spans="2:21" ht="11.25" customHeight="1" x14ac:dyDescent="0.2"/>
    <row r="85" spans="2:21" ht="11.25" customHeight="1" x14ac:dyDescent="0.2"/>
    <row r="86" spans="2:21" x14ac:dyDescent="0.2">
      <c r="B86" s="46"/>
      <c r="C86" s="46"/>
      <c r="D86" s="46"/>
      <c r="E86" s="46"/>
      <c r="F86" s="46"/>
      <c r="G86" s="46"/>
      <c r="H86" s="46"/>
    </row>
    <row r="87" spans="2:21" x14ac:dyDescent="0.2">
      <c r="B87" s="46"/>
      <c r="C87" s="46"/>
      <c r="D87" s="46"/>
      <c r="E87" s="46"/>
      <c r="F87" s="46"/>
      <c r="G87" s="46"/>
      <c r="H87" s="46"/>
    </row>
    <row r="88" spans="2:21" x14ac:dyDescent="0.2">
      <c r="B88" s="46"/>
      <c r="C88" s="46"/>
      <c r="D88" s="46"/>
      <c r="E88" s="46"/>
      <c r="F88" s="46"/>
      <c r="G88" s="46"/>
      <c r="H88" s="46"/>
    </row>
    <row r="89" spans="2:21" x14ac:dyDescent="0.2">
      <c r="B89" s="46"/>
      <c r="C89" s="46"/>
      <c r="D89" s="46"/>
      <c r="E89" s="46"/>
      <c r="F89" s="46"/>
      <c r="G89" s="46"/>
      <c r="H89" s="46"/>
    </row>
    <row r="90" spans="2:21" x14ac:dyDescent="0.2">
      <c r="B90" s="46"/>
      <c r="C90" s="46"/>
      <c r="D90" s="46"/>
      <c r="E90" s="46"/>
      <c r="F90" s="46"/>
      <c r="G90" s="46"/>
      <c r="H90" s="46"/>
      <c r="M90" s="46"/>
      <c r="N90" s="46"/>
      <c r="O90" s="46"/>
      <c r="P90" s="46"/>
      <c r="Q90" s="46"/>
      <c r="R90" s="46"/>
      <c r="S90" s="46"/>
      <c r="T90" s="46"/>
      <c r="U90" s="46"/>
    </row>
    <row r="91" spans="2:21" x14ac:dyDescent="0.2">
      <c r="B91" s="46"/>
      <c r="C91" s="46"/>
      <c r="D91" s="46"/>
      <c r="E91" s="46"/>
      <c r="F91" s="46"/>
      <c r="G91" s="46"/>
      <c r="H91" s="46"/>
      <c r="M91" s="46"/>
      <c r="N91" s="46"/>
      <c r="O91" s="46"/>
      <c r="P91" s="46"/>
      <c r="Q91" s="46"/>
      <c r="R91" s="46"/>
      <c r="S91" s="46"/>
      <c r="T91" s="46"/>
      <c r="U91" s="46"/>
    </row>
    <row r="92" spans="2:21" x14ac:dyDescent="0.2">
      <c r="B92" s="46"/>
      <c r="C92" s="46"/>
      <c r="D92" s="46"/>
      <c r="E92" s="46"/>
      <c r="F92" s="46"/>
      <c r="G92" s="46"/>
      <c r="H92" s="46"/>
      <c r="M92" s="46"/>
      <c r="N92" s="46"/>
      <c r="O92" s="46"/>
      <c r="P92" s="46"/>
      <c r="Q92" s="46"/>
      <c r="R92" s="46"/>
      <c r="S92" s="46"/>
      <c r="T92" s="46"/>
      <c r="U92" s="46"/>
    </row>
    <row r="93" spans="2:21" x14ac:dyDescent="0.2">
      <c r="B93" s="46"/>
      <c r="C93" s="46"/>
      <c r="D93" s="46"/>
      <c r="E93" s="46"/>
      <c r="F93" s="46"/>
      <c r="G93" s="46"/>
      <c r="H93" s="46"/>
      <c r="M93" s="46"/>
      <c r="N93" s="46"/>
      <c r="O93" s="46"/>
      <c r="P93" s="46"/>
      <c r="Q93" s="46"/>
      <c r="R93" s="46"/>
      <c r="S93" s="46"/>
      <c r="T93" s="46"/>
      <c r="U93" s="46"/>
    </row>
    <row r="94" spans="2:21" x14ac:dyDescent="0.2">
      <c r="B94" s="46"/>
      <c r="C94" s="46"/>
      <c r="D94" s="46"/>
      <c r="E94" s="46"/>
      <c r="F94" s="46"/>
      <c r="G94" s="46"/>
      <c r="H94" s="46"/>
      <c r="M94" s="46"/>
      <c r="N94" s="46"/>
      <c r="O94" s="46"/>
      <c r="P94" s="46"/>
      <c r="Q94" s="46"/>
      <c r="R94" s="46"/>
      <c r="S94" s="46"/>
      <c r="T94" s="46"/>
      <c r="U94" s="46"/>
    </row>
    <row r="95" spans="2:21" x14ac:dyDescent="0.2">
      <c r="B95" s="46"/>
      <c r="C95" s="46"/>
      <c r="D95" s="46"/>
      <c r="E95" s="46"/>
      <c r="F95" s="46"/>
      <c r="G95" s="46"/>
      <c r="H95" s="46"/>
      <c r="M95" s="46"/>
      <c r="N95" s="46"/>
      <c r="O95" s="46"/>
      <c r="P95" s="46"/>
      <c r="Q95" s="46"/>
      <c r="R95" s="46"/>
      <c r="S95" s="46"/>
      <c r="T95" s="46"/>
      <c r="U95" s="46"/>
    </row>
    <row r="96" spans="2:21" x14ac:dyDescent="0.2">
      <c r="B96" s="46"/>
      <c r="C96" s="46"/>
      <c r="D96" s="46"/>
      <c r="E96" s="46"/>
      <c r="F96" s="46"/>
      <c r="G96" s="46"/>
      <c r="H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2:21" x14ac:dyDescent="0.2">
      <c r="B97" s="46"/>
      <c r="C97" s="46"/>
      <c r="D97" s="46"/>
      <c r="E97" s="46"/>
      <c r="F97" s="46"/>
      <c r="G97" s="46"/>
      <c r="H97" s="46"/>
      <c r="M97" s="46"/>
      <c r="N97" s="46"/>
      <c r="O97" s="46"/>
      <c r="P97" s="46"/>
      <c r="Q97" s="46"/>
      <c r="R97" s="46"/>
      <c r="S97" s="46"/>
      <c r="T97" s="46"/>
      <c r="U97" s="46"/>
    </row>
    <row r="98" spans="2:21" x14ac:dyDescent="0.2">
      <c r="B98" s="46"/>
      <c r="C98" s="46"/>
      <c r="D98" s="46"/>
      <c r="E98" s="46"/>
      <c r="F98" s="46"/>
      <c r="G98" s="46"/>
      <c r="H98" s="46"/>
      <c r="M98" s="46"/>
      <c r="N98" s="46"/>
      <c r="O98" s="46"/>
      <c r="P98" s="46"/>
      <c r="Q98" s="46"/>
      <c r="R98" s="46"/>
      <c r="S98" s="46"/>
      <c r="T98" s="46"/>
      <c r="U98" s="46"/>
    </row>
    <row r="99" spans="2:21" x14ac:dyDescent="0.2">
      <c r="B99" s="46"/>
      <c r="C99" s="46"/>
      <c r="D99" s="46"/>
      <c r="E99" s="46"/>
      <c r="F99" s="46"/>
      <c r="G99" s="46"/>
      <c r="H99" s="46"/>
      <c r="M99" s="46"/>
      <c r="N99" s="46"/>
      <c r="O99" s="46"/>
      <c r="P99" s="46"/>
      <c r="Q99" s="46"/>
      <c r="R99" s="46"/>
      <c r="S99" s="46"/>
      <c r="T99" s="46"/>
      <c r="U99" s="46"/>
    </row>
    <row r="100" spans="2:21" x14ac:dyDescent="0.2">
      <c r="B100" s="46"/>
      <c r="C100" s="46"/>
      <c r="D100" s="46"/>
      <c r="E100" s="46"/>
      <c r="F100" s="46"/>
      <c r="G100" s="46"/>
      <c r="H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 spans="2:21" x14ac:dyDescent="0.2">
      <c r="B101" s="46"/>
      <c r="C101" s="46"/>
      <c r="D101" s="46"/>
      <c r="E101" s="46"/>
      <c r="F101" s="46"/>
      <c r="G101" s="46"/>
      <c r="H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 spans="2:21" x14ac:dyDescent="0.2"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2:21" x14ac:dyDescent="0.2">
      <c r="M103" s="46"/>
      <c r="N103" s="46"/>
      <c r="O103" s="46"/>
      <c r="P103" s="46"/>
      <c r="Q103" s="46"/>
      <c r="R103" s="46"/>
      <c r="S103" s="46"/>
      <c r="T103" s="46"/>
      <c r="U103" s="46"/>
    </row>
    <row r="104" spans="2:21" x14ac:dyDescent="0.2">
      <c r="M104" s="46"/>
      <c r="N104" s="46"/>
      <c r="O104" s="46"/>
      <c r="P104" s="46"/>
      <c r="Q104" s="46"/>
      <c r="R104" s="46"/>
      <c r="S104" s="46"/>
      <c r="T104" s="46"/>
      <c r="U104" s="46"/>
    </row>
    <row r="105" spans="2:21" x14ac:dyDescent="0.2">
      <c r="M105" s="46"/>
      <c r="N105" s="46"/>
      <c r="O105" s="46"/>
      <c r="P105" s="46"/>
      <c r="Q105" s="46"/>
      <c r="R105" s="46"/>
      <c r="S105" s="46"/>
      <c r="T105" s="46"/>
      <c r="U105" s="46"/>
    </row>
    <row r="111" spans="2:21" x14ac:dyDescent="0.2">
      <c r="B111" s="46"/>
      <c r="C111" s="46"/>
      <c r="D111" s="46"/>
      <c r="E111" s="46"/>
      <c r="F111" s="46"/>
      <c r="G111" s="46"/>
      <c r="H111" s="46"/>
    </row>
    <row r="115" spans="13:21" x14ac:dyDescent="0.2">
      <c r="M115" s="46"/>
      <c r="N115" s="46"/>
      <c r="O115" s="46"/>
      <c r="P115" s="46"/>
      <c r="Q115" s="46"/>
      <c r="R115" s="46"/>
      <c r="S115" s="46"/>
      <c r="T115" s="46"/>
      <c r="U115" s="46"/>
    </row>
  </sheetData>
  <mergeCells count="1">
    <mergeCell ref="AH2:AI2"/>
  </mergeCells>
  <dataValidations count="4">
    <dataValidation type="list" allowBlank="1" showInputMessage="1" showErrorMessage="1" sqref="E3:E4 E40:E76">
      <formula1>"Following,Modified Following,Preceding,Modified Preceding,Unadjusted,Half-Month Modified Following"</formula1>
    </dataValidation>
    <dataValidation type="list" allowBlank="1" showInputMessage="1" showErrorMessage="1" sqref="F3:F4 F40:F7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0:D76">
      <formula1>"Annual,Semiannual,EveryFourthMonth,Quarterly,Bimonthly,Monthly,Biweekly,Weekly,Daily,Once,NoFrequency"</formula1>
    </dataValidation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62</vt:i4>
      </vt:variant>
    </vt:vector>
  </HeadingPairs>
  <TitlesOfParts>
    <vt:vector size="69" baseType="lpstr">
      <vt:lpstr>GeneralSettings</vt:lpstr>
      <vt:lpstr>GBPON</vt:lpstr>
      <vt:lpstr>GBP3M</vt:lpstr>
      <vt:lpstr>GBP6M</vt:lpstr>
      <vt:lpstr>GBP1M</vt:lpstr>
      <vt:lpstr>GBP1Y</vt:lpstr>
      <vt:lpstr>GBPSTD</vt:lpstr>
      <vt:lpstr>Calendar</vt:lpstr>
      <vt:lpstr>Currency</vt:lpstr>
      <vt:lpstr>Discounting1</vt:lpstr>
      <vt:lpstr>Discounting2</vt:lpstr>
      <vt:lpstr>DiscountingSTD</vt:lpstr>
      <vt:lpstr>EvaluationDate</vt:lpstr>
      <vt:lpstr>EvalutionDate</vt:lpstr>
      <vt:lpstr>FamilyName</vt:lpstr>
      <vt:lpstr>GBP1M!IncludeFlag</vt:lpstr>
      <vt:lpstr>GBP1Y!IncludeFlag</vt:lpstr>
      <vt:lpstr>GBP3M!IncludeFlag</vt:lpstr>
      <vt:lpstr>GBP6M!IncludeFlag</vt:lpstr>
      <vt:lpstr>GBPON!IncludeFlag</vt:lpstr>
      <vt:lpstr>GBPSTD!IncludeFlag</vt:lpstr>
      <vt:lpstr>LCHcubic</vt:lpstr>
      <vt:lpstr>LCHlinear</vt:lpstr>
      <vt:lpstr>LCHQuoteOverwrite</vt:lpstr>
      <vt:lpstr>LCHQuoteSuffix</vt:lpstr>
      <vt:lpstr>GBP1M!MinDistance</vt:lpstr>
      <vt:lpstr>GBP1Y!MinDistance</vt:lpstr>
      <vt:lpstr>GBP3M!MinDistance</vt:lpstr>
      <vt:lpstr>GBP6M!MinDistance</vt:lpstr>
      <vt:lpstr>GBPON!MinDistance</vt:lpstr>
      <vt:lpstr>GBPSTD!MinDistance</vt:lpstr>
      <vt:lpstr>ObjectOverwrite</vt:lpstr>
      <vt:lpstr>Permanent</vt:lpstr>
      <vt:lpstr>PillarDate</vt:lpstr>
      <vt:lpstr>GBP1M!Priority</vt:lpstr>
      <vt:lpstr>GBP1Y!Priority</vt:lpstr>
      <vt:lpstr>GBP3M!Priority</vt:lpstr>
      <vt:lpstr>GBP6M!Priority</vt:lpstr>
      <vt:lpstr>GBPON!Priority</vt:lpstr>
      <vt:lpstr>GBPSTD!Priority</vt:lpstr>
      <vt:lpstr>QuoteSuffix</vt:lpstr>
      <vt:lpstr>GBPON!RateHelpers</vt:lpstr>
      <vt:lpstr>RateHelpers</vt:lpstr>
      <vt:lpstr>GBP1M!RateHelpers1</vt:lpstr>
      <vt:lpstr>GBP1Y!RateHelpers1</vt:lpstr>
      <vt:lpstr>GBP3M!RateHelpers1</vt:lpstr>
      <vt:lpstr>GBP6M!RateHelpers1</vt:lpstr>
      <vt:lpstr>GBPSTD!RateHelpers1</vt:lpstr>
      <vt:lpstr>GBP1M!RateHelpers2</vt:lpstr>
      <vt:lpstr>GBP1Y!RateHelpers2</vt:lpstr>
      <vt:lpstr>GBP3M!RateHelpers2</vt:lpstr>
      <vt:lpstr>GBP6M!RateHelpers2</vt:lpstr>
      <vt:lpstr>SettlementDate</vt:lpstr>
      <vt:lpstr>GBP1M!Tenor</vt:lpstr>
      <vt:lpstr>GBP1Y!Tenor</vt:lpstr>
      <vt:lpstr>GBP3M!Tenor</vt:lpstr>
      <vt:lpstr>GBP6M!Tenor</vt:lpstr>
      <vt:lpstr>Trigger</vt:lpstr>
      <vt:lpstr>yieldcurve1_1M</vt:lpstr>
      <vt:lpstr>yieldcurve1_1Y</vt:lpstr>
      <vt:lpstr>YieldCurve1_3M</vt:lpstr>
      <vt:lpstr>YieldCurve1_6M</vt:lpstr>
      <vt:lpstr>YieldCurve1_ON</vt:lpstr>
      <vt:lpstr>yieldcurve1_STD</vt:lpstr>
      <vt:lpstr>yieldcurve2_1M</vt:lpstr>
      <vt:lpstr>yieldcurve2_1Y</vt:lpstr>
      <vt:lpstr>yieldcurve2_3M</vt:lpstr>
      <vt:lpstr>YieldCurve2_6M</vt:lpstr>
      <vt:lpstr>yieldcurve2_ON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2015-10-29T18:07:22Z</dcterms:modified>
</cp:coreProperties>
</file>