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9110" yWindow="-15" windowWidth="19170" windowHeight="12795"/>
  </bookViews>
  <sheets>
    <sheet name="GeneralSettings" sheetId="1" r:id="rId1"/>
    <sheet name="EURON" sheetId="14" r:id="rId2"/>
    <sheet name="EUR3M" sheetId="15" r:id="rId3"/>
    <sheet name="EUR6M" sheetId="16" r:id="rId4"/>
    <sheet name="EUR1M" sheetId="17" r:id="rId5"/>
    <sheet name="EUR1Y" sheetId="18" r:id="rId6"/>
    <sheet name="EURSTD" sheetId="19" r:id="rId7"/>
  </sheets>
  <externalReferences>
    <externalReference r:id="rId8"/>
  </externalReferences>
  <definedNames>
    <definedName name="Calendar">GeneralSettings!$D$11</definedName>
    <definedName name="Currency">GeneralSettings!$D$3</definedName>
    <definedName name="Discounting1">GeneralSettings!$I$8</definedName>
    <definedName name="Discounting2">GeneralSettings!$I$9</definedName>
    <definedName name="DiscountingSTD">GeneralSettings!$I$10</definedName>
    <definedName name="EvaluationDate">GeneralSettings!$D$9</definedName>
    <definedName name="EvalutionDate">GeneralSettings!$D$9</definedName>
    <definedName name="FamilyName">GeneralSettings!$I$3</definedName>
    <definedName name="IncludeFlag" localSheetId="4">EUR1M!$R$3:$R$89</definedName>
    <definedName name="IncludeFlag" localSheetId="5">EUR1Y!$R$3:$R$51</definedName>
    <definedName name="IncludeFlag" localSheetId="2">EUR3M!$R$3:$R$90</definedName>
    <definedName name="IncludeFlag" localSheetId="3">EUR6M!$R$3:$R$47</definedName>
    <definedName name="IncludeFlag" localSheetId="1">EURON!$M$3:$M$62</definedName>
    <definedName name="IncludeFlag" localSheetId="6">EURSTD!$P$3:$P$60</definedName>
    <definedName name="LCHcubic">GeneralSettings!$I$7</definedName>
    <definedName name="LCHlinear">GeneralSettings!$I$6</definedName>
    <definedName name="LCHQuoteOverwrite">GeneralSettings!$I$11</definedName>
    <definedName name="LCHQuoteSuffix">GeneralSettings!$I$5</definedName>
    <definedName name="MinDistance" localSheetId="4">EUR1M!$T$3:$T$89</definedName>
    <definedName name="MinDistance" localSheetId="5">EUR1Y!$T$3:$T$51</definedName>
    <definedName name="MinDistance" localSheetId="2">EUR3M!$T$3:$T$90</definedName>
    <definedName name="MinDistance" localSheetId="3">EUR6M!$T$3:$T$47</definedName>
    <definedName name="MinDistance" localSheetId="1">EURON!$O$3:$O$62</definedName>
    <definedName name="MinDistance" localSheetId="6">EURSTD!$R$3:$R$60</definedName>
    <definedName name="ObjectOverwrite">GeneralSettings!$D$6</definedName>
    <definedName name="Permanent">GeneralSettings!$D$4</definedName>
    <definedName name="PillarDate">GeneralSettings!$D$7</definedName>
    <definedName name="Priority" localSheetId="4">EUR1M!$S$3:$S$89</definedName>
    <definedName name="Priority" localSheetId="5">EUR1Y!$S$3:$S$51</definedName>
    <definedName name="Priority" localSheetId="2">EUR3M!$S$3:$S$90</definedName>
    <definedName name="Priority" localSheetId="3">EUR6M!$S$3:$S$47</definedName>
    <definedName name="Priority" localSheetId="1">EURON!$N$3:$N$62</definedName>
    <definedName name="Priority" localSheetId="6">EURSTD!$Q$3:$Q$60</definedName>
    <definedName name="QuoteSuffix">GeneralSettings!$I$4</definedName>
    <definedName name="RateHelpers" localSheetId="1">EURON!$J$3:$J$62</definedName>
    <definedName name="RateHelpers">EURSTD!$M$3:$M$60</definedName>
    <definedName name="RateHelpers1" localSheetId="4">EUR1M!$N$3:$N$89</definedName>
    <definedName name="RateHelpers1" localSheetId="5">EUR1Y!$N$3:$N$51</definedName>
    <definedName name="RateHelpers1" localSheetId="2">EUR3M!$N$3:$N$90</definedName>
    <definedName name="RateHelpers1" localSheetId="3">EUR6M!$N$3:$N$47</definedName>
    <definedName name="RateHelpers1" localSheetId="6">EURSTD!$M$3:$M$60</definedName>
    <definedName name="RateHelpers2" localSheetId="4">EUR1M!$O$3:$O$89</definedName>
    <definedName name="RateHelpers2" localSheetId="5">EUR1Y!$O$3:$O$51</definedName>
    <definedName name="RateHelpers2" localSheetId="2">EUR3M!$O$3:$O$90</definedName>
    <definedName name="RateHelpers2" localSheetId="3">EUR6M!$O$3:$O$47</definedName>
    <definedName name="RateHelpers2" localSheetId="6">EURSTD!#REF!</definedName>
    <definedName name="SettlementDate">GeneralSettings!$D$10</definedName>
    <definedName name="Tenor" localSheetId="4">EUR1M!$G$1</definedName>
    <definedName name="Tenor" localSheetId="5">EUR1Y!$G$1</definedName>
    <definedName name="Tenor" localSheetId="2">EUR3M!$G$1</definedName>
    <definedName name="Tenor" localSheetId="3">EUR6M!$G$1</definedName>
    <definedName name="Trigger">GeneralSettings!$D$5</definedName>
    <definedName name="yieldcurve1_1M">GeneralSettings!$D$60</definedName>
    <definedName name="yieldcurve1_1Y">GeneralSettings!$D$75</definedName>
    <definedName name="YieldCurve1_3M">GeneralSettings!$D$30</definedName>
    <definedName name="YieldCurve1_6M">GeneralSettings!$D$45</definedName>
    <definedName name="YieldCurve1_ON">GeneralSettings!$D$15</definedName>
    <definedName name="yieldcurve1_STD">GeneralSettings!$D$90</definedName>
    <definedName name="yieldcurve2_1M">GeneralSettings!$I$60</definedName>
    <definedName name="yieldcurve2_1Y">GeneralSettings!$I$75</definedName>
    <definedName name="yieldcurve2_3M">GeneralSettings!$I$30</definedName>
    <definedName name="YieldCurve2_6M">GeneralSettings!$I$45</definedName>
    <definedName name="yieldcurve2_ON">GeneralSettings!$I$15</definedName>
  </definedNames>
  <calcPr calcId="145621"/>
</workbook>
</file>

<file path=xl/calcChain.xml><?xml version="1.0" encoding="utf-8"?>
<calcChain xmlns="http://schemas.openxmlformats.org/spreadsheetml/2006/main">
  <c r="D92" i="1" l="1"/>
  <c r="C100" i="1"/>
  <c r="AE3" i="19" a="1"/>
  <c r="AD3" i="19" a="1"/>
  <c r="AE6" i="19" l="1"/>
  <c r="AE14" i="19"/>
  <c r="AE22" i="19"/>
  <c r="AE30" i="19"/>
  <c r="AE38" i="19"/>
  <c r="AE46" i="19"/>
  <c r="AE54" i="19"/>
  <c r="AE7" i="19"/>
  <c r="AE15" i="19"/>
  <c r="AE23" i="19"/>
  <c r="AE31" i="19"/>
  <c r="AE39" i="19"/>
  <c r="AE47" i="19"/>
  <c r="AE55" i="19"/>
  <c r="AE8" i="19"/>
  <c r="AE16" i="19"/>
  <c r="AE24" i="19"/>
  <c r="AE32" i="19"/>
  <c r="AE40" i="19"/>
  <c r="AE48" i="19"/>
  <c r="AE56" i="19"/>
  <c r="AE9" i="19"/>
  <c r="AE17" i="19"/>
  <c r="AE25" i="19"/>
  <c r="AE33" i="19"/>
  <c r="AE41" i="19"/>
  <c r="AE49" i="19"/>
  <c r="AE57" i="19"/>
  <c r="AE10" i="19"/>
  <c r="AE18" i="19"/>
  <c r="AE26" i="19"/>
  <c r="AE34" i="19"/>
  <c r="AE42" i="19"/>
  <c r="AE50" i="19"/>
  <c r="AE58" i="19"/>
  <c r="AE3" i="19"/>
  <c r="AE11" i="19"/>
  <c r="AE19" i="19"/>
  <c r="AE27" i="19"/>
  <c r="AE35" i="19"/>
  <c r="AE43" i="19"/>
  <c r="AE51" i="19"/>
  <c r="AE59" i="19"/>
  <c r="AE4" i="19"/>
  <c r="AE12" i="19"/>
  <c r="AE20" i="19"/>
  <c r="AE28" i="19"/>
  <c r="AE36" i="19"/>
  <c r="AE44" i="19"/>
  <c r="AE52" i="19"/>
  <c r="AE60" i="19"/>
  <c r="AE5" i="19"/>
  <c r="AE13" i="19"/>
  <c r="AE21" i="19"/>
  <c r="AE29" i="19"/>
  <c r="AE37" i="19"/>
  <c r="AE45" i="19"/>
  <c r="AE53" i="19"/>
  <c r="AD3" i="19"/>
  <c r="AD11" i="19"/>
  <c r="AD19" i="19"/>
  <c r="AD27" i="19"/>
  <c r="AD35" i="19"/>
  <c r="AD43" i="19"/>
  <c r="AD51" i="19"/>
  <c r="AD59" i="19"/>
  <c r="AD4" i="19"/>
  <c r="AD12" i="19"/>
  <c r="AD20" i="19"/>
  <c r="AD28" i="19"/>
  <c r="AD36" i="19"/>
  <c r="AD44" i="19"/>
  <c r="AD52" i="19"/>
  <c r="AD60" i="19"/>
  <c r="AD5" i="19"/>
  <c r="AD13" i="19"/>
  <c r="AD21" i="19"/>
  <c r="AD29" i="19"/>
  <c r="AD37" i="19"/>
  <c r="AD45" i="19"/>
  <c r="AD53" i="19"/>
  <c r="AD6" i="19"/>
  <c r="AD14" i="19"/>
  <c r="AD22" i="19"/>
  <c r="AD30" i="19"/>
  <c r="AD38" i="19"/>
  <c r="AD46" i="19"/>
  <c r="AD54" i="19"/>
  <c r="AD7" i="19"/>
  <c r="AD15" i="19"/>
  <c r="AD23" i="19"/>
  <c r="AD31" i="19"/>
  <c r="AD39" i="19"/>
  <c r="AD47" i="19"/>
  <c r="AD55" i="19"/>
  <c r="AD8" i="19"/>
  <c r="AD16" i="19"/>
  <c r="AD24" i="19"/>
  <c r="AD32" i="19"/>
  <c r="AD40" i="19"/>
  <c r="AD48" i="19"/>
  <c r="AD56" i="19"/>
  <c r="AD9" i="19"/>
  <c r="AD17" i="19"/>
  <c r="AD25" i="19"/>
  <c r="AD33" i="19"/>
  <c r="AD41" i="19"/>
  <c r="AD49" i="19"/>
  <c r="AD57" i="19"/>
  <c r="AD10" i="19"/>
  <c r="AD18" i="19"/>
  <c r="AD26" i="19"/>
  <c r="AD34" i="19"/>
  <c r="AD42" i="19"/>
  <c r="AD50" i="19"/>
  <c r="AD58" i="19"/>
  <c r="L25" i="19"/>
  <c r="M25" i="19"/>
  <c r="L26" i="19"/>
  <c r="M26" i="19"/>
  <c r="L27" i="19"/>
  <c r="M27" i="19"/>
  <c r="L28" i="19"/>
  <c r="L29" i="19"/>
  <c r="L30" i="19"/>
  <c r="L31" i="19"/>
  <c r="L32" i="19"/>
  <c r="L33" i="19"/>
  <c r="L34" i="19"/>
  <c r="L35" i="19"/>
  <c r="L36" i="19"/>
  <c r="L37" i="19"/>
  <c r="M37" i="19"/>
  <c r="L38" i="19"/>
  <c r="L39" i="19"/>
  <c r="M39" i="19"/>
  <c r="L40" i="19"/>
  <c r="M40" i="19"/>
  <c r="L41" i="19"/>
  <c r="L42" i="19"/>
  <c r="M42" i="19"/>
  <c r="L43" i="19"/>
  <c r="M43" i="19"/>
  <c r="L44" i="19"/>
  <c r="M44" i="19"/>
  <c r="L45" i="19"/>
  <c r="M45" i="19"/>
  <c r="L46" i="19"/>
  <c r="L47" i="19"/>
  <c r="M47" i="19"/>
  <c r="L48" i="19"/>
  <c r="M48" i="19"/>
  <c r="L49" i="19"/>
  <c r="M49" i="19"/>
  <c r="L50" i="19"/>
  <c r="M50" i="19"/>
  <c r="L51" i="19"/>
  <c r="L52" i="19"/>
  <c r="M52" i="19"/>
  <c r="L53" i="19"/>
  <c r="M53" i="19"/>
  <c r="L54" i="19"/>
  <c r="M54" i="19"/>
  <c r="L55" i="19"/>
  <c r="M55" i="19"/>
  <c r="L56" i="19"/>
  <c r="L57" i="19"/>
  <c r="M57" i="19"/>
  <c r="L58" i="19"/>
  <c r="L59" i="19"/>
  <c r="L60" i="19"/>
  <c r="M24" i="19"/>
  <c r="L24" i="19"/>
  <c r="L13" i="19"/>
  <c r="L14" i="19"/>
  <c r="L15" i="19"/>
  <c r="L16" i="19"/>
  <c r="L17" i="19"/>
  <c r="L18" i="19"/>
  <c r="L19" i="19"/>
  <c r="L20" i="19"/>
  <c r="L21" i="19"/>
  <c r="L22" i="19"/>
  <c r="L23" i="19"/>
  <c r="L12" i="19"/>
  <c r="L4" i="19"/>
  <c r="L5" i="19"/>
  <c r="L6" i="19"/>
  <c r="M6" i="19"/>
  <c r="L7" i="19"/>
  <c r="M7" i="19"/>
  <c r="L8" i="19"/>
  <c r="M8" i="19"/>
  <c r="L9" i="19"/>
  <c r="M9" i="19"/>
  <c r="L10" i="19"/>
  <c r="M10" i="19"/>
  <c r="L11" i="19"/>
  <c r="M11" i="19"/>
  <c r="L3" i="19"/>
  <c r="H29" i="19"/>
  <c r="H30" i="19"/>
  <c r="H31" i="19"/>
  <c r="H32" i="19"/>
  <c r="H33" i="19"/>
  <c r="H34" i="19"/>
  <c r="H35" i="19"/>
  <c r="H36" i="19"/>
  <c r="H37" i="19"/>
  <c r="H38" i="19"/>
  <c r="H39" i="19"/>
  <c r="H40" i="19"/>
  <c r="H41" i="19"/>
  <c r="H42" i="19"/>
  <c r="H43" i="19"/>
  <c r="H44" i="19"/>
  <c r="H45" i="19"/>
  <c r="H46" i="19"/>
  <c r="H47" i="19"/>
  <c r="H48" i="19"/>
  <c r="H49" i="19"/>
  <c r="H50" i="19"/>
  <c r="H51" i="19"/>
  <c r="H52" i="19"/>
  <c r="H53" i="19"/>
  <c r="H54" i="19"/>
  <c r="H55" i="19"/>
  <c r="H56" i="19"/>
  <c r="H57" i="19"/>
  <c r="H58" i="19"/>
  <c r="H59" i="19"/>
  <c r="H60" i="19"/>
  <c r="H61" i="19"/>
  <c r="H62" i="19"/>
  <c r="H63" i="19"/>
  <c r="H64" i="19"/>
  <c r="H28" i="19"/>
  <c r="G29" i="19"/>
  <c r="G30" i="19"/>
  <c r="G31" i="19"/>
  <c r="G32" i="19"/>
  <c r="G33" i="19"/>
  <c r="G34" i="19"/>
  <c r="G35" i="19"/>
  <c r="G36" i="19"/>
  <c r="G37" i="19"/>
  <c r="G38" i="19"/>
  <c r="G39" i="19"/>
  <c r="G40" i="19"/>
  <c r="G41" i="19"/>
  <c r="G42" i="19"/>
  <c r="G43" i="19"/>
  <c r="G44" i="19"/>
  <c r="G45" i="19"/>
  <c r="G46" i="19"/>
  <c r="G47" i="19"/>
  <c r="G48" i="19"/>
  <c r="G49" i="19"/>
  <c r="G50" i="19"/>
  <c r="G51" i="19"/>
  <c r="G52" i="19"/>
  <c r="G53" i="19"/>
  <c r="G54" i="19"/>
  <c r="G55" i="19"/>
  <c r="G56" i="19"/>
  <c r="G57" i="19"/>
  <c r="G58" i="19"/>
  <c r="G59" i="19"/>
  <c r="G60" i="19"/>
  <c r="G61" i="19"/>
  <c r="G62" i="19"/>
  <c r="G63" i="19"/>
  <c r="G64" i="19"/>
  <c r="G28" i="19"/>
  <c r="G15" i="19"/>
  <c r="G16" i="19"/>
  <c r="G17" i="19"/>
  <c r="G18" i="19"/>
  <c r="G19" i="19"/>
  <c r="G20" i="19"/>
  <c r="G21" i="19"/>
  <c r="G22" i="19"/>
  <c r="G23" i="19"/>
  <c r="G24" i="19"/>
  <c r="G25" i="19"/>
  <c r="G14" i="19"/>
  <c r="H5" i="19"/>
  <c r="H4" i="19"/>
  <c r="H6" i="19"/>
  <c r="H7" i="19"/>
  <c r="H8" i="19"/>
  <c r="H9" i="19"/>
  <c r="H10" i="19"/>
  <c r="H11" i="19"/>
  <c r="H3" i="19"/>
  <c r="G5" i="19"/>
  <c r="G6" i="19"/>
  <c r="G7" i="19"/>
  <c r="G8" i="19"/>
  <c r="G11" i="19"/>
  <c r="V1" i="19"/>
  <c r="J34" i="19"/>
  <c r="J42" i="19"/>
  <c r="J50" i="19"/>
  <c r="J35" i="19"/>
  <c r="J45" i="19"/>
  <c r="J38" i="19"/>
  <c r="J62" i="19"/>
  <c r="J55" i="19"/>
  <c r="J36" i="19"/>
  <c r="J60" i="19"/>
  <c r="J37" i="19"/>
  <c r="J63" i="19"/>
  <c r="J39" i="19"/>
  <c r="J40" i="19"/>
  <c r="J64" i="19"/>
  <c r="J5" i="19"/>
  <c r="O37" i="19"/>
  <c r="T39" i="19"/>
  <c r="N44" i="19"/>
  <c r="O45" i="19"/>
  <c r="T47" i="19"/>
  <c r="N52" i="19"/>
  <c r="O53" i="19"/>
  <c r="S54" i="19"/>
  <c r="T55" i="19"/>
  <c r="N27" i="19"/>
  <c r="S37" i="19"/>
  <c r="N43" i="19"/>
  <c r="O44" i="19"/>
  <c r="S45" i="19"/>
  <c r="S53" i="19"/>
  <c r="T54" i="19"/>
  <c r="O27" i="19"/>
  <c r="T37" i="19"/>
  <c r="N42" i="19"/>
  <c r="S44" i="19"/>
  <c r="N50" i="19"/>
  <c r="S52" i="19"/>
  <c r="N25" i="19"/>
  <c r="S27" i="19"/>
  <c r="O42" i="19"/>
  <c r="T44" i="19"/>
  <c r="O50" i="19"/>
  <c r="T52" i="19"/>
  <c r="S26" i="19"/>
  <c r="N40" i="19"/>
  <c r="S42" i="19"/>
  <c r="N48" i="19"/>
  <c r="S50" i="19"/>
  <c r="S25" i="19"/>
  <c r="N39" i="19"/>
  <c r="O48" i="19"/>
  <c r="T50" i="19"/>
  <c r="N55" i="19"/>
  <c r="S57" i="19"/>
  <c r="T25" i="19"/>
  <c r="O39" i="19"/>
  <c r="S48" i="19"/>
  <c r="O55" i="19"/>
  <c r="T57" i="19"/>
  <c r="N37" i="19"/>
  <c r="T40" i="19"/>
  <c r="N45" i="19"/>
  <c r="S47" i="19"/>
  <c r="S55" i="19"/>
  <c r="O52" i="19"/>
  <c r="N26" i="19"/>
  <c r="O43" i="19"/>
  <c r="T45" i="19"/>
  <c r="T53" i="19"/>
  <c r="O26" i="19"/>
  <c r="S43" i="19"/>
  <c r="N49" i="19"/>
  <c r="N57" i="19"/>
  <c r="O25" i="19"/>
  <c r="T27" i="19"/>
  <c r="T43" i="19"/>
  <c r="O49" i="19"/>
  <c r="O57" i="19"/>
  <c r="T26" i="19"/>
  <c r="O40" i="19"/>
  <c r="T42" i="19"/>
  <c r="N47" i="19"/>
  <c r="S49" i="19"/>
  <c r="S40" i="19"/>
  <c r="O47" i="19"/>
  <c r="T49" i="19"/>
  <c r="N54" i="19"/>
  <c r="S39" i="19"/>
  <c r="T48" i="19"/>
  <c r="O54" i="19"/>
  <c r="N53" i="19"/>
  <c r="N24" i="19"/>
  <c r="T24" i="19"/>
  <c r="O24" i="19"/>
  <c r="S24" i="19"/>
  <c r="N7" i="19"/>
  <c r="O8" i="19"/>
  <c r="S9" i="19"/>
  <c r="T10" i="19"/>
  <c r="N6" i="19"/>
  <c r="O7" i="19"/>
  <c r="S8" i="19"/>
  <c r="T9" i="19"/>
  <c r="O6" i="19"/>
  <c r="S7" i="19"/>
  <c r="T8" i="19"/>
  <c r="S6" i="19"/>
  <c r="T7" i="19"/>
  <c r="T6" i="19"/>
  <c r="N11" i="19"/>
  <c r="N10" i="19"/>
  <c r="O11" i="19"/>
  <c r="N9" i="19"/>
  <c r="O10" i="19"/>
  <c r="S11" i="19"/>
  <c r="N8" i="19"/>
  <c r="O9" i="19"/>
  <c r="S10" i="19"/>
  <c r="T11" i="19"/>
  <c r="G4" i="19"/>
  <c r="J4" i="19" s="1"/>
  <c r="G3" i="19"/>
  <c r="G10" i="19"/>
  <c r="G9" i="19"/>
  <c r="J3" i="19"/>
  <c r="M3" i="19" l="1"/>
  <c r="M4" i="19"/>
  <c r="M32" i="19"/>
  <c r="M46" i="19"/>
  <c r="M56" i="19"/>
  <c r="M38" i="19"/>
  <c r="M30" i="19"/>
  <c r="M29" i="19"/>
  <c r="M60" i="19"/>
  <c r="M36" i="19"/>
  <c r="M28" i="19"/>
  <c r="M59" i="19"/>
  <c r="M51" i="19"/>
  <c r="M35" i="19"/>
  <c r="M58" i="19"/>
  <c r="M34" i="19"/>
  <c r="M31" i="19"/>
  <c r="M41" i="19"/>
  <c r="M33" i="19"/>
  <c r="M5" i="19"/>
  <c r="H55" i="1"/>
  <c r="H25" i="1"/>
  <c r="N3" i="19"/>
  <c r="O3" i="19"/>
  <c r="S3" i="19"/>
  <c r="T3" i="19"/>
  <c r="T60" i="19"/>
  <c r="O60" i="19"/>
  <c r="S60" i="19"/>
  <c r="N60" i="19"/>
  <c r="S31" i="19"/>
  <c r="O31" i="19"/>
  <c r="N31" i="19"/>
  <c r="T31" i="19"/>
  <c r="T4" i="19"/>
  <c r="S4" i="19"/>
  <c r="O4" i="19"/>
  <c r="N4" i="19"/>
  <c r="T36" i="19"/>
  <c r="S36" i="19"/>
  <c r="O36" i="19"/>
  <c r="N36" i="19"/>
  <c r="O41" i="19"/>
  <c r="N41" i="19"/>
  <c r="T41" i="19"/>
  <c r="S41" i="19"/>
  <c r="O32" i="19"/>
  <c r="N32" i="19"/>
  <c r="T32" i="19"/>
  <c r="S32" i="19"/>
  <c r="T28" i="19"/>
  <c r="S28" i="19"/>
  <c r="O28" i="19"/>
  <c r="N28" i="19"/>
  <c r="T33" i="19"/>
  <c r="N33" i="19"/>
  <c r="S33" i="19"/>
  <c r="O33" i="19"/>
  <c r="O46" i="19"/>
  <c r="N46" i="19"/>
  <c r="T46" i="19"/>
  <c r="S46" i="19"/>
  <c r="T59" i="19"/>
  <c r="O59" i="19"/>
  <c r="S59" i="19"/>
  <c r="N59" i="19"/>
  <c r="T56" i="19"/>
  <c r="S56" i="19"/>
  <c r="O56" i="19"/>
  <c r="N56" i="19"/>
  <c r="T51" i="19"/>
  <c r="S51" i="19"/>
  <c r="O51" i="19"/>
  <c r="N51" i="19"/>
  <c r="T5" i="19"/>
  <c r="S5" i="19"/>
  <c r="O5" i="19"/>
  <c r="N5" i="19"/>
  <c r="O38" i="19"/>
  <c r="N38" i="19"/>
  <c r="T38" i="19"/>
  <c r="S38" i="19"/>
  <c r="O35" i="19"/>
  <c r="T35" i="19"/>
  <c r="S35" i="19"/>
  <c r="N35" i="19"/>
  <c r="N30" i="19"/>
  <c r="O30" i="19"/>
  <c r="T30" i="19"/>
  <c r="S30" i="19"/>
  <c r="T58" i="19"/>
  <c r="S58" i="19"/>
  <c r="O58" i="19"/>
  <c r="N58" i="19"/>
  <c r="N29" i="19"/>
  <c r="T29" i="19"/>
  <c r="S29" i="19"/>
  <c r="O29" i="19"/>
  <c r="T34" i="19"/>
  <c r="S34" i="19"/>
  <c r="O34" i="19"/>
  <c r="N34" i="19"/>
  <c r="H85" i="1" l="1"/>
  <c r="I77" i="1"/>
  <c r="C85" i="1"/>
  <c r="D77" i="1"/>
  <c r="O15" i="18"/>
  <c r="O16" i="18"/>
  <c r="O17" i="18"/>
  <c r="O18" i="18"/>
  <c r="O28" i="18"/>
  <c r="O30" i="18"/>
  <c r="O31" i="18"/>
  <c r="O33" i="18"/>
  <c r="O34" i="18"/>
  <c r="O35" i="18"/>
  <c r="O36" i="18"/>
  <c r="O38" i="18"/>
  <c r="O39" i="18"/>
  <c r="O40" i="18"/>
  <c r="O41" i="18"/>
  <c r="O43" i="18"/>
  <c r="O44" i="18"/>
  <c r="O45" i="18"/>
  <c r="O46" i="18"/>
  <c r="O48" i="18"/>
  <c r="M15" i="18"/>
  <c r="N15" i="18"/>
  <c r="Q15" i="18"/>
  <c r="V15" i="18"/>
  <c r="P15" i="18"/>
  <c r="U15" i="18"/>
  <c r="AI3" i="18" a="1"/>
  <c r="AK3" i="18" a="1"/>
  <c r="AK3" i="15" a="1"/>
  <c r="AK3" i="16" a="1"/>
  <c r="AH3" i="18" a="1"/>
  <c r="AK3" i="15" l="1"/>
  <c r="AK11" i="15"/>
  <c r="AK19" i="15"/>
  <c r="AK27" i="15"/>
  <c r="AK35" i="15"/>
  <c r="AK43" i="15"/>
  <c r="AK51" i="15"/>
  <c r="AK59" i="15"/>
  <c r="AK67" i="15"/>
  <c r="AK75" i="15"/>
  <c r="AK83" i="15"/>
  <c r="AK45" i="15"/>
  <c r="AK61" i="15"/>
  <c r="AK85" i="15"/>
  <c r="AK6" i="15"/>
  <c r="AK38" i="15"/>
  <c r="AK46" i="15"/>
  <c r="AK70" i="15"/>
  <c r="AK86" i="15"/>
  <c r="AK15" i="15"/>
  <c r="AK31" i="15"/>
  <c r="AK39" i="15"/>
  <c r="AK55" i="15"/>
  <c r="AK71" i="15"/>
  <c r="AK87" i="15"/>
  <c r="AK8" i="15"/>
  <c r="AK24" i="15"/>
  <c r="AK48" i="15"/>
  <c r="AK56" i="15"/>
  <c r="AK72" i="15"/>
  <c r="AK88" i="15"/>
  <c r="AK9" i="15"/>
  <c r="AK25" i="15"/>
  <c r="AK57" i="15"/>
  <c r="AK73" i="15"/>
  <c r="AK89" i="15"/>
  <c r="AK10" i="15"/>
  <c r="AK26" i="15"/>
  <c r="AK50" i="15"/>
  <c r="AK66" i="15"/>
  <c r="AK82" i="15"/>
  <c r="AK4" i="15"/>
  <c r="AK12" i="15"/>
  <c r="AK20" i="15"/>
  <c r="AK28" i="15"/>
  <c r="AK36" i="15"/>
  <c r="AK44" i="15"/>
  <c r="AK52" i="15"/>
  <c r="AK60" i="15"/>
  <c r="AK68" i="15"/>
  <c r="AK76" i="15"/>
  <c r="AK84" i="15"/>
  <c r="AK5" i="15"/>
  <c r="AK13" i="15"/>
  <c r="AK21" i="15"/>
  <c r="AK29" i="15"/>
  <c r="AK37" i="15"/>
  <c r="AK53" i="15"/>
  <c r="AK69" i="15"/>
  <c r="AK77" i="15"/>
  <c r="AK14" i="15"/>
  <c r="AK22" i="15"/>
  <c r="AK30" i="15"/>
  <c r="AK54" i="15"/>
  <c r="AK62" i="15"/>
  <c r="AK78" i="15"/>
  <c r="AK7" i="15"/>
  <c r="AK23" i="15"/>
  <c r="AK47" i="15"/>
  <c r="AK63" i="15"/>
  <c r="AK79" i="15"/>
  <c r="AK16" i="15"/>
  <c r="AK32" i="15"/>
  <c r="AK40" i="15"/>
  <c r="AK64" i="15"/>
  <c r="AK80" i="15"/>
  <c r="AK17" i="15"/>
  <c r="AK33" i="15"/>
  <c r="AK41" i="15"/>
  <c r="AK49" i="15"/>
  <c r="AK65" i="15"/>
  <c r="AK81" i="15"/>
  <c r="AK18" i="15"/>
  <c r="AK34" i="15"/>
  <c r="AK42" i="15"/>
  <c r="AK58" i="15"/>
  <c r="AK74" i="15"/>
  <c r="AK90" i="15"/>
  <c r="AK3" i="16"/>
  <c r="AK11" i="16"/>
  <c r="AK19" i="16"/>
  <c r="AK27" i="16"/>
  <c r="AK35" i="16"/>
  <c r="AK43" i="16"/>
  <c r="AK14" i="16"/>
  <c r="AK30" i="16"/>
  <c r="AK15" i="16"/>
  <c r="AK23" i="16"/>
  <c r="AK39" i="16"/>
  <c r="AK16" i="16"/>
  <c r="AK32" i="16"/>
  <c r="AK17" i="16"/>
  <c r="AK33" i="16"/>
  <c r="AK10" i="16"/>
  <c r="AK26" i="16"/>
  <c r="AK4" i="16"/>
  <c r="AK12" i="16"/>
  <c r="AK20" i="16"/>
  <c r="AK28" i="16"/>
  <c r="AK36" i="16"/>
  <c r="AK44" i="16"/>
  <c r="AK5" i="16"/>
  <c r="AK13" i="16"/>
  <c r="AK21" i="16"/>
  <c r="AK29" i="16"/>
  <c r="AK37" i="16"/>
  <c r="AK45" i="16"/>
  <c r="AK6" i="16"/>
  <c r="AK22" i="16"/>
  <c r="AK38" i="16"/>
  <c r="AK46" i="16"/>
  <c r="AK7" i="16"/>
  <c r="AK31" i="16"/>
  <c r="AK47" i="16"/>
  <c r="AK8" i="16"/>
  <c r="AK24" i="16"/>
  <c r="AK40" i="16"/>
  <c r="AK9" i="16"/>
  <c r="AK25" i="16"/>
  <c r="AK41" i="16"/>
  <c r="AK18" i="16"/>
  <c r="AK34" i="16"/>
  <c r="AK42" i="16"/>
  <c r="AK3" i="18"/>
  <c r="AK11" i="18"/>
  <c r="AK19" i="18"/>
  <c r="AK27" i="18"/>
  <c r="AK35" i="18"/>
  <c r="AK43" i="18"/>
  <c r="AK51" i="18"/>
  <c r="AK4" i="18"/>
  <c r="AK12" i="18"/>
  <c r="AK20" i="18"/>
  <c r="AK28" i="18"/>
  <c r="AK36" i="18"/>
  <c r="AK44" i="18"/>
  <c r="AK5" i="18"/>
  <c r="AK13" i="18"/>
  <c r="AK21" i="18"/>
  <c r="AK29" i="18"/>
  <c r="AK37" i="18"/>
  <c r="AK45" i="18"/>
  <c r="AK6" i="18"/>
  <c r="AK14" i="18"/>
  <c r="AK22" i="18"/>
  <c r="AK30" i="18"/>
  <c r="AK38" i="18"/>
  <c r="AK46" i="18"/>
  <c r="AK7" i="18"/>
  <c r="AK15" i="18"/>
  <c r="AK23" i="18"/>
  <c r="AK31" i="18"/>
  <c r="AK39" i="18"/>
  <c r="AK47" i="18"/>
  <c r="AK8" i="18"/>
  <c r="AK16" i="18"/>
  <c r="AK24" i="18"/>
  <c r="AK32" i="18"/>
  <c r="AK40" i="18"/>
  <c r="AK48" i="18"/>
  <c r="AK9" i="18"/>
  <c r="AK17" i="18"/>
  <c r="AK25" i="18"/>
  <c r="AK33" i="18"/>
  <c r="AK41" i="18"/>
  <c r="AK49" i="18"/>
  <c r="AK10" i="18"/>
  <c r="AK18" i="18"/>
  <c r="AK26" i="18"/>
  <c r="AK34" i="18"/>
  <c r="AK42" i="18"/>
  <c r="AK50" i="18"/>
  <c r="AI3" i="18"/>
  <c r="AI11" i="18"/>
  <c r="AI19" i="18"/>
  <c r="AI27" i="18"/>
  <c r="AI35" i="18"/>
  <c r="AI43" i="18"/>
  <c r="AI51" i="18"/>
  <c r="AI4" i="18"/>
  <c r="AI12" i="18"/>
  <c r="AI20" i="18"/>
  <c r="AI28" i="18"/>
  <c r="AI36" i="18"/>
  <c r="AI44" i="18"/>
  <c r="AI5" i="18"/>
  <c r="AI13" i="18"/>
  <c r="AI21" i="18"/>
  <c r="AI29" i="18"/>
  <c r="AI37" i="18"/>
  <c r="AI45" i="18"/>
  <c r="AI6" i="18"/>
  <c r="AI14" i="18"/>
  <c r="AI22" i="18"/>
  <c r="AI30" i="18"/>
  <c r="AI38" i="18"/>
  <c r="AI46" i="18"/>
  <c r="AI7" i="18"/>
  <c r="AI15" i="18"/>
  <c r="AI23" i="18"/>
  <c r="AI31" i="18"/>
  <c r="AI39" i="18"/>
  <c r="AI47" i="18"/>
  <c r="AI8" i="18"/>
  <c r="AI16" i="18"/>
  <c r="AI24" i="18"/>
  <c r="AI32" i="18"/>
  <c r="AI40" i="18"/>
  <c r="AI48" i="18"/>
  <c r="AI9" i="18"/>
  <c r="AI17" i="18"/>
  <c r="AI25" i="18"/>
  <c r="AI33" i="18"/>
  <c r="AI41" i="18"/>
  <c r="AI49" i="18"/>
  <c r="AI10" i="18"/>
  <c r="AI18" i="18"/>
  <c r="AI26" i="18"/>
  <c r="AI34" i="18"/>
  <c r="AI42" i="18"/>
  <c r="AI50" i="18"/>
  <c r="AH3" i="18"/>
  <c r="AH11" i="18"/>
  <c r="AH19" i="18"/>
  <c r="AH27" i="18"/>
  <c r="AH35" i="18"/>
  <c r="AH43" i="18"/>
  <c r="AH51" i="18"/>
  <c r="AH4" i="18"/>
  <c r="AH12" i="18"/>
  <c r="AH20" i="18"/>
  <c r="AH28" i="18"/>
  <c r="AH36" i="18"/>
  <c r="AH44" i="18"/>
  <c r="AH5" i="18"/>
  <c r="AH13" i="18"/>
  <c r="AH21" i="18"/>
  <c r="AH29" i="18"/>
  <c r="AH37" i="18"/>
  <c r="AH45" i="18"/>
  <c r="AH6" i="18"/>
  <c r="AH14" i="18"/>
  <c r="AH22" i="18"/>
  <c r="AH30" i="18"/>
  <c r="AH38" i="18"/>
  <c r="AH46" i="18"/>
  <c r="AH7" i="18"/>
  <c r="AH15" i="18"/>
  <c r="AH23" i="18"/>
  <c r="AH31" i="18"/>
  <c r="AH39" i="18"/>
  <c r="AH47" i="18"/>
  <c r="AH8" i="18"/>
  <c r="AH16" i="18"/>
  <c r="AH24" i="18"/>
  <c r="AH32" i="18"/>
  <c r="AH40" i="18"/>
  <c r="AH48" i="18"/>
  <c r="AH9" i="18"/>
  <c r="AH17" i="18"/>
  <c r="AH25" i="18"/>
  <c r="AH33" i="18"/>
  <c r="AH41" i="18"/>
  <c r="AH49" i="18"/>
  <c r="AH10" i="18"/>
  <c r="AH18" i="18"/>
  <c r="AH26" i="18"/>
  <c r="AH34" i="18"/>
  <c r="AH42" i="18"/>
  <c r="AH50" i="18"/>
  <c r="M16" i="18"/>
  <c r="N16" i="18"/>
  <c r="M17" i="18"/>
  <c r="N17" i="18"/>
  <c r="M18" i="18"/>
  <c r="N18" i="18"/>
  <c r="H55" i="18"/>
  <c r="H54" i="18"/>
  <c r="H53" i="18"/>
  <c r="H52" i="18"/>
  <c r="H51" i="18"/>
  <c r="H50" i="18"/>
  <c r="H49" i="18"/>
  <c r="H48" i="18"/>
  <c r="H47" i="18"/>
  <c r="H46" i="18"/>
  <c r="H45" i="18"/>
  <c r="H44" i="18"/>
  <c r="H43" i="18"/>
  <c r="H42" i="18"/>
  <c r="H41" i="18"/>
  <c r="H40" i="18"/>
  <c r="H39" i="18"/>
  <c r="H38" i="18"/>
  <c r="H37" i="18"/>
  <c r="H36" i="18"/>
  <c r="H35" i="18"/>
  <c r="H34" i="18"/>
  <c r="H33" i="18"/>
  <c r="H32" i="18"/>
  <c r="H31" i="18"/>
  <c r="H30" i="18"/>
  <c r="H29" i="18"/>
  <c r="H28" i="18"/>
  <c r="H27" i="18"/>
  <c r="H26" i="18"/>
  <c r="H25" i="18"/>
  <c r="H24" i="18"/>
  <c r="H23" i="18"/>
  <c r="H22" i="18"/>
  <c r="H21" i="18"/>
  <c r="H20" i="18"/>
  <c r="H19" i="18"/>
  <c r="Q16" i="18"/>
  <c r="Q18" i="18"/>
  <c r="V16" i="18"/>
  <c r="P16" i="18"/>
  <c r="U17" i="18"/>
  <c r="P18" i="18"/>
  <c r="V18" i="18"/>
  <c r="V17" i="18"/>
  <c r="U18" i="18"/>
  <c r="P17" i="18"/>
  <c r="Q17" i="18"/>
  <c r="U16" i="18"/>
  <c r="H3" i="18" l="1"/>
  <c r="H15" i="17"/>
  <c r="H14" i="17"/>
  <c r="H13" i="17"/>
  <c r="H12" i="17"/>
  <c r="H11" i="17"/>
  <c r="H10" i="17"/>
  <c r="H9" i="17"/>
  <c r="H8" i="17"/>
  <c r="H7" i="17"/>
  <c r="H6" i="17"/>
  <c r="H16" i="17"/>
  <c r="I62" i="1" l="1"/>
  <c r="H70" i="1"/>
  <c r="C70" i="1"/>
  <c r="D62" i="1"/>
  <c r="O15" i="17"/>
  <c r="O16" i="17"/>
  <c r="O17" i="17"/>
  <c r="O18" i="17"/>
  <c r="O19" i="17"/>
  <c r="O20" i="17"/>
  <c r="O21" i="17"/>
  <c r="O22" i="17"/>
  <c r="O23" i="17"/>
  <c r="O24" i="17"/>
  <c r="O25" i="17"/>
  <c r="O26" i="17"/>
  <c r="O27" i="17"/>
  <c r="O28" i="17"/>
  <c r="O29" i="17"/>
  <c r="O30" i="17"/>
  <c r="O31" i="17"/>
  <c r="O32" i="17"/>
  <c r="O33" i="17"/>
  <c r="O34" i="17"/>
  <c r="O35" i="17"/>
  <c r="O36" i="17"/>
  <c r="O37" i="17"/>
  <c r="O38" i="17"/>
  <c r="O39" i="17"/>
  <c r="O40" i="17"/>
  <c r="O41" i="17"/>
  <c r="O42" i="17"/>
  <c r="O43" i="17"/>
  <c r="O44" i="17"/>
  <c r="O45" i="17"/>
  <c r="O46" i="17"/>
  <c r="O47" i="17"/>
  <c r="O48" i="17"/>
  <c r="O49" i="17"/>
  <c r="O50" i="17"/>
  <c r="O51" i="17"/>
  <c r="O52" i="17"/>
  <c r="O53" i="17"/>
  <c r="O54" i="17"/>
  <c r="O55" i="17"/>
  <c r="O56" i="17"/>
  <c r="O66" i="17"/>
  <c r="O68" i="17"/>
  <c r="O69" i="17"/>
  <c r="O71" i="17"/>
  <c r="O72" i="17"/>
  <c r="O73" i="17"/>
  <c r="O74" i="17"/>
  <c r="O76" i="17"/>
  <c r="O77" i="17"/>
  <c r="O78" i="17"/>
  <c r="O79" i="17"/>
  <c r="O81" i="17"/>
  <c r="O82" i="17"/>
  <c r="O83" i="17"/>
  <c r="O84" i="17"/>
  <c r="O86" i="17"/>
  <c r="AL3" i="17" a="1"/>
  <c r="AJ3" i="17" a="1"/>
  <c r="AI3" i="17" a="1"/>
  <c r="AL3" i="17" l="1"/>
  <c r="AL11" i="17"/>
  <c r="AL19" i="17"/>
  <c r="AL27" i="17"/>
  <c r="AL35" i="17"/>
  <c r="AL43" i="17"/>
  <c r="AL51" i="17"/>
  <c r="AL59" i="17"/>
  <c r="AL67" i="17"/>
  <c r="AL75" i="17"/>
  <c r="AL83" i="17"/>
  <c r="AL13" i="17"/>
  <c r="AL53" i="17"/>
  <c r="AL69" i="17"/>
  <c r="AL85" i="17"/>
  <c r="AL14" i="17"/>
  <c r="AL54" i="17"/>
  <c r="AL78" i="17"/>
  <c r="AL15" i="17"/>
  <c r="AL31" i="17"/>
  <c r="AL47" i="17"/>
  <c r="AL63" i="17"/>
  <c r="AL87" i="17"/>
  <c r="AL16" i="17"/>
  <c r="AL24" i="17"/>
  <c r="AL40" i="17"/>
  <c r="AL64" i="17"/>
  <c r="AL80" i="17"/>
  <c r="AL9" i="17"/>
  <c r="AL25" i="17"/>
  <c r="AL41" i="17"/>
  <c r="AL57" i="17"/>
  <c r="AL81" i="17"/>
  <c r="AL10" i="17"/>
  <c r="AL34" i="17"/>
  <c r="AL4" i="17"/>
  <c r="AL12" i="17"/>
  <c r="AL20" i="17"/>
  <c r="AL28" i="17"/>
  <c r="AL36" i="17"/>
  <c r="AL44" i="17"/>
  <c r="AL52" i="17"/>
  <c r="AL60" i="17"/>
  <c r="AL68" i="17"/>
  <c r="AL76" i="17"/>
  <c r="AL84" i="17"/>
  <c r="AL5" i="17"/>
  <c r="AL21" i="17"/>
  <c r="AL29" i="17"/>
  <c r="AL37" i="17"/>
  <c r="AL45" i="17"/>
  <c r="AL61" i="17"/>
  <c r="AL77" i="17"/>
  <c r="AL6" i="17"/>
  <c r="AL22" i="17"/>
  <c r="AL30" i="17"/>
  <c r="AL38" i="17"/>
  <c r="AL46" i="17"/>
  <c r="AL62" i="17"/>
  <c r="AL70" i="17"/>
  <c r="AL86" i="17"/>
  <c r="AL7" i="17"/>
  <c r="AL23" i="17"/>
  <c r="AL39" i="17"/>
  <c r="AL55" i="17"/>
  <c r="AL71" i="17"/>
  <c r="AL79" i="17"/>
  <c r="AL8" i="17"/>
  <c r="AL32" i="17"/>
  <c r="AL48" i="17"/>
  <c r="AL56" i="17"/>
  <c r="AL72" i="17"/>
  <c r="AL88" i="17"/>
  <c r="AL17" i="17"/>
  <c r="AL33" i="17"/>
  <c r="AL49" i="17"/>
  <c r="AL65" i="17"/>
  <c r="AL73" i="17"/>
  <c r="AL89" i="17"/>
  <c r="AL18" i="17"/>
  <c r="AL26" i="17"/>
  <c r="AL42" i="17"/>
  <c r="AL50" i="17"/>
  <c r="AL58" i="17"/>
  <c r="AL66" i="17"/>
  <c r="AL74" i="17"/>
  <c r="AL82" i="17"/>
  <c r="AJ3" i="17"/>
  <c r="AJ11" i="17"/>
  <c r="AJ19" i="17"/>
  <c r="AJ27" i="17"/>
  <c r="AJ35" i="17"/>
  <c r="AJ43" i="17"/>
  <c r="AJ51" i="17"/>
  <c r="AJ59" i="17"/>
  <c r="AJ67" i="17"/>
  <c r="AJ75" i="17"/>
  <c r="AJ83" i="17"/>
  <c r="AJ4" i="17"/>
  <c r="AJ12" i="17"/>
  <c r="AJ20" i="17"/>
  <c r="AJ28" i="17"/>
  <c r="AJ36" i="17"/>
  <c r="AJ44" i="17"/>
  <c r="AJ52" i="17"/>
  <c r="AJ60" i="17"/>
  <c r="AJ68" i="17"/>
  <c r="AJ76" i="17"/>
  <c r="AJ84" i="17"/>
  <c r="AJ5" i="17"/>
  <c r="AJ13" i="17"/>
  <c r="AJ21" i="17"/>
  <c r="AJ29" i="17"/>
  <c r="AJ37" i="17"/>
  <c r="AJ45" i="17"/>
  <c r="AJ53" i="17"/>
  <c r="AJ61" i="17"/>
  <c r="AJ69" i="17"/>
  <c r="AJ77" i="17"/>
  <c r="AJ85" i="17"/>
  <c r="AJ6" i="17"/>
  <c r="AJ14" i="17"/>
  <c r="AJ22" i="17"/>
  <c r="AJ30" i="17"/>
  <c r="AJ38" i="17"/>
  <c r="AJ46" i="17"/>
  <c r="AJ54" i="17"/>
  <c r="AJ62" i="17"/>
  <c r="AJ70" i="17"/>
  <c r="AJ78" i="17"/>
  <c r="AJ86" i="17"/>
  <c r="AJ7" i="17"/>
  <c r="AJ15" i="17"/>
  <c r="AJ23" i="17"/>
  <c r="AJ31" i="17"/>
  <c r="AJ39" i="17"/>
  <c r="AJ47" i="17"/>
  <c r="AJ55" i="17"/>
  <c r="AJ63" i="17"/>
  <c r="AJ71" i="17"/>
  <c r="AJ79" i="17"/>
  <c r="AJ87" i="17"/>
  <c r="AJ8" i="17"/>
  <c r="AJ16" i="17"/>
  <c r="AJ24" i="17"/>
  <c r="AJ32" i="17"/>
  <c r="AJ40" i="17"/>
  <c r="AJ48" i="17"/>
  <c r="AJ56" i="17"/>
  <c r="AJ64" i="17"/>
  <c r="AJ72" i="17"/>
  <c r="AJ80" i="17"/>
  <c r="AJ88" i="17"/>
  <c r="AJ9" i="17"/>
  <c r="AJ17" i="17"/>
  <c r="AJ25" i="17"/>
  <c r="AJ33" i="17"/>
  <c r="AJ41" i="17"/>
  <c r="AJ49" i="17"/>
  <c r="AJ57" i="17"/>
  <c r="AJ65" i="17"/>
  <c r="AJ73" i="17"/>
  <c r="AJ81" i="17"/>
  <c r="AJ89" i="17"/>
  <c r="AJ10" i="17"/>
  <c r="AJ18" i="17"/>
  <c r="AJ26" i="17"/>
  <c r="AJ34" i="17"/>
  <c r="AJ42" i="17"/>
  <c r="AJ50" i="17"/>
  <c r="AJ58" i="17"/>
  <c r="AJ66" i="17"/>
  <c r="AJ74" i="17"/>
  <c r="AJ82" i="17"/>
  <c r="AI3" i="17"/>
  <c r="AI11" i="17"/>
  <c r="AI19" i="17"/>
  <c r="AI27" i="17"/>
  <c r="AI35" i="17"/>
  <c r="AI43" i="17"/>
  <c r="AI51" i="17"/>
  <c r="AI59" i="17"/>
  <c r="AI67" i="17"/>
  <c r="AI75" i="17"/>
  <c r="AI83" i="17"/>
  <c r="AI53" i="17"/>
  <c r="AI69" i="17"/>
  <c r="AI85" i="17"/>
  <c r="AI6" i="17"/>
  <c r="AI30" i="17"/>
  <c r="AI46" i="17"/>
  <c r="AI70" i="17"/>
  <c r="AI86" i="17"/>
  <c r="AI15" i="17"/>
  <c r="AI31" i="17"/>
  <c r="AI39" i="17"/>
  <c r="AI55" i="17"/>
  <c r="AI71" i="17"/>
  <c r="AI87" i="17"/>
  <c r="AI16" i="17"/>
  <c r="AI32" i="17"/>
  <c r="AI48" i="17"/>
  <c r="AI56" i="17"/>
  <c r="AI64" i="17"/>
  <c r="AI80" i="17"/>
  <c r="AI9" i="17"/>
  <c r="AI25" i="17"/>
  <c r="AI49" i="17"/>
  <c r="AI65" i="17"/>
  <c r="AI81" i="17"/>
  <c r="AI18" i="17"/>
  <c r="AI34" i="17"/>
  <c r="AI50" i="17"/>
  <c r="AI66" i="17"/>
  <c r="AI82" i="17"/>
  <c r="AI4" i="17"/>
  <c r="AI12" i="17"/>
  <c r="AI20" i="17"/>
  <c r="AI28" i="17"/>
  <c r="AI36" i="17"/>
  <c r="AI44" i="17"/>
  <c r="AI52" i="17"/>
  <c r="AI60" i="17"/>
  <c r="AI68" i="17"/>
  <c r="AI76" i="17"/>
  <c r="AI84" i="17"/>
  <c r="AI5" i="17"/>
  <c r="AI13" i="17"/>
  <c r="AI21" i="17"/>
  <c r="AI29" i="17"/>
  <c r="AI37" i="17"/>
  <c r="AI45" i="17"/>
  <c r="AI61" i="17"/>
  <c r="AI77" i="17"/>
  <c r="AI14" i="17"/>
  <c r="AI22" i="17"/>
  <c r="AI38" i="17"/>
  <c r="AI54" i="17"/>
  <c r="AI62" i="17"/>
  <c r="AI78" i="17"/>
  <c r="AI7" i="17"/>
  <c r="AI23" i="17"/>
  <c r="AI47" i="17"/>
  <c r="AI63" i="17"/>
  <c r="AI79" i="17"/>
  <c r="AI8" i="17"/>
  <c r="AI24" i="17"/>
  <c r="AI40" i="17"/>
  <c r="AI72" i="17"/>
  <c r="AI88" i="17"/>
  <c r="AI17" i="17"/>
  <c r="AI33" i="17"/>
  <c r="AI41" i="17"/>
  <c r="AI57" i="17"/>
  <c r="AI73" i="17"/>
  <c r="AI89" i="17"/>
  <c r="AI10" i="17"/>
  <c r="AI26" i="17"/>
  <c r="AI42" i="17"/>
  <c r="AI58" i="17"/>
  <c r="AI74" i="17"/>
  <c r="K19" i="17" l="1"/>
  <c r="H95" i="17"/>
  <c r="H94" i="17"/>
  <c r="H93" i="17"/>
  <c r="H92" i="17"/>
  <c r="H91" i="17"/>
  <c r="H90" i="17"/>
  <c r="H89" i="17"/>
  <c r="H88" i="17"/>
  <c r="H87" i="17"/>
  <c r="H86" i="17"/>
  <c r="H85" i="17"/>
  <c r="H84" i="17"/>
  <c r="H83" i="17"/>
  <c r="H82" i="17"/>
  <c r="H81" i="17"/>
  <c r="H80" i="17"/>
  <c r="H79" i="17"/>
  <c r="H78" i="17"/>
  <c r="H77" i="17"/>
  <c r="H76" i="17"/>
  <c r="H75" i="17"/>
  <c r="H74" i="17"/>
  <c r="H73" i="17"/>
  <c r="H72" i="17"/>
  <c r="H71" i="17"/>
  <c r="H70" i="17"/>
  <c r="H69" i="17"/>
  <c r="H68" i="17"/>
  <c r="H67" i="17"/>
  <c r="H66" i="17"/>
  <c r="H65" i="17"/>
  <c r="H64" i="17"/>
  <c r="H63" i="17"/>
  <c r="H62" i="17"/>
  <c r="H61" i="17"/>
  <c r="H60" i="17"/>
  <c r="H59" i="17"/>
  <c r="H56" i="17"/>
  <c r="H55" i="17"/>
  <c r="H54" i="17"/>
  <c r="H53" i="17"/>
  <c r="H52" i="17"/>
  <c r="H51" i="17"/>
  <c r="H50" i="17"/>
  <c r="H49" i="17"/>
  <c r="H48" i="17"/>
  <c r="H47" i="17"/>
  <c r="H46" i="17"/>
  <c r="H45" i="17"/>
  <c r="H44" i="17"/>
  <c r="H43" i="17"/>
  <c r="H42" i="17"/>
  <c r="H41" i="17"/>
  <c r="H40" i="17"/>
  <c r="H39" i="17"/>
  <c r="H38" i="17"/>
  <c r="H37" i="17"/>
  <c r="H36" i="17"/>
  <c r="H35" i="17"/>
  <c r="H34" i="17"/>
  <c r="H33" i="17"/>
  <c r="H32" i="17"/>
  <c r="H31" i="17"/>
  <c r="H30" i="17"/>
  <c r="H29" i="17"/>
  <c r="H28" i="17"/>
  <c r="H27" i="17"/>
  <c r="H26" i="17"/>
  <c r="H25" i="17"/>
  <c r="H24" i="17"/>
  <c r="H23" i="17"/>
  <c r="H22" i="17"/>
  <c r="H21" i="17"/>
  <c r="H20" i="17"/>
  <c r="H19" i="17"/>
  <c r="H3" i="17"/>
  <c r="I47" i="1"/>
  <c r="C55" i="1"/>
  <c r="K86" i="17"/>
  <c r="K66" i="17"/>
  <c r="K67" i="17"/>
  <c r="K91" i="17"/>
  <c r="K68" i="17"/>
  <c r="K73" i="17"/>
  <c r="K65" i="17"/>
  <c r="K93" i="17"/>
  <c r="K81" i="17"/>
  <c r="K95" i="17"/>
  <c r="K71" i="17"/>
  <c r="K94" i="17"/>
  <c r="K63" i="17"/>
  <c r="K70" i="17"/>
  <c r="K64" i="17"/>
  <c r="K69" i="17"/>
  <c r="K76" i="17"/>
  <c r="AI3" i="16" a="1"/>
  <c r="AH3" i="16" a="1"/>
  <c r="O67" i="17" l="1"/>
  <c r="O57" i="17"/>
  <c r="O89" i="17"/>
  <c r="O61" i="17"/>
  <c r="O70" i="17"/>
  <c r="O58" i="17"/>
  <c r="O64" i="17"/>
  <c r="O59" i="17"/>
  <c r="O80" i="17"/>
  <c r="O75" i="17"/>
  <c r="O88" i="17"/>
  <c r="O85" i="17"/>
  <c r="O60" i="17"/>
  <c r="O63" i="17"/>
  <c r="O62" i="17"/>
  <c r="O87" i="17"/>
  <c r="O65" i="17"/>
  <c r="AI3" i="16"/>
  <c r="AI11" i="16"/>
  <c r="AI19" i="16"/>
  <c r="AI27" i="16"/>
  <c r="AI35" i="16"/>
  <c r="AI43" i="16"/>
  <c r="AI4" i="16"/>
  <c r="AI12" i="16"/>
  <c r="AI20" i="16"/>
  <c r="AI28" i="16"/>
  <c r="AI36" i="16"/>
  <c r="AI44" i="16"/>
  <c r="AI5" i="16"/>
  <c r="AI13" i="16"/>
  <c r="AI21" i="16"/>
  <c r="AI29" i="16"/>
  <c r="AI37" i="16"/>
  <c r="AI45" i="16"/>
  <c r="AI6" i="16"/>
  <c r="AI14" i="16"/>
  <c r="AI22" i="16"/>
  <c r="AI30" i="16"/>
  <c r="AI38" i="16"/>
  <c r="AI46" i="16"/>
  <c r="AI7" i="16"/>
  <c r="AI15" i="16"/>
  <c r="AI23" i="16"/>
  <c r="AI31" i="16"/>
  <c r="AI39" i="16"/>
  <c r="AI47" i="16"/>
  <c r="AI8" i="16"/>
  <c r="AI16" i="16"/>
  <c r="AI24" i="16"/>
  <c r="AI32" i="16"/>
  <c r="AI40" i="16"/>
  <c r="AI9" i="16"/>
  <c r="AI17" i="16"/>
  <c r="AI25" i="16"/>
  <c r="AI33" i="16"/>
  <c r="AI41" i="16"/>
  <c r="AI10" i="16"/>
  <c r="AI18" i="16"/>
  <c r="AI26" i="16"/>
  <c r="AI34" i="16"/>
  <c r="AI42" i="16"/>
  <c r="AH3" i="16"/>
  <c r="AH11" i="16"/>
  <c r="AH19" i="16"/>
  <c r="AH27" i="16"/>
  <c r="AH35" i="16"/>
  <c r="AH43" i="16"/>
  <c r="AH4" i="16"/>
  <c r="AH12" i="16"/>
  <c r="AH20" i="16"/>
  <c r="AH28" i="16"/>
  <c r="AH36" i="16"/>
  <c r="AH44" i="16"/>
  <c r="AH5" i="16"/>
  <c r="AH13" i="16"/>
  <c r="AH21" i="16"/>
  <c r="AH29" i="16"/>
  <c r="AH37" i="16"/>
  <c r="AH45" i="16"/>
  <c r="AH6" i="16"/>
  <c r="AH14" i="16"/>
  <c r="AH22" i="16"/>
  <c r="AH30" i="16"/>
  <c r="AH38" i="16"/>
  <c r="AH46" i="16"/>
  <c r="AH7" i="16"/>
  <c r="AH15" i="16"/>
  <c r="AH23" i="16"/>
  <c r="AH31" i="16"/>
  <c r="AH39" i="16"/>
  <c r="AH47" i="16"/>
  <c r="AH8" i="16"/>
  <c r="AH16" i="16"/>
  <c r="AH24" i="16"/>
  <c r="AH32" i="16"/>
  <c r="AH40" i="16"/>
  <c r="AH9" i="16"/>
  <c r="AH17" i="16"/>
  <c r="AH25" i="16"/>
  <c r="AH33" i="16"/>
  <c r="AH41" i="16"/>
  <c r="AH10" i="16"/>
  <c r="AH18" i="16"/>
  <c r="AH26" i="16"/>
  <c r="AH34" i="16"/>
  <c r="AH42" i="16"/>
  <c r="O11" i="16"/>
  <c r="O12" i="16"/>
  <c r="O13" i="16"/>
  <c r="O14" i="16"/>
  <c r="O24" i="16"/>
  <c r="O26" i="16"/>
  <c r="O27" i="16"/>
  <c r="O29" i="16"/>
  <c r="O30" i="16"/>
  <c r="O31" i="16"/>
  <c r="O32" i="16"/>
  <c r="O34" i="16"/>
  <c r="O35" i="16"/>
  <c r="O36" i="16"/>
  <c r="O37" i="16"/>
  <c r="O39" i="16"/>
  <c r="O40" i="16"/>
  <c r="O41" i="16"/>
  <c r="O42" i="16"/>
  <c r="O44" i="16"/>
  <c r="H51" i="16"/>
  <c r="H50" i="16"/>
  <c r="H49" i="16"/>
  <c r="H48" i="16"/>
  <c r="H47" i="16"/>
  <c r="H46" i="16"/>
  <c r="H45" i="16"/>
  <c r="H44" i="16"/>
  <c r="H43" i="16"/>
  <c r="H42" i="16"/>
  <c r="H41" i="16"/>
  <c r="H40" i="16"/>
  <c r="H39" i="16"/>
  <c r="H38" i="16"/>
  <c r="H37" i="16"/>
  <c r="H36" i="16"/>
  <c r="H35" i="16"/>
  <c r="H34" i="16"/>
  <c r="H33" i="16"/>
  <c r="H32" i="16"/>
  <c r="H31" i="16"/>
  <c r="H30" i="16"/>
  <c r="H29" i="16"/>
  <c r="H28" i="16"/>
  <c r="H27" i="16"/>
  <c r="H26" i="16"/>
  <c r="H25" i="16"/>
  <c r="H24" i="16"/>
  <c r="H23" i="16"/>
  <c r="H22" i="16"/>
  <c r="H21" i="16"/>
  <c r="H20" i="16"/>
  <c r="H19" i="16"/>
  <c r="H18" i="16"/>
  <c r="H17" i="16"/>
  <c r="H16" i="16"/>
  <c r="H15" i="16"/>
  <c r="H3" i="16"/>
  <c r="D47" i="1"/>
  <c r="I32" i="1"/>
  <c r="D32" i="1"/>
  <c r="H40" i="1"/>
  <c r="C40" i="1"/>
  <c r="O21" i="15"/>
  <c r="O22" i="15"/>
  <c r="O23" i="15"/>
  <c r="O18" i="15"/>
  <c r="O19" i="15"/>
  <c r="O20" i="15"/>
  <c r="O24" i="15"/>
  <c r="O26" i="15"/>
  <c r="O27" i="15"/>
  <c r="O28" i="15"/>
  <c r="O29" i="15"/>
  <c r="O30" i="15"/>
  <c r="O31" i="15"/>
  <c r="O32" i="15"/>
  <c r="O34" i="15"/>
  <c r="O35" i="15"/>
  <c r="O36" i="15"/>
  <c r="O37" i="15"/>
  <c r="O38" i="15"/>
  <c r="O39" i="15"/>
  <c r="O40" i="15"/>
  <c r="O42" i="15"/>
  <c r="O43" i="15"/>
  <c r="O44" i="15"/>
  <c r="O45" i="15"/>
  <c r="O46" i="15"/>
  <c r="O47" i="15"/>
  <c r="O48" i="15"/>
  <c r="O50" i="15"/>
  <c r="O51" i="15"/>
  <c r="O52" i="15"/>
  <c r="O53" i="15"/>
  <c r="K20" i="15"/>
  <c r="O16" i="15"/>
  <c r="O17" i="15"/>
  <c r="O25" i="15"/>
  <c r="O33" i="15"/>
  <c r="O41" i="15"/>
  <c r="O49" i="15"/>
  <c r="O54" i="15"/>
  <c r="O55" i="15"/>
  <c r="O56" i="15"/>
  <c r="O57" i="15"/>
  <c r="O58" i="15"/>
  <c r="O59" i="15"/>
  <c r="O67" i="15"/>
  <c r="O69" i="15"/>
  <c r="O70" i="15"/>
  <c r="O72" i="15"/>
  <c r="O73" i="15"/>
  <c r="O74" i="15"/>
  <c r="O75" i="15"/>
  <c r="O77" i="15"/>
  <c r="O78" i="15"/>
  <c r="O79" i="15"/>
  <c r="O80" i="15"/>
  <c r="O82" i="15"/>
  <c r="O83" i="15"/>
  <c r="O84" i="15"/>
  <c r="O85" i="15"/>
  <c r="O87" i="15"/>
  <c r="H96" i="15"/>
  <c r="H95" i="15"/>
  <c r="H94" i="15"/>
  <c r="H93" i="15"/>
  <c r="H92" i="15"/>
  <c r="H91" i="15"/>
  <c r="H90" i="15"/>
  <c r="H89" i="15"/>
  <c r="H88" i="15"/>
  <c r="H87" i="15"/>
  <c r="H86" i="15"/>
  <c r="H85" i="15"/>
  <c r="H84" i="15"/>
  <c r="H83" i="15"/>
  <c r="H82" i="15"/>
  <c r="H81" i="15"/>
  <c r="H80" i="15"/>
  <c r="H79" i="15"/>
  <c r="H78" i="15"/>
  <c r="H77" i="15"/>
  <c r="H76" i="15"/>
  <c r="H75" i="15"/>
  <c r="H74" i="15"/>
  <c r="H73" i="15"/>
  <c r="H72" i="15"/>
  <c r="H71" i="15"/>
  <c r="H70" i="15"/>
  <c r="H69" i="15"/>
  <c r="H68" i="15"/>
  <c r="H67" i="15"/>
  <c r="H66" i="15"/>
  <c r="H65" i="15"/>
  <c r="H64" i="15"/>
  <c r="H63" i="15"/>
  <c r="H62" i="15"/>
  <c r="H61" i="15"/>
  <c r="H60" i="15"/>
  <c r="E66" i="14"/>
  <c r="E65" i="14"/>
  <c r="E64" i="14"/>
  <c r="E63" i="14"/>
  <c r="E62" i="14"/>
  <c r="E61" i="14"/>
  <c r="E60" i="14"/>
  <c r="E59" i="14"/>
  <c r="E58" i="14"/>
  <c r="E57" i="14"/>
  <c r="E56" i="14"/>
  <c r="E55" i="14"/>
  <c r="E54" i="14"/>
  <c r="E53" i="14"/>
  <c r="E52" i="14"/>
  <c r="E51" i="14"/>
  <c r="E50" i="14"/>
  <c r="E49" i="14"/>
  <c r="E48" i="14"/>
  <c r="E47" i="14"/>
  <c r="E46" i="14"/>
  <c r="E45" i="14"/>
  <c r="H57" i="15"/>
  <c r="H56" i="15"/>
  <c r="H55" i="15"/>
  <c r="H54" i="15"/>
  <c r="H53" i="15"/>
  <c r="H52" i="15"/>
  <c r="H51" i="15"/>
  <c r="H50" i="15"/>
  <c r="H49" i="15"/>
  <c r="H48" i="15"/>
  <c r="H47" i="15"/>
  <c r="H46" i="15"/>
  <c r="H45" i="15"/>
  <c r="H44" i="15"/>
  <c r="H43" i="15"/>
  <c r="H42" i="15"/>
  <c r="H41" i="15"/>
  <c r="H40" i="15"/>
  <c r="H39" i="15"/>
  <c r="H38" i="15"/>
  <c r="H37" i="15"/>
  <c r="H36" i="15"/>
  <c r="H35" i="15"/>
  <c r="H34" i="15"/>
  <c r="H33" i="15"/>
  <c r="H32" i="15"/>
  <c r="H31" i="15"/>
  <c r="H30" i="15"/>
  <c r="H29" i="15"/>
  <c r="H28" i="15"/>
  <c r="H27" i="15"/>
  <c r="H26" i="15"/>
  <c r="H25" i="15"/>
  <c r="H24" i="15"/>
  <c r="H23" i="15"/>
  <c r="H22" i="15"/>
  <c r="H21" i="15"/>
  <c r="H20" i="15"/>
  <c r="G60" i="15"/>
  <c r="G61" i="15"/>
  <c r="G62" i="15"/>
  <c r="G63" i="15"/>
  <c r="G64" i="15"/>
  <c r="G65" i="15"/>
  <c r="G66" i="15"/>
  <c r="G67" i="15"/>
  <c r="G68" i="15"/>
  <c r="G69" i="15"/>
  <c r="G70" i="15"/>
  <c r="G71" i="15"/>
  <c r="G72" i="15"/>
  <c r="G73" i="15"/>
  <c r="G74" i="15"/>
  <c r="G75" i="15"/>
  <c r="G76" i="15"/>
  <c r="G77" i="15"/>
  <c r="G78" i="15"/>
  <c r="G79" i="15"/>
  <c r="G80" i="15"/>
  <c r="G81" i="15"/>
  <c r="G82" i="15"/>
  <c r="G83" i="15"/>
  <c r="G84" i="15"/>
  <c r="G85" i="15"/>
  <c r="G86" i="15"/>
  <c r="G87" i="15"/>
  <c r="G88" i="15"/>
  <c r="G89" i="15"/>
  <c r="G90" i="15"/>
  <c r="G91" i="15"/>
  <c r="G92" i="15"/>
  <c r="G93" i="15"/>
  <c r="G94" i="15"/>
  <c r="G95" i="15"/>
  <c r="G96" i="15"/>
  <c r="I17" i="15"/>
  <c r="I16" i="15"/>
  <c r="I15" i="15"/>
  <c r="I14" i="15"/>
  <c r="I13" i="15"/>
  <c r="I12" i="15"/>
  <c r="I11" i="15"/>
  <c r="I10" i="15"/>
  <c r="I9" i="15"/>
  <c r="I8" i="15"/>
  <c r="I7" i="15"/>
  <c r="I6" i="15"/>
  <c r="H3" i="15"/>
  <c r="J50" i="16"/>
  <c r="J42" i="16"/>
  <c r="J34" i="16"/>
  <c r="J26" i="16"/>
  <c r="J41" i="16"/>
  <c r="J31" i="16"/>
  <c r="J46" i="16"/>
  <c r="J22" i="16"/>
  <c r="J45" i="16"/>
  <c r="J29" i="16"/>
  <c r="J44" i="16"/>
  <c r="J51" i="16"/>
  <c r="J49" i="16"/>
  <c r="J33" i="16"/>
  <c r="J25" i="16"/>
  <c r="J23" i="16"/>
  <c r="J30" i="16"/>
  <c r="J21" i="16"/>
  <c r="J20" i="16"/>
  <c r="J19" i="16"/>
  <c r="J48" i="16"/>
  <c r="J40" i="16"/>
  <c r="J32" i="16"/>
  <c r="J24" i="16"/>
  <c r="J47" i="16"/>
  <c r="J38" i="16"/>
  <c r="J37" i="16"/>
  <c r="J36" i="16"/>
  <c r="J43" i="16"/>
  <c r="J39" i="16"/>
  <c r="J28" i="16"/>
  <c r="J35" i="16"/>
  <c r="J27" i="16"/>
  <c r="K96" i="15"/>
  <c r="J74" i="15"/>
  <c r="J96" i="15"/>
  <c r="K94" i="15"/>
  <c r="J87" i="15"/>
  <c r="J72" i="15"/>
  <c r="J67" i="15"/>
  <c r="C6" i="15"/>
  <c r="K95" i="15"/>
  <c r="J92" i="15"/>
  <c r="K74" i="15"/>
  <c r="J95" i="15"/>
  <c r="K71" i="15"/>
  <c r="K67" i="15"/>
  <c r="K82" i="15"/>
  <c r="J68" i="15"/>
  <c r="J69" i="15"/>
  <c r="J77" i="15"/>
  <c r="J94" i="15"/>
  <c r="K87" i="15"/>
  <c r="J71" i="15"/>
  <c r="J66" i="15"/>
  <c r="K92" i="15"/>
  <c r="K66" i="15"/>
  <c r="K68" i="15"/>
  <c r="K69" i="15"/>
  <c r="J82" i="15"/>
  <c r="K70" i="15"/>
  <c r="K72" i="15"/>
  <c r="K77" i="15"/>
  <c r="J70" i="15"/>
  <c r="AH3" i="15" a="1"/>
  <c r="AI3" i="15" a="1"/>
  <c r="AE3" i="14" a="1"/>
  <c r="O60" i="15" l="1"/>
  <c r="O68" i="15"/>
  <c r="O86" i="15"/>
  <c r="O71" i="15"/>
  <c r="O88" i="15"/>
  <c r="O65" i="15"/>
  <c r="O81" i="15"/>
  <c r="O89" i="15"/>
  <c r="O76" i="15"/>
  <c r="O61" i="15"/>
  <c r="O62" i="15"/>
  <c r="O63" i="15"/>
  <c r="O64" i="15"/>
  <c r="O66" i="15"/>
  <c r="O90" i="15"/>
  <c r="AI3" i="15"/>
  <c r="AI11" i="15"/>
  <c r="AI19" i="15"/>
  <c r="AI27" i="15"/>
  <c r="AI35" i="15"/>
  <c r="AI43" i="15"/>
  <c r="AI51" i="15"/>
  <c r="AI59" i="15"/>
  <c r="AI67" i="15"/>
  <c r="AI75" i="15"/>
  <c r="AI83" i="15"/>
  <c r="AI4" i="15"/>
  <c r="AI12" i="15"/>
  <c r="AI20" i="15"/>
  <c r="AI28" i="15"/>
  <c r="AI36" i="15"/>
  <c r="AI44" i="15"/>
  <c r="AI52" i="15"/>
  <c r="AI60" i="15"/>
  <c r="AI68" i="15"/>
  <c r="AI76" i="15"/>
  <c r="AI84" i="15"/>
  <c r="AI5" i="15"/>
  <c r="AI13" i="15"/>
  <c r="AI21" i="15"/>
  <c r="AI29" i="15"/>
  <c r="AI37" i="15"/>
  <c r="AI45" i="15"/>
  <c r="AI53" i="15"/>
  <c r="AI61" i="15"/>
  <c r="AI69" i="15"/>
  <c r="AI77" i="15"/>
  <c r="AI85" i="15"/>
  <c r="AI6" i="15"/>
  <c r="AI14" i="15"/>
  <c r="AI22" i="15"/>
  <c r="AI30" i="15"/>
  <c r="AI38" i="15"/>
  <c r="AI46" i="15"/>
  <c r="AI54" i="15"/>
  <c r="AI62" i="15"/>
  <c r="AI70" i="15"/>
  <c r="AI78" i="15"/>
  <c r="AI86" i="15"/>
  <c r="AI7" i="15"/>
  <c r="AI15" i="15"/>
  <c r="AI23" i="15"/>
  <c r="AI31" i="15"/>
  <c r="AI39" i="15"/>
  <c r="AI47" i="15"/>
  <c r="AI55" i="15"/>
  <c r="AI63" i="15"/>
  <c r="AI71" i="15"/>
  <c r="AI79" i="15"/>
  <c r="AI87" i="15"/>
  <c r="AI8" i="15"/>
  <c r="AI16" i="15"/>
  <c r="AI24" i="15"/>
  <c r="AI32" i="15"/>
  <c r="AI40" i="15"/>
  <c r="AI48" i="15"/>
  <c r="AI56" i="15"/>
  <c r="AI64" i="15"/>
  <c r="AI72" i="15"/>
  <c r="AI80" i="15"/>
  <c r="AI88" i="15"/>
  <c r="AI9" i="15"/>
  <c r="AI17" i="15"/>
  <c r="AI25" i="15"/>
  <c r="AI33" i="15"/>
  <c r="AI41" i="15"/>
  <c r="AI49" i="15"/>
  <c r="AI57" i="15"/>
  <c r="AI65" i="15"/>
  <c r="AI73" i="15"/>
  <c r="AI81" i="15"/>
  <c r="AI89" i="15"/>
  <c r="AI10" i="15"/>
  <c r="AI18" i="15"/>
  <c r="AI26" i="15"/>
  <c r="AI34" i="15"/>
  <c r="AI42" i="15"/>
  <c r="AI50" i="15"/>
  <c r="AI58" i="15"/>
  <c r="AI66" i="15"/>
  <c r="AI74" i="15"/>
  <c r="AI82" i="15"/>
  <c r="AI90" i="15"/>
  <c r="AH3" i="15"/>
  <c r="AH11" i="15"/>
  <c r="AH19" i="15"/>
  <c r="AH27" i="15"/>
  <c r="AH35" i="15"/>
  <c r="AH43" i="15"/>
  <c r="AH51" i="15"/>
  <c r="AH59" i="15"/>
  <c r="AH67" i="15"/>
  <c r="AH75" i="15"/>
  <c r="AH83" i="15"/>
  <c r="AH4" i="15"/>
  <c r="AH12" i="15"/>
  <c r="AH20" i="15"/>
  <c r="AH28" i="15"/>
  <c r="AH36" i="15"/>
  <c r="AH44" i="15"/>
  <c r="AH52" i="15"/>
  <c r="AH60" i="15"/>
  <c r="AH68" i="15"/>
  <c r="AH76" i="15"/>
  <c r="AH84" i="15"/>
  <c r="AH5" i="15"/>
  <c r="AH13" i="15"/>
  <c r="AH21" i="15"/>
  <c r="AH29" i="15"/>
  <c r="AH37" i="15"/>
  <c r="AH45" i="15"/>
  <c r="AH53" i="15"/>
  <c r="AH61" i="15"/>
  <c r="AH69" i="15"/>
  <c r="AH77" i="15"/>
  <c r="AH85" i="15"/>
  <c r="AH6" i="15"/>
  <c r="AH14" i="15"/>
  <c r="AH22" i="15"/>
  <c r="AH30" i="15"/>
  <c r="AH38" i="15"/>
  <c r="AH46" i="15"/>
  <c r="AH54" i="15"/>
  <c r="AH62" i="15"/>
  <c r="AH70" i="15"/>
  <c r="AH78" i="15"/>
  <c r="AH86" i="15"/>
  <c r="AH7" i="15"/>
  <c r="AH15" i="15"/>
  <c r="AH23" i="15"/>
  <c r="AH31" i="15"/>
  <c r="AH39" i="15"/>
  <c r="AH47" i="15"/>
  <c r="AH55" i="15"/>
  <c r="AH63" i="15"/>
  <c r="AH71" i="15"/>
  <c r="AH79" i="15"/>
  <c r="AH87" i="15"/>
  <c r="AH8" i="15"/>
  <c r="AH16" i="15"/>
  <c r="AH24" i="15"/>
  <c r="AH32" i="15"/>
  <c r="AH40" i="15"/>
  <c r="AH48" i="15"/>
  <c r="AH56" i="15"/>
  <c r="AH64" i="15"/>
  <c r="AH72" i="15"/>
  <c r="AH80" i="15"/>
  <c r="AH88" i="15"/>
  <c r="AH9" i="15"/>
  <c r="AH17" i="15"/>
  <c r="AH25" i="15"/>
  <c r="AH33" i="15"/>
  <c r="AH41" i="15"/>
  <c r="AH49" i="15"/>
  <c r="AH57" i="15"/>
  <c r="AH65" i="15"/>
  <c r="AH73" i="15"/>
  <c r="AH81" i="15"/>
  <c r="AH89" i="15"/>
  <c r="AH10" i="15"/>
  <c r="AH18" i="15"/>
  <c r="AH26" i="15"/>
  <c r="AH34" i="15"/>
  <c r="AH42" i="15"/>
  <c r="AH50" i="15"/>
  <c r="AH58" i="15"/>
  <c r="AH66" i="15"/>
  <c r="AH74" i="15"/>
  <c r="AH82" i="15"/>
  <c r="AH90" i="15"/>
  <c r="H6" i="15"/>
  <c r="AE3" i="14"/>
  <c r="AE11" i="14"/>
  <c r="AE19" i="14"/>
  <c r="AE27" i="14"/>
  <c r="AE35" i="14"/>
  <c r="AE43" i="14"/>
  <c r="AE51" i="14"/>
  <c r="AE59" i="14"/>
  <c r="AE4" i="14"/>
  <c r="AE12" i="14"/>
  <c r="AE20" i="14"/>
  <c r="AE28" i="14"/>
  <c r="AE36" i="14"/>
  <c r="AE44" i="14"/>
  <c r="AE52" i="14"/>
  <c r="AE60" i="14"/>
  <c r="AE5" i="14"/>
  <c r="AE13" i="14"/>
  <c r="AE21" i="14"/>
  <c r="AE29" i="14"/>
  <c r="AE37" i="14"/>
  <c r="AE45" i="14"/>
  <c r="AE53" i="14"/>
  <c r="AE61" i="14"/>
  <c r="AE6" i="14"/>
  <c r="AE14" i="14"/>
  <c r="AE22" i="14"/>
  <c r="AE30" i="14"/>
  <c r="AE38" i="14"/>
  <c r="AE46" i="14"/>
  <c r="AE54" i="14"/>
  <c r="AE62" i="14"/>
  <c r="AE7" i="14"/>
  <c r="AE15" i="14"/>
  <c r="AE23" i="14"/>
  <c r="AE31" i="14"/>
  <c r="AE39" i="14"/>
  <c r="AE47" i="14"/>
  <c r="AE55" i="14"/>
  <c r="AE8" i="14"/>
  <c r="AE16" i="14"/>
  <c r="AE24" i="14"/>
  <c r="AE32" i="14"/>
  <c r="AE40" i="14"/>
  <c r="AE48" i="14"/>
  <c r="AE56" i="14"/>
  <c r="AE9" i="14"/>
  <c r="AE17" i="14"/>
  <c r="AE25" i="14"/>
  <c r="AE33" i="14"/>
  <c r="AE41" i="14"/>
  <c r="AE49" i="14"/>
  <c r="AE57" i="14"/>
  <c r="AE10" i="14"/>
  <c r="AE18" i="14"/>
  <c r="AE26" i="14"/>
  <c r="AE34" i="14"/>
  <c r="AE42" i="14"/>
  <c r="AE50" i="14"/>
  <c r="AE58" i="14"/>
  <c r="E4" i="14"/>
  <c r="E3" i="14"/>
  <c r="I42" i="14"/>
  <c r="J42" i="14"/>
  <c r="I43" i="14"/>
  <c r="J43" i="14"/>
  <c r="I44" i="14"/>
  <c r="J44" i="14"/>
  <c r="I45" i="14"/>
  <c r="J45" i="14"/>
  <c r="I46" i="14"/>
  <c r="J46" i="14"/>
  <c r="I47" i="14"/>
  <c r="I48" i="14"/>
  <c r="I49" i="14"/>
  <c r="I50" i="14"/>
  <c r="I51" i="14"/>
  <c r="I52" i="14"/>
  <c r="I53" i="14"/>
  <c r="I54" i="14"/>
  <c r="I55" i="14"/>
  <c r="I56" i="14"/>
  <c r="I57" i="14"/>
  <c r="I58" i="14"/>
  <c r="I59" i="14"/>
  <c r="I60" i="14"/>
  <c r="I61" i="14"/>
  <c r="I62" i="14"/>
  <c r="J41" i="14"/>
  <c r="I41" i="14"/>
  <c r="I6" i="14"/>
  <c r="I7" i="14"/>
  <c r="I8" i="14"/>
  <c r="I9" i="14"/>
  <c r="I10" i="14"/>
  <c r="I11" i="14"/>
  <c r="I12" i="14"/>
  <c r="I13" i="14"/>
  <c r="I14" i="14"/>
  <c r="I15" i="14"/>
  <c r="I16" i="14"/>
  <c r="I17" i="14"/>
  <c r="I18" i="14"/>
  <c r="I19" i="14"/>
  <c r="I20" i="14"/>
  <c r="I21" i="14"/>
  <c r="I22" i="14"/>
  <c r="I23" i="14"/>
  <c r="I24" i="14"/>
  <c r="J24" i="14"/>
  <c r="I25" i="14"/>
  <c r="J25" i="14"/>
  <c r="I26" i="14"/>
  <c r="J26" i="14"/>
  <c r="I27" i="14"/>
  <c r="J27" i="14"/>
  <c r="I28" i="14"/>
  <c r="J28" i="14"/>
  <c r="I29" i="14"/>
  <c r="J29" i="14"/>
  <c r="I30" i="14"/>
  <c r="J30" i="14"/>
  <c r="I31" i="14"/>
  <c r="J31" i="14"/>
  <c r="I32" i="14"/>
  <c r="J32" i="14"/>
  <c r="I33" i="14"/>
  <c r="J33" i="14"/>
  <c r="I34" i="14"/>
  <c r="J34" i="14"/>
  <c r="I35" i="14"/>
  <c r="J35" i="14"/>
  <c r="I36" i="14"/>
  <c r="J36" i="14"/>
  <c r="I37" i="14"/>
  <c r="J37" i="14"/>
  <c r="I38" i="14"/>
  <c r="J38" i="14"/>
  <c r="I39" i="14"/>
  <c r="J39" i="14"/>
  <c r="I40" i="14"/>
  <c r="J40" i="14"/>
  <c r="D45" i="14"/>
  <c r="D46" i="14"/>
  <c r="D47" i="14"/>
  <c r="D48" i="14"/>
  <c r="D49" i="14"/>
  <c r="D50" i="14"/>
  <c r="D51" i="14"/>
  <c r="D52" i="14"/>
  <c r="D53" i="14"/>
  <c r="D54" i="14"/>
  <c r="D55" i="14"/>
  <c r="D56" i="14"/>
  <c r="D57" i="14"/>
  <c r="D58" i="14"/>
  <c r="D59" i="14"/>
  <c r="D60" i="14"/>
  <c r="D61" i="14"/>
  <c r="D62" i="14"/>
  <c r="D63" i="14"/>
  <c r="D64" i="14"/>
  <c r="D65" i="14"/>
  <c r="D66" i="14"/>
  <c r="E42" i="14"/>
  <c r="E41" i="14"/>
  <c r="E40" i="14"/>
  <c r="E39" i="14"/>
  <c r="E38" i="14"/>
  <c r="E37" i="14"/>
  <c r="E36" i="14"/>
  <c r="E35" i="14"/>
  <c r="E34" i="14"/>
  <c r="E33" i="14"/>
  <c r="E32" i="14"/>
  <c r="E31" i="14"/>
  <c r="E30" i="14"/>
  <c r="E29" i="14"/>
  <c r="E28" i="14"/>
  <c r="E27" i="14"/>
  <c r="E26" i="14"/>
  <c r="E25" i="14"/>
  <c r="E24" i="14"/>
  <c r="E23" i="14"/>
  <c r="E22" i="14"/>
  <c r="E21" i="14"/>
  <c r="E20" i="14"/>
  <c r="E19" i="14"/>
  <c r="E18" i="14"/>
  <c r="E17" i="14"/>
  <c r="E16" i="14"/>
  <c r="E15" i="14"/>
  <c r="E14" i="14"/>
  <c r="E13" i="14"/>
  <c r="E12" i="14"/>
  <c r="E11" i="14"/>
  <c r="E10" i="14"/>
  <c r="E9" i="14"/>
  <c r="E8" i="14"/>
  <c r="E7" i="14"/>
  <c r="I17" i="1"/>
  <c r="L27" i="14"/>
  <c r="Q28" i="14"/>
  <c r="P44" i="14"/>
  <c r="P24" i="14"/>
  <c r="P25" i="14"/>
  <c r="P38" i="14"/>
  <c r="Q33" i="14"/>
  <c r="K46" i="14"/>
  <c r="L43" i="14"/>
  <c r="L44" i="14"/>
  <c r="G56" i="14"/>
  <c r="L42" i="14"/>
  <c r="G58" i="14"/>
  <c r="Q26" i="14"/>
  <c r="L26" i="14"/>
  <c r="L32" i="14"/>
  <c r="G62" i="14"/>
  <c r="K25" i="14"/>
  <c r="K40" i="14"/>
  <c r="Q40" i="14"/>
  <c r="K38" i="14"/>
  <c r="G65" i="14"/>
  <c r="Q45" i="14"/>
  <c r="G57" i="14"/>
  <c r="L36" i="14"/>
  <c r="K35" i="14"/>
  <c r="G60" i="14"/>
  <c r="P40" i="14"/>
  <c r="Q46" i="14"/>
  <c r="G55" i="14"/>
  <c r="L28" i="14"/>
  <c r="G54" i="14"/>
  <c r="K43" i="14"/>
  <c r="L45" i="14"/>
  <c r="K44" i="14"/>
  <c r="P41" i="14"/>
  <c r="P29" i="14"/>
  <c r="Q27" i="14"/>
  <c r="G61" i="14"/>
  <c r="L39" i="14"/>
  <c r="K32" i="14"/>
  <c r="Q44" i="14"/>
  <c r="Q41" i="14"/>
  <c r="K45" i="14"/>
  <c r="K37" i="14"/>
  <c r="P45" i="14"/>
  <c r="L35" i="14"/>
  <c r="K39" i="14"/>
  <c r="G52" i="14"/>
  <c r="K41" i="14"/>
  <c r="P42" i="14"/>
  <c r="K27" i="14"/>
  <c r="P46" i="14"/>
  <c r="P34" i="14"/>
  <c r="P35" i="14"/>
  <c r="Q31" i="14"/>
  <c r="Q36" i="14"/>
  <c r="P33" i="14"/>
  <c r="K30" i="14"/>
  <c r="L46" i="14"/>
  <c r="Q43" i="14"/>
  <c r="G66" i="14"/>
  <c r="K36" i="14"/>
  <c r="Q25" i="14"/>
  <c r="K31" i="14"/>
  <c r="P27" i="14"/>
  <c r="L33" i="14"/>
  <c r="K33" i="14"/>
  <c r="Q24" i="14"/>
  <c r="P32" i="14"/>
  <c r="L38" i="14"/>
  <c r="Q29" i="14"/>
  <c r="Q34" i="14"/>
  <c r="Q39" i="14"/>
  <c r="K29" i="14"/>
  <c r="P30" i="14"/>
  <c r="K24" i="14"/>
  <c r="L40" i="14"/>
  <c r="G51" i="14"/>
  <c r="Q35" i="14"/>
  <c r="L34" i="14"/>
  <c r="G64" i="14"/>
  <c r="K26" i="14"/>
  <c r="G53" i="14"/>
  <c r="P43" i="14"/>
  <c r="L37" i="14"/>
  <c r="G59" i="14"/>
  <c r="P39" i="14"/>
  <c r="P31" i="14"/>
  <c r="G63" i="14"/>
  <c r="Q37" i="14"/>
  <c r="L31" i="14"/>
  <c r="P26" i="14"/>
  <c r="Q42" i="14"/>
  <c r="L41" i="14"/>
  <c r="E6" i="15"/>
  <c r="F6" i="15" s="1"/>
  <c r="P36" i="14"/>
  <c r="Q30" i="14"/>
  <c r="K42" i="14"/>
  <c r="K34" i="14"/>
  <c r="Q38" i="14"/>
  <c r="K28" i="14"/>
  <c r="P37" i="14"/>
  <c r="Q32" i="14"/>
  <c r="L30" i="14"/>
  <c r="L24" i="14"/>
  <c r="P28" i="14"/>
  <c r="L25" i="14"/>
  <c r="L29" i="14"/>
  <c r="AC3" i="14" a="1"/>
  <c r="AB3" i="14" a="1"/>
  <c r="AC3" i="14" l="1"/>
  <c r="AC11" i="14"/>
  <c r="AC19" i="14"/>
  <c r="AC27" i="14"/>
  <c r="AC35" i="14"/>
  <c r="AC43" i="14"/>
  <c r="AC51" i="14"/>
  <c r="AC59" i="14"/>
  <c r="AC4" i="14"/>
  <c r="AC12" i="14"/>
  <c r="AC20" i="14"/>
  <c r="AC28" i="14"/>
  <c r="AC36" i="14"/>
  <c r="AC44" i="14"/>
  <c r="AC52" i="14"/>
  <c r="AC60" i="14"/>
  <c r="AC5" i="14"/>
  <c r="AC13" i="14"/>
  <c r="AC21" i="14"/>
  <c r="AC29" i="14"/>
  <c r="AC37" i="14"/>
  <c r="AC45" i="14"/>
  <c r="AC53" i="14"/>
  <c r="AC61" i="14"/>
  <c r="AC6" i="14"/>
  <c r="AC14" i="14"/>
  <c r="AC22" i="14"/>
  <c r="AC30" i="14"/>
  <c r="AC38" i="14"/>
  <c r="AC46" i="14"/>
  <c r="AC54" i="14"/>
  <c r="AC62" i="14"/>
  <c r="AC7" i="14"/>
  <c r="AC15" i="14"/>
  <c r="AC23" i="14"/>
  <c r="AC31" i="14"/>
  <c r="AC39" i="14"/>
  <c r="AC47" i="14"/>
  <c r="AC55" i="14"/>
  <c r="AC8" i="14"/>
  <c r="AC16" i="14"/>
  <c r="AC24" i="14"/>
  <c r="AC32" i="14"/>
  <c r="AC40" i="14"/>
  <c r="AC48" i="14"/>
  <c r="AC56" i="14"/>
  <c r="AC9" i="14"/>
  <c r="AC17" i="14"/>
  <c r="AC25" i="14"/>
  <c r="AC33" i="14"/>
  <c r="AC41" i="14"/>
  <c r="AC49" i="14"/>
  <c r="AC57" i="14"/>
  <c r="AC10" i="14"/>
  <c r="AC18" i="14"/>
  <c r="AC26" i="14"/>
  <c r="AC34" i="14"/>
  <c r="AC42" i="14"/>
  <c r="AC50" i="14"/>
  <c r="AC58" i="14"/>
  <c r="AB3" i="14"/>
  <c r="AB11" i="14"/>
  <c r="AB19" i="14"/>
  <c r="AB27" i="14"/>
  <c r="AB35" i="14"/>
  <c r="AB43" i="14"/>
  <c r="AB51" i="14"/>
  <c r="AB59" i="14"/>
  <c r="AB4" i="14"/>
  <c r="AB12" i="14"/>
  <c r="AB20" i="14"/>
  <c r="AB28" i="14"/>
  <c r="AB36" i="14"/>
  <c r="AB44" i="14"/>
  <c r="AB52" i="14"/>
  <c r="AB60" i="14"/>
  <c r="AB5" i="14"/>
  <c r="AB13" i="14"/>
  <c r="AB21" i="14"/>
  <c r="AB29" i="14"/>
  <c r="AB37" i="14"/>
  <c r="AB45" i="14"/>
  <c r="AB53" i="14"/>
  <c r="AB61" i="14"/>
  <c r="AB6" i="14"/>
  <c r="AB14" i="14"/>
  <c r="AB22" i="14"/>
  <c r="AB30" i="14"/>
  <c r="AB38" i="14"/>
  <c r="AB46" i="14"/>
  <c r="AB54" i="14"/>
  <c r="AB62" i="14"/>
  <c r="AB7" i="14"/>
  <c r="AB15" i="14"/>
  <c r="AB23" i="14"/>
  <c r="AB31" i="14"/>
  <c r="AB39" i="14"/>
  <c r="AB47" i="14"/>
  <c r="AB55" i="14"/>
  <c r="AB8" i="14"/>
  <c r="AB16" i="14"/>
  <c r="AB24" i="14"/>
  <c r="AB32" i="14"/>
  <c r="AB40" i="14"/>
  <c r="AB48" i="14"/>
  <c r="AB56" i="14"/>
  <c r="AB9" i="14"/>
  <c r="AB17" i="14"/>
  <c r="AB25" i="14"/>
  <c r="AB33" i="14"/>
  <c r="AB41" i="14"/>
  <c r="AB49" i="14"/>
  <c r="AB57" i="14"/>
  <c r="AB10" i="14"/>
  <c r="AB18" i="14"/>
  <c r="AB26" i="14"/>
  <c r="AB34" i="14"/>
  <c r="AB42" i="14"/>
  <c r="AB50" i="14"/>
  <c r="AB58" i="14"/>
  <c r="J62" i="14"/>
  <c r="J54" i="14"/>
  <c r="J61" i="14"/>
  <c r="J53" i="14"/>
  <c r="J60" i="14"/>
  <c r="J52" i="14"/>
  <c r="J59" i="14"/>
  <c r="J51" i="14"/>
  <c r="J58" i="14"/>
  <c r="J50" i="14"/>
  <c r="J57" i="14"/>
  <c r="J49" i="14"/>
  <c r="J56" i="14"/>
  <c r="J48" i="14"/>
  <c r="J55" i="14"/>
  <c r="J47" i="14"/>
  <c r="C25" i="1"/>
  <c r="D17" i="1"/>
  <c r="I10" i="1"/>
  <c r="I9" i="1"/>
  <c r="I8" i="1"/>
  <c r="J6" i="15"/>
  <c r="P48" i="14"/>
  <c r="L47" i="14"/>
  <c r="Q50" i="14"/>
  <c r="L49" i="14"/>
  <c r="L55" i="14"/>
  <c r="Q58" i="14"/>
  <c r="Q62" i="14"/>
  <c r="L60" i="14"/>
  <c r="L52" i="14"/>
  <c r="P55" i="14"/>
  <c r="P60" i="14"/>
  <c r="P49" i="14"/>
  <c r="K55" i="14"/>
  <c r="P62" i="14"/>
  <c r="Q60" i="14"/>
  <c r="K50" i="14"/>
  <c r="K51" i="14"/>
  <c r="P61" i="14"/>
  <c r="K48" i="14"/>
  <c r="K53" i="14"/>
  <c r="Q59" i="14"/>
  <c r="P54" i="14"/>
  <c r="P58" i="14"/>
  <c r="Q56" i="14"/>
  <c r="P47" i="14"/>
  <c r="P53" i="14"/>
  <c r="Q57" i="14"/>
  <c r="L51" i="14"/>
  <c r="P59" i="14"/>
  <c r="K47" i="14"/>
  <c r="L57" i="14"/>
  <c r="K60" i="14"/>
  <c r="P57" i="14"/>
  <c r="L50" i="14"/>
  <c r="K57" i="14"/>
  <c r="K56" i="14"/>
  <c r="L54" i="14"/>
  <c r="Q55" i="14"/>
  <c r="Q53" i="14"/>
  <c r="P51" i="14"/>
  <c r="L53" i="14"/>
  <c r="L62" i="14"/>
  <c r="K61" i="14"/>
  <c r="P56" i="14"/>
  <c r="P50" i="14"/>
  <c r="Q47" i="14"/>
  <c r="K59" i="14"/>
  <c r="Q51" i="14"/>
  <c r="L48" i="14"/>
  <c r="K62" i="14"/>
  <c r="L58" i="14"/>
  <c r="Q52" i="14"/>
  <c r="K52" i="14"/>
  <c r="L56" i="14"/>
  <c r="L61" i="14"/>
  <c r="Q54" i="14"/>
  <c r="Q48" i="14"/>
  <c r="K54" i="14"/>
  <c r="Q61" i="14"/>
  <c r="L59" i="14"/>
  <c r="P52" i="14"/>
  <c r="Q49" i="14"/>
  <c r="K49" i="14"/>
  <c r="K58" i="14"/>
  <c r="M50" i="18" l="1"/>
  <c r="M51" i="18"/>
  <c r="G54" i="18"/>
  <c r="G55" i="18"/>
  <c r="G53" i="18"/>
  <c r="G52" i="18"/>
  <c r="G51" i="18"/>
  <c r="G50" i="18"/>
  <c r="G49" i="18"/>
  <c r="G48" i="18"/>
  <c r="G47" i="18"/>
  <c r="G46" i="18"/>
  <c r="G45" i="18"/>
  <c r="G44" i="18"/>
  <c r="G43" i="18"/>
  <c r="G42" i="18"/>
  <c r="G41" i="18"/>
  <c r="G40" i="18"/>
  <c r="G39" i="18"/>
  <c r="G38" i="18"/>
  <c r="G37" i="18"/>
  <c r="G36" i="18"/>
  <c r="G35" i="18"/>
  <c r="G34" i="18"/>
  <c r="G33" i="18"/>
  <c r="G32" i="18"/>
  <c r="G31" i="18"/>
  <c r="G30" i="18"/>
  <c r="G29" i="18"/>
  <c r="G28" i="18"/>
  <c r="G27" i="18"/>
  <c r="G26" i="18"/>
  <c r="G25" i="18"/>
  <c r="G24" i="18"/>
  <c r="G23" i="18"/>
  <c r="G22" i="18"/>
  <c r="G21" i="18"/>
  <c r="G20" i="18"/>
  <c r="G19" i="18"/>
  <c r="G16" i="18"/>
  <c r="G15" i="18"/>
  <c r="G14" i="18"/>
  <c r="G13" i="18"/>
  <c r="G12" i="18"/>
  <c r="G11" i="18"/>
  <c r="G10" i="18"/>
  <c r="G9" i="18"/>
  <c r="G8" i="18"/>
  <c r="G7" i="18"/>
  <c r="G6" i="18"/>
  <c r="G3" i="18"/>
  <c r="M54" i="17"/>
  <c r="N54" i="17"/>
  <c r="M55" i="17"/>
  <c r="N55" i="17"/>
  <c r="M56" i="17"/>
  <c r="N56" i="17"/>
  <c r="M57" i="17"/>
  <c r="M58" i="17"/>
  <c r="M59" i="17"/>
  <c r="M60" i="17"/>
  <c r="M61" i="17"/>
  <c r="M62" i="17"/>
  <c r="M63" i="17"/>
  <c r="M64" i="17"/>
  <c r="M65" i="17"/>
  <c r="M66" i="17"/>
  <c r="N66" i="17"/>
  <c r="M67" i="17"/>
  <c r="M68" i="17"/>
  <c r="N68" i="17"/>
  <c r="M69" i="17"/>
  <c r="N69" i="17"/>
  <c r="M70" i="17"/>
  <c r="M71" i="17"/>
  <c r="N71" i="17"/>
  <c r="M72" i="17"/>
  <c r="N72" i="17"/>
  <c r="M73" i="17"/>
  <c r="N73" i="17"/>
  <c r="M74" i="17"/>
  <c r="N74" i="17"/>
  <c r="M75" i="17"/>
  <c r="M76" i="17"/>
  <c r="N76" i="17"/>
  <c r="M77" i="17"/>
  <c r="N77" i="17"/>
  <c r="M78" i="17"/>
  <c r="N78" i="17"/>
  <c r="M79" i="17"/>
  <c r="N79" i="17"/>
  <c r="M80" i="17"/>
  <c r="M81" i="17"/>
  <c r="N81" i="17"/>
  <c r="M82" i="17"/>
  <c r="N82" i="17"/>
  <c r="M83" i="17"/>
  <c r="N83" i="17"/>
  <c r="M84" i="17"/>
  <c r="N84" i="17"/>
  <c r="M85" i="17"/>
  <c r="M86" i="17"/>
  <c r="N86" i="17"/>
  <c r="M87" i="17"/>
  <c r="M88" i="17"/>
  <c r="M89" i="17"/>
  <c r="N53" i="17"/>
  <c r="M53" i="17"/>
  <c r="M16" i="17"/>
  <c r="N16" i="17"/>
  <c r="M17" i="17"/>
  <c r="N17" i="17"/>
  <c r="M18" i="17"/>
  <c r="N18" i="17"/>
  <c r="M19" i="17"/>
  <c r="N19" i="17"/>
  <c r="M20" i="17"/>
  <c r="M21" i="17"/>
  <c r="M22" i="17"/>
  <c r="M23" i="17"/>
  <c r="M24" i="17"/>
  <c r="M25" i="17"/>
  <c r="M26" i="17"/>
  <c r="M27" i="17"/>
  <c r="M28" i="17"/>
  <c r="M29" i="17"/>
  <c r="N29" i="17"/>
  <c r="M30" i="17"/>
  <c r="M31" i="17"/>
  <c r="N31" i="17"/>
  <c r="M32" i="17"/>
  <c r="N32" i="17"/>
  <c r="M33" i="17"/>
  <c r="M34" i="17"/>
  <c r="N34" i="17"/>
  <c r="M35" i="17"/>
  <c r="N35" i="17"/>
  <c r="M36" i="17"/>
  <c r="N36" i="17"/>
  <c r="M37" i="17"/>
  <c r="N37" i="17"/>
  <c r="M38" i="17"/>
  <c r="M39" i="17"/>
  <c r="N39" i="17"/>
  <c r="M40" i="17"/>
  <c r="N40" i="17"/>
  <c r="M41" i="17"/>
  <c r="N41" i="17"/>
  <c r="M42" i="17"/>
  <c r="N42" i="17"/>
  <c r="M43" i="17"/>
  <c r="M44" i="17"/>
  <c r="N44" i="17"/>
  <c r="M45" i="17"/>
  <c r="N45" i="17"/>
  <c r="M46" i="17"/>
  <c r="N46" i="17"/>
  <c r="M47" i="17"/>
  <c r="N47" i="17"/>
  <c r="M48" i="17"/>
  <c r="M49" i="17"/>
  <c r="N49" i="17"/>
  <c r="M50" i="17"/>
  <c r="M51" i="17"/>
  <c r="M52" i="17"/>
  <c r="G95" i="17"/>
  <c r="G94" i="17"/>
  <c r="G93" i="17"/>
  <c r="G92" i="17"/>
  <c r="G91" i="17"/>
  <c r="G90" i="17"/>
  <c r="G89" i="17"/>
  <c r="G88" i="17"/>
  <c r="G87" i="17"/>
  <c r="G86" i="17"/>
  <c r="G85" i="17"/>
  <c r="G84" i="17"/>
  <c r="G83" i="17"/>
  <c r="G82" i="17"/>
  <c r="G81" i="17"/>
  <c r="G80" i="17"/>
  <c r="G79" i="17"/>
  <c r="G78" i="17"/>
  <c r="G77" i="17"/>
  <c r="G76" i="17"/>
  <c r="G75" i="17"/>
  <c r="G74" i="17"/>
  <c r="G73" i="17"/>
  <c r="G72" i="17"/>
  <c r="G71" i="17"/>
  <c r="G70" i="17"/>
  <c r="G69" i="17"/>
  <c r="G68" i="17"/>
  <c r="G67" i="17"/>
  <c r="G66" i="17"/>
  <c r="G65" i="17"/>
  <c r="G64" i="17"/>
  <c r="G63" i="17"/>
  <c r="G62" i="17"/>
  <c r="G61" i="17"/>
  <c r="G60" i="17"/>
  <c r="G59" i="17"/>
  <c r="G56" i="17"/>
  <c r="G55" i="17"/>
  <c r="G54" i="17"/>
  <c r="G53" i="17"/>
  <c r="G52" i="17"/>
  <c r="G51" i="17"/>
  <c r="G50" i="17"/>
  <c r="G49" i="17"/>
  <c r="G48" i="17"/>
  <c r="G47" i="17"/>
  <c r="G46" i="17"/>
  <c r="G45" i="17"/>
  <c r="G44" i="17"/>
  <c r="G43" i="17"/>
  <c r="G42" i="17"/>
  <c r="G41" i="17"/>
  <c r="G40" i="17"/>
  <c r="G39" i="17"/>
  <c r="G38" i="17"/>
  <c r="G37" i="17"/>
  <c r="G36" i="17"/>
  <c r="G35" i="17"/>
  <c r="G34" i="17"/>
  <c r="G33" i="17"/>
  <c r="G32" i="17"/>
  <c r="G31" i="17"/>
  <c r="G30" i="17"/>
  <c r="G29" i="17"/>
  <c r="G28" i="17"/>
  <c r="G27" i="17"/>
  <c r="G26" i="17"/>
  <c r="G25" i="17"/>
  <c r="G24" i="17"/>
  <c r="G23" i="17"/>
  <c r="G22" i="17"/>
  <c r="G21" i="17"/>
  <c r="G20" i="17"/>
  <c r="G19" i="17"/>
  <c r="G16" i="17"/>
  <c r="G15" i="17"/>
  <c r="G14" i="17"/>
  <c r="G13" i="17"/>
  <c r="G12" i="17"/>
  <c r="G11" i="17"/>
  <c r="G10" i="17"/>
  <c r="G9" i="17"/>
  <c r="G8" i="17"/>
  <c r="G7" i="17"/>
  <c r="G6" i="17"/>
  <c r="G3" i="17"/>
  <c r="M12" i="16"/>
  <c r="N12" i="16"/>
  <c r="M13" i="16"/>
  <c r="N13" i="16"/>
  <c r="M14" i="16"/>
  <c r="N14" i="16"/>
  <c r="M15" i="16"/>
  <c r="M16" i="16"/>
  <c r="M17" i="16"/>
  <c r="M18" i="16"/>
  <c r="M19" i="16"/>
  <c r="M20" i="16"/>
  <c r="M21" i="16"/>
  <c r="M22" i="16"/>
  <c r="M23" i="16"/>
  <c r="M24" i="16"/>
  <c r="N24" i="16"/>
  <c r="M25" i="16"/>
  <c r="M26" i="16"/>
  <c r="N26" i="16"/>
  <c r="M27" i="16"/>
  <c r="N27" i="16"/>
  <c r="M28" i="16"/>
  <c r="M29" i="16"/>
  <c r="N29" i="16"/>
  <c r="M30" i="16"/>
  <c r="N30" i="16"/>
  <c r="M31" i="16"/>
  <c r="N31" i="16"/>
  <c r="M32" i="16"/>
  <c r="N32" i="16"/>
  <c r="M33" i="16"/>
  <c r="M34" i="16"/>
  <c r="N34" i="16"/>
  <c r="M35" i="16"/>
  <c r="N35" i="16"/>
  <c r="M36" i="16"/>
  <c r="N36" i="16"/>
  <c r="M37" i="16"/>
  <c r="N37" i="16"/>
  <c r="M38" i="16"/>
  <c r="M39" i="16"/>
  <c r="N39" i="16"/>
  <c r="M40" i="16"/>
  <c r="N40" i="16"/>
  <c r="M41" i="16"/>
  <c r="N41" i="16"/>
  <c r="M42" i="16"/>
  <c r="N42" i="16"/>
  <c r="M43" i="16"/>
  <c r="M44" i="16"/>
  <c r="M45" i="16"/>
  <c r="M46" i="16"/>
  <c r="M47" i="16"/>
  <c r="G16" i="16"/>
  <c r="G3" i="16"/>
  <c r="G57" i="15"/>
  <c r="G56" i="15"/>
  <c r="G55" i="15"/>
  <c r="G54" i="15"/>
  <c r="G53" i="15"/>
  <c r="G52" i="15"/>
  <c r="G51" i="15"/>
  <c r="G50" i="15"/>
  <c r="G49" i="15"/>
  <c r="G48" i="15"/>
  <c r="G47" i="15"/>
  <c r="G46" i="15"/>
  <c r="G45" i="15"/>
  <c r="G44" i="15"/>
  <c r="G43" i="15"/>
  <c r="G42" i="15"/>
  <c r="G41" i="15"/>
  <c r="G40" i="15"/>
  <c r="G39" i="15"/>
  <c r="G38" i="15"/>
  <c r="G37" i="15"/>
  <c r="G36" i="15"/>
  <c r="G35" i="15"/>
  <c r="G34" i="15"/>
  <c r="G33" i="15"/>
  <c r="G32" i="15"/>
  <c r="G31" i="15"/>
  <c r="G30" i="15"/>
  <c r="G29" i="15"/>
  <c r="G28" i="15"/>
  <c r="G27" i="15"/>
  <c r="G26" i="15"/>
  <c r="G25" i="15"/>
  <c r="G24" i="15"/>
  <c r="G23" i="15"/>
  <c r="G22" i="15"/>
  <c r="G21" i="15"/>
  <c r="G20" i="15"/>
  <c r="G17" i="15"/>
  <c r="G16" i="15"/>
  <c r="G15" i="15"/>
  <c r="G14" i="15"/>
  <c r="G13" i="15"/>
  <c r="G12" i="15"/>
  <c r="G11" i="15"/>
  <c r="G10" i="15"/>
  <c r="G9" i="15"/>
  <c r="G8" i="15"/>
  <c r="G7" i="15"/>
  <c r="G6" i="15"/>
  <c r="J23" i="18"/>
  <c r="K33" i="18"/>
  <c r="K51" i="18"/>
  <c r="J46" i="18"/>
  <c r="K27" i="18"/>
  <c r="J25" i="18"/>
  <c r="J28" i="18"/>
  <c r="K55" i="18"/>
  <c r="K26" i="18"/>
  <c r="J53" i="18"/>
  <c r="K23" i="18"/>
  <c r="K46" i="18"/>
  <c r="J33" i="18"/>
  <c r="K31" i="18"/>
  <c r="J54" i="18"/>
  <c r="J41" i="18"/>
  <c r="J30" i="18"/>
  <c r="K41" i="18"/>
  <c r="K54" i="18"/>
  <c r="J29" i="18"/>
  <c r="J36" i="18"/>
  <c r="J26" i="18"/>
  <c r="J31" i="18"/>
  <c r="J27" i="18"/>
  <c r="K24" i="18"/>
  <c r="K29" i="18"/>
  <c r="J55" i="18"/>
  <c r="K53" i="18"/>
  <c r="K28" i="18"/>
  <c r="J24" i="18"/>
  <c r="J51" i="18"/>
  <c r="K36" i="18"/>
  <c r="K30" i="18"/>
  <c r="K25" i="18"/>
  <c r="O22" i="18" l="1"/>
  <c r="O23" i="18"/>
  <c r="O47" i="18"/>
  <c r="O24" i="18"/>
  <c r="O32" i="18"/>
  <c r="O25" i="18"/>
  <c r="O49" i="18"/>
  <c r="O26" i="18"/>
  <c r="O42" i="18"/>
  <c r="O51" i="18"/>
  <c r="O19" i="18"/>
  <c r="O27" i="18"/>
  <c r="O50" i="18"/>
  <c r="O20" i="18"/>
  <c r="O21" i="18"/>
  <c r="O29" i="18"/>
  <c r="O37" i="18"/>
  <c r="M55" i="15"/>
  <c r="M56" i="15"/>
  <c r="M57" i="15"/>
  <c r="M58" i="15"/>
  <c r="M59" i="15"/>
  <c r="M60" i="15"/>
  <c r="M61" i="15"/>
  <c r="M62" i="15"/>
  <c r="M63" i="15"/>
  <c r="M64" i="15"/>
  <c r="M65" i="15"/>
  <c r="M66" i="15"/>
  <c r="M67" i="15"/>
  <c r="M68" i="15"/>
  <c r="M69" i="15"/>
  <c r="M70" i="15"/>
  <c r="M71" i="15"/>
  <c r="M72" i="15"/>
  <c r="M73" i="15"/>
  <c r="M74" i="15"/>
  <c r="M75" i="15"/>
  <c r="M76" i="15"/>
  <c r="M77" i="15"/>
  <c r="M78" i="15"/>
  <c r="M79" i="15"/>
  <c r="M80" i="15"/>
  <c r="M81" i="15"/>
  <c r="M82" i="15"/>
  <c r="M83" i="15"/>
  <c r="M84" i="15"/>
  <c r="M85" i="15"/>
  <c r="M86" i="15"/>
  <c r="M87" i="15"/>
  <c r="M88" i="15"/>
  <c r="M89" i="15"/>
  <c r="M90" i="15"/>
  <c r="M54" i="15"/>
  <c r="G3" i="15"/>
  <c r="K6" i="15" l="1"/>
  <c r="O4" i="15" s="1"/>
  <c r="V32" i="17"/>
  <c r="Q46" i="17"/>
  <c r="P68" i="17"/>
  <c r="P41" i="17"/>
  <c r="U40" i="16"/>
  <c r="U29" i="17"/>
  <c r="P35" i="17"/>
  <c r="P34" i="17"/>
  <c r="V42" i="16"/>
  <c r="P24" i="16"/>
  <c r="V35" i="16"/>
  <c r="Q56" i="17"/>
  <c r="U29" i="16"/>
  <c r="P69" i="17"/>
  <c r="V39" i="16"/>
  <c r="P13" i="16"/>
  <c r="V37" i="16"/>
  <c r="U86" i="17"/>
  <c r="P45" i="17"/>
  <c r="Q19" i="17"/>
  <c r="V78" i="17"/>
  <c r="J16" i="17"/>
  <c r="P54" i="17"/>
  <c r="U31" i="16"/>
  <c r="Q31" i="16"/>
  <c r="J93" i="17"/>
  <c r="Q41" i="17"/>
  <c r="U72" i="17"/>
  <c r="V18" i="17"/>
  <c r="Q45" i="17"/>
  <c r="V26" i="16"/>
  <c r="P42" i="16"/>
  <c r="V34" i="16"/>
  <c r="U34" i="16"/>
  <c r="Q26" i="16"/>
  <c r="U55" i="17"/>
  <c r="Q32" i="16"/>
  <c r="P37" i="16"/>
  <c r="J15" i="17"/>
  <c r="V40" i="16"/>
  <c r="P29" i="16"/>
  <c r="P12" i="16"/>
  <c r="P42" i="17"/>
  <c r="Q77" i="17"/>
  <c r="P86" i="17"/>
  <c r="Q17" i="17"/>
  <c r="J66" i="17"/>
  <c r="V83" i="17"/>
  <c r="V17" i="17"/>
  <c r="U31" i="17"/>
  <c r="P46" i="17"/>
  <c r="U53" i="17"/>
  <c r="Q40" i="17"/>
  <c r="Q49" i="17"/>
  <c r="V27" i="16"/>
  <c r="V12" i="16"/>
  <c r="J81" i="17"/>
  <c r="P40" i="16"/>
  <c r="U32" i="17"/>
  <c r="J11" i="17"/>
  <c r="V86" i="17"/>
  <c r="U68" i="17"/>
  <c r="D9" i="1"/>
  <c r="C14" i="19" s="1"/>
  <c r="Q14" i="16"/>
  <c r="P30" i="16"/>
  <c r="V77" i="17"/>
  <c r="J63" i="17"/>
  <c r="J70" i="17"/>
  <c r="P47" i="17"/>
  <c r="Q86" i="17"/>
  <c r="P36" i="16"/>
  <c r="Q68" i="17"/>
  <c r="P49" i="17"/>
  <c r="U17" i="17"/>
  <c r="P37" i="17"/>
  <c r="J69" i="17"/>
  <c r="P83" i="17"/>
  <c r="U27" i="16"/>
  <c r="U81" i="17"/>
  <c r="P78" i="17"/>
  <c r="U41" i="17"/>
  <c r="Q34" i="17"/>
  <c r="Q31" i="17"/>
  <c r="V69" i="17"/>
  <c r="Q18" i="17"/>
  <c r="P55" i="17"/>
  <c r="J10" i="17"/>
  <c r="P29" i="17"/>
  <c r="P39" i="17"/>
  <c r="U30" i="16"/>
  <c r="U32" i="16"/>
  <c r="Q44" i="17"/>
  <c r="P36" i="17"/>
  <c r="J67" i="17"/>
  <c r="V42" i="17"/>
  <c r="V41" i="17"/>
  <c r="V34" i="17"/>
  <c r="U16" i="17"/>
  <c r="U69" i="17"/>
  <c r="U42" i="17"/>
  <c r="U46" i="17"/>
  <c r="V19" i="17"/>
  <c r="Q32" i="17"/>
  <c r="U36" i="17"/>
  <c r="U82" i="17"/>
  <c r="P71" i="17"/>
  <c r="U44" i="17"/>
  <c r="U13" i="16"/>
  <c r="P79" i="17"/>
  <c r="U41" i="16"/>
  <c r="U79" i="17"/>
  <c r="V74" i="17"/>
  <c r="J68" i="17"/>
  <c r="U76" i="17"/>
  <c r="P18" i="17"/>
  <c r="P26" i="16"/>
  <c r="V56" i="17"/>
  <c r="V31" i="16"/>
  <c r="J9" i="17"/>
  <c r="Q74" i="17"/>
  <c r="V35" i="17"/>
  <c r="V40" i="17"/>
  <c r="P31" i="16"/>
  <c r="V76" i="17"/>
  <c r="U35" i="16"/>
  <c r="J76" i="17"/>
  <c r="V24" i="16"/>
  <c r="P32" i="17"/>
  <c r="V45" i="17"/>
  <c r="Q79" i="17"/>
  <c r="Q30" i="16"/>
  <c r="J14" i="17"/>
  <c r="V29" i="17"/>
  <c r="V53" i="17"/>
  <c r="V55" i="17"/>
  <c r="Q29" i="16"/>
  <c r="U42" i="16"/>
  <c r="V82" i="17"/>
  <c r="J91" i="17"/>
  <c r="V54" i="17"/>
  <c r="J64" i="17"/>
  <c r="Q69" i="17"/>
  <c r="Q76" i="17"/>
  <c r="J12" i="17"/>
  <c r="U45" i="17"/>
  <c r="J86" i="17"/>
  <c r="V81" i="17"/>
  <c r="Q42" i="16"/>
  <c r="Q82" i="17"/>
  <c r="Q13" i="16"/>
  <c r="Q41" i="16"/>
  <c r="U35" i="17"/>
  <c r="V49" i="17"/>
  <c r="Q39" i="16"/>
  <c r="U77" i="17"/>
  <c r="U19" i="17"/>
  <c r="Q54" i="17"/>
  <c r="Q55" i="17"/>
  <c r="V13" i="16"/>
  <c r="Q73" i="17"/>
  <c r="U47" i="17"/>
  <c r="Q36" i="17"/>
  <c r="U40" i="17"/>
  <c r="P81" i="17"/>
  <c r="U24" i="16"/>
  <c r="U66" i="17"/>
  <c r="P53" i="17"/>
  <c r="J13" i="17"/>
  <c r="J94" i="17"/>
  <c r="V71" i="17"/>
  <c r="P74" i="17"/>
  <c r="V72" i="17"/>
  <c r="P84" i="17"/>
  <c r="J71" i="17"/>
  <c r="P41" i="16"/>
  <c r="V14" i="16"/>
  <c r="V36" i="16"/>
  <c r="J7" i="17"/>
  <c r="V66" i="17"/>
  <c r="P56" i="17"/>
  <c r="P27" i="16"/>
  <c r="P72" i="17"/>
  <c r="J95" i="17"/>
  <c r="P39" i="16"/>
  <c r="V79" i="17"/>
  <c r="U12" i="16"/>
  <c r="V46" i="17"/>
  <c r="U83" i="17"/>
  <c r="Q34" i="16"/>
  <c r="J73" i="17"/>
  <c r="V29" i="16"/>
  <c r="P17" i="17"/>
  <c r="P40" i="17"/>
  <c r="Q29" i="17"/>
  <c r="Q71" i="17"/>
  <c r="Q35" i="16"/>
  <c r="Q37" i="16"/>
  <c r="U74" i="17"/>
  <c r="U26" i="16"/>
  <c r="Q84" i="17"/>
  <c r="U37" i="17"/>
  <c r="Q36" i="16"/>
  <c r="V32" i="16"/>
  <c r="V30" i="16"/>
  <c r="P66" i="17"/>
  <c r="V41" i="16"/>
  <c r="P44" i="17"/>
  <c r="V39" i="17"/>
  <c r="P35" i="16"/>
  <c r="V31" i="17"/>
  <c r="P19" i="17"/>
  <c r="U73" i="17"/>
  <c r="Q66" i="17"/>
  <c r="U39" i="17"/>
  <c r="U18" i="17"/>
  <c r="U49" i="17"/>
  <c r="Q12" i="16"/>
  <c r="J6" i="17"/>
  <c r="P77" i="17"/>
  <c r="Q37" i="17"/>
  <c r="Q83" i="17"/>
  <c r="Q40" i="16"/>
  <c r="V73" i="17"/>
  <c r="J65" i="17"/>
  <c r="Q35" i="17"/>
  <c r="Q47" i="17"/>
  <c r="V68" i="17"/>
  <c r="J8" i="17"/>
  <c r="Q27" i="16"/>
  <c r="U56" i="17"/>
  <c r="P34" i="16"/>
  <c r="U71" i="17"/>
  <c r="U78" i="17"/>
  <c r="U84" i="17"/>
  <c r="P76" i="17"/>
  <c r="P16" i="17"/>
  <c r="V36" i="17"/>
  <c r="V16" i="17"/>
  <c r="V84" i="17"/>
  <c r="V37" i="17"/>
  <c r="Q81" i="17"/>
  <c r="U14" i="16"/>
  <c r="Q39" i="17"/>
  <c r="P73" i="17"/>
  <c r="P14" i="16"/>
  <c r="Q78" i="17"/>
  <c r="U37" i="16"/>
  <c r="U36" i="16"/>
  <c r="Q24" i="16"/>
  <c r="Q72" i="17"/>
  <c r="U34" i="17"/>
  <c r="U54" i="17"/>
  <c r="V47" i="17"/>
  <c r="Q42" i="17"/>
  <c r="Q53" i="17"/>
  <c r="P31" i="17"/>
  <c r="Q16" i="17"/>
  <c r="V44" i="17"/>
  <c r="U39" i="16"/>
  <c r="P32" i="16"/>
  <c r="P82" i="17"/>
  <c r="E14" i="19"/>
  <c r="F14" i="19" s="1"/>
  <c r="C15" i="19"/>
  <c r="E15" i="19"/>
  <c r="F15" i="19" s="1"/>
  <c r="C16" i="19"/>
  <c r="E16" i="19"/>
  <c r="F16" i="19" s="1"/>
  <c r="C17" i="19"/>
  <c r="E17" i="19"/>
  <c r="F17" i="19" s="1"/>
  <c r="C18" i="19"/>
  <c r="E18" i="19"/>
  <c r="F18" i="19" s="1"/>
  <c r="C19" i="19"/>
  <c r="E19" i="19"/>
  <c r="F19" i="19" s="1"/>
  <c r="C20" i="19"/>
  <c r="E20" i="19"/>
  <c r="F20" i="19" s="1"/>
  <c r="C21" i="19"/>
  <c r="E21" i="19"/>
  <c r="F21" i="19" s="1"/>
  <c r="C22" i="19"/>
  <c r="E22" i="19"/>
  <c r="F22" i="19" s="1"/>
  <c r="C23" i="19"/>
  <c r="C24" i="19"/>
  <c r="E23" i="19"/>
  <c r="F23" i="19" s="1"/>
  <c r="C25" i="19"/>
  <c r="E24" i="19"/>
  <c r="F24" i="19" s="1"/>
  <c r="E25" i="19"/>
  <c r="F25" i="19" s="1"/>
  <c r="H25" i="19" l="1"/>
  <c r="H24" i="19"/>
  <c r="H23" i="19"/>
  <c r="H22" i="19"/>
  <c r="H21" i="19"/>
  <c r="H20" i="19"/>
  <c r="H19" i="19"/>
  <c r="H18" i="19"/>
  <c r="H17" i="19"/>
  <c r="H16" i="19"/>
  <c r="H15" i="19"/>
  <c r="H14" i="19"/>
  <c r="K12" i="17"/>
  <c r="O10" i="17" s="1"/>
  <c r="K11" i="17"/>
  <c r="O9" i="17" s="1"/>
  <c r="K6" i="17"/>
  <c r="O4" i="17" s="1"/>
  <c r="K15" i="17"/>
  <c r="O13" i="17" s="1"/>
  <c r="K9" i="17"/>
  <c r="O7" i="17" s="1"/>
  <c r="K16" i="17"/>
  <c r="O14" i="17" s="1"/>
  <c r="K8" i="17"/>
  <c r="O6" i="17" s="1"/>
  <c r="K7" i="17"/>
  <c r="O5" i="17" s="1"/>
  <c r="K14" i="17"/>
  <c r="O12" i="17" s="1"/>
  <c r="K10" i="17"/>
  <c r="O8" i="17" s="1"/>
  <c r="K13" i="17"/>
  <c r="O11" i="17" s="1"/>
  <c r="S1" i="14"/>
  <c r="I5" i="14"/>
  <c r="D42" i="14"/>
  <c r="D41" i="14"/>
  <c r="D40" i="14"/>
  <c r="D39" i="14"/>
  <c r="D38" i="14"/>
  <c r="D37" i="14"/>
  <c r="D36" i="14"/>
  <c r="D35" i="14"/>
  <c r="D34" i="14"/>
  <c r="D33" i="14"/>
  <c r="D32" i="14"/>
  <c r="D31" i="14"/>
  <c r="D30" i="14"/>
  <c r="D29" i="14"/>
  <c r="D28" i="14"/>
  <c r="D27" i="14"/>
  <c r="D26" i="14"/>
  <c r="D25" i="14"/>
  <c r="D24" i="14"/>
  <c r="D23" i="14"/>
  <c r="D22" i="14"/>
  <c r="D21" i="14"/>
  <c r="D20" i="14"/>
  <c r="D19" i="14"/>
  <c r="D18" i="14"/>
  <c r="D17" i="14"/>
  <c r="D16" i="14"/>
  <c r="D15" i="14"/>
  <c r="D14" i="14"/>
  <c r="D13" i="14"/>
  <c r="D12" i="14"/>
  <c r="D11" i="14"/>
  <c r="D10" i="14"/>
  <c r="D9" i="14"/>
  <c r="D8" i="14"/>
  <c r="D7" i="14"/>
  <c r="D4" i="14"/>
  <c r="D3" i="14"/>
  <c r="J25" i="19"/>
  <c r="J17" i="19"/>
  <c r="J24" i="19"/>
  <c r="J16" i="19"/>
  <c r="J23" i="19"/>
  <c r="J15" i="19"/>
  <c r="J22" i="19"/>
  <c r="J14" i="19"/>
  <c r="J21" i="19"/>
  <c r="J20" i="19"/>
  <c r="J19" i="19"/>
  <c r="J18" i="19"/>
  <c r="D10" i="1"/>
  <c r="G4" i="14"/>
  <c r="G3" i="14"/>
  <c r="M16" i="19" l="1"/>
  <c r="M17" i="19"/>
  <c r="M18" i="19"/>
  <c r="M19" i="19"/>
  <c r="M12" i="19"/>
  <c r="M20" i="19"/>
  <c r="M13" i="19"/>
  <c r="M21" i="19"/>
  <c r="M14" i="19"/>
  <c r="M22" i="19"/>
  <c r="M15" i="19"/>
  <c r="M23" i="19"/>
  <c r="N30" i="18"/>
  <c r="N31" i="18"/>
  <c r="N33" i="18"/>
  <c r="N35" i="18"/>
  <c r="N36" i="18"/>
  <c r="N38" i="18"/>
  <c r="N40" i="18"/>
  <c r="N41" i="18"/>
  <c r="N43" i="18"/>
  <c r="M48" i="18"/>
  <c r="M49" i="18"/>
  <c r="M19" i="18"/>
  <c r="M20" i="18"/>
  <c r="M21" i="18"/>
  <c r="M22" i="18"/>
  <c r="M23" i="18"/>
  <c r="M24" i="18"/>
  <c r="M25" i="18"/>
  <c r="M26" i="18"/>
  <c r="M27" i="18"/>
  <c r="M28" i="18"/>
  <c r="M29" i="18"/>
  <c r="M30" i="18"/>
  <c r="M31" i="18"/>
  <c r="M32" i="18"/>
  <c r="M33" i="18"/>
  <c r="M34" i="18"/>
  <c r="M35" i="18"/>
  <c r="M36" i="18"/>
  <c r="M37" i="18"/>
  <c r="M38" i="18"/>
  <c r="M39" i="18"/>
  <c r="M40" i="18"/>
  <c r="M41" i="18"/>
  <c r="M42" i="18"/>
  <c r="M43" i="18"/>
  <c r="M44" i="18"/>
  <c r="M45" i="18"/>
  <c r="M46" i="18"/>
  <c r="M47" i="18"/>
  <c r="M5" i="18"/>
  <c r="M6" i="18"/>
  <c r="M7" i="18"/>
  <c r="M8" i="18"/>
  <c r="M9" i="18"/>
  <c r="M10" i="18"/>
  <c r="M11" i="18"/>
  <c r="M12" i="18"/>
  <c r="M13" i="18"/>
  <c r="M14" i="18"/>
  <c r="M4" i="18"/>
  <c r="C7" i="18"/>
  <c r="H7" i="18" s="1"/>
  <c r="C8" i="18"/>
  <c r="H8" i="18" s="1"/>
  <c r="C9" i="18"/>
  <c r="H9" i="18" s="1"/>
  <c r="C10" i="18"/>
  <c r="H10" i="18" s="1"/>
  <c r="C11" i="18"/>
  <c r="H11" i="18" s="1"/>
  <c r="C12" i="18"/>
  <c r="H12" i="18" s="1"/>
  <c r="C13" i="18"/>
  <c r="H13" i="18" s="1"/>
  <c r="C14" i="18"/>
  <c r="H14" i="18" s="1"/>
  <c r="C15" i="18"/>
  <c r="H15" i="18" s="1"/>
  <c r="C16" i="18"/>
  <c r="H16" i="18" s="1"/>
  <c r="C6" i="18"/>
  <c r="H6" i="18" s="1"/>
  <c r="M3" i="18"/>
  <c r="X1" i="18"/>
  <c r="M5" i="17"/>
  <c r="M6" i="17"/>
  <c r="M7" i="17"/>
  <c r="M8" i="17"/>
  <c r="M9" i="17"/>
  <c r="M10" i="17"/>
  <c r="M11" i="17"/>
  <c r="M12" i="17"/>
  <c r="M13" i="17"/>
  <c r="M14" i="17"/>
  <c r="M15" i="17"/>
  <c r="M4" i="17"/>
  <c r="M3" i="17"/>
  <c r="X1" i="17"/>
  <c r="M11" i="16"/>
  <c r="M5" i="16"/>
  <c r="M6" i="16"/>
  <c r="M7" i="16"/>
  <c r="M8" i="16"/>
  <c r="M9" i="16"/>
  <c r="M10" i="16"/>
  <c r="M4" i="16"/>
  <c r="M3" i="16"/>
  <c r="G51" i="16"/>
  <c r="G50" i="16"/>
  <c r="G49" i="16"/>
  <c r="G48" i="16"/>
  <c r="G47" i="16"/>
  <c r="G46" i="16"/>
  <c r="G45" i="16"/>
  <c r="G44" i="16"/>
  <c r="G43" i="16"/>
  <c r="G42" i="16"/>
  <c r="G41" i="16"/>
  <c r="G40" i="16"/>
  <c r="G39" i="16"/>
  <c r="G38" i="16"/>
  <c r="G37" i="16"/>
  <c r="G36" i="16"/>
  <c r="G35" i="16"/>
  <c r="G34" i="16"/>
  <c r="G33" i="16"/>
  <c r="G32" i="16"/>
  <c r="G31" i="16"/>
  <c r="G30" i="16"/>
  <c r="G29" i="16"/>
  <c r="G28" i="16"/>
  <c r="G27" i="16"/>
  <c r="G26" i="16"/>
  <c r="G25" i="16"/>
  <c r="G24" i="16"/>
  <c r="G23" i="16"/>
  <c r="G22" i="16"/>
  <c r="G21" i="16"/>
  <c r="G20" i="16"/>
  <c r="G19" i="16"/>
  <c r="G18" i="16"/>
  <c r="G17" i="16"/>
  <c r="G15" i="16"/>
  <c r="G12" i="16"/>
  <c r="C12" i="16"/>
  <c r="H12" i="16" s="1"/>
  <c r="G11" i="16"/>
  <c r="C11" i="16"/>
  <c r="H11" i="16" s="1"/>
  <c r="G10" i="16"/>
  <c r="C10" i="16"/>
  <c r="H10" i="16" s="1"/>
  <c r="G9" i="16"/>
  <c r="C9" i="16"/>
  <c r="H9" i="16" s="1"/>
  <c r="G8" i="16"/>
  <c r="C8" i="16"/>
  <c r="H8" i="16" s="1"/>
  <c r="G7" i="16"/>
  <c r="C7" i="16"/>
  <c r="H7" i="16" s="1"/>
  <c r="G6" i="16"/>
  <c r="C6" i="16"/>
  <c r="H6" i="16" s="1"/>
  <c r="X1" i="16"/>
  <c r="N16" i="19"/>
  <c r="S16" i="19"/>
  <c r="O16" i="19"/>
  <c r="T16" i="19"/>
  <c r="N14" i="19"/>
  <c r="O14" i="19"/>
  <c r="S14" i="19"/>
  <c r="T14" i="19"/>
  <c r="O17" i="19"/>
  <c r="T17" i="19"/>
  <c r="N17" i="19"/>
  <c r="S17" i="19"/>
  <c r="O22" i="19"/>
  <c r="S22" i="19"/>
  <c r="T22" i="19"/>
  <c r="N22" i="19"/>
  <c r="S18" i="19"/>
  <c r="T18" i="19"/>
  <c r="N18" i="19"/>
  <c r="O18" i="19"/>
  <c r="S15" i="19"/>
  <c r="N15" i="19"/>
  <c r="O15" i="19"/>
  <c r="T15" i="19"/>
  <c r="T19" i="19"/>
  <c r="N19" i="19"/>
  <c r="O19" i="19"/>
  <c r="S19" i="19"/>
  <c r="O23" i="19"/>
  <c r="N23" i="19"/>
  <c r="S23" i="19"/>
  <c r="T23" i="19"/>
  <c r="N12" i="19"/>
  <c r="O12" i="19"/>
  <c r="S12" i="19"/>
  <c r="T12" i="19"/>
  <c r="S20" i="19"/>
  <c r="T20" i="19"/>
  <c r="N20" i="19"/>
  <c r="O20" i="19"/>
  <c r="N13" i="19"/>
  <c r="O13" i="19"/>
  <c r="S13" i="19"/>
  <c r="T13" i="19"/>
  <c r="O21" i="19"/>
  <c r="S21" i="19"/>
  <c r="N21" i="19"/>
  <c r="T21" i="19"/>
  <c r="J9" i="18"/>
  <c r="K26" i="16"/>
  <c r="J15" i="18"/>
  <c r="K29" i="16"/>
  <c r="J9" i="16"/>
  <c r="J8" i="18"/>
  <c r="K49" i="16"/>
  <c r="J7" i="16"/>
  <c r="K47" i="16"/>
  <c r="K23" i="16"/>
  <c r="K27" i="16"/>
  <c r="K50" i="16"/>
  <c r="J10" i="18"/>
  <c r="K19" i="16"/>
  <c r="J7" i="18"/>
  <c r="J8" i="16"/>
  <c r="K25" i="16"/>
  <c r="J12" i="16"/>
  <c r="K32" i="16"/>
  <c r="J11" i="18"/>
  <c r="J10" i="16"/>
  <c r="K20" i="16"/>
  <c r="K24" i="16"/>
  <c r="J12" i="18"/>
  <c r="K42" i="16"/>
  <c r="K51" i="16"/>
  <c r="J13" i="18"/>
  <c r="K22" i="16"/>
  <c r="J14" i="18"/>
  <c r="J11" i="16"/>
  <c r="K37" i="16"/>
  <c r="J16" i="18"/>
  <c r="K21" i="16"/>
  <c r="K13" i="18" l="1"/>
  <c r="O11" i="18" s="1"/>
  <c r="K15" i="18"/>
  <c r="O13" i="18" s="1"/>
  <c r="K10" i="18"/>
  <c r="O8" i="18" s="1"/>
  <c r="K9" i="18"/>
  <c r="O7" i="18" s="1"/>
  <c r="K12" i="18"/>
  <c r="O10" i="18" s="1"/>
  <c r="K16" i="18"/>
  <c r="O14" i="18" s="1"/>
  <c r="K8" i="18"/>
  <c r="O6" i="18" s="1"/>
  <c r="K14" i="18"/>
  <c r="O12" i="18" s="1"/>
  <c r="K11" i="18"/>
  <c r="O9" i="18" s="1"/>
  <c r="K7" i="18"/>
  <c r="O5" i="18" s="1"/>
  <c r="O25" i="16"/>
  <c r="O28" i="16"/>
  <c r="O15" i="16"/>
  <c r="N15" i="16"/>
  <c r="O19" i="16"/>
  <c r="O43" i="16"/>
  <c r="O20" i="16"/>
  <c r="O21" i="16"/>
  <c r="O45" i="16"/>
  <c r="O23" i="16"/>
  <c r="O47" i="16"/>
  <c r="O16" i="16"/>
  <c r="O17" i="16"/>
  <c r="O33" i="16"/>
  <c r="O18" i="16"/>
  <c r="O22" i="16"/>
  <c r="O38" i="16"/>
  <c r="O46" i="16"/>
  <c r="K9" i="16"/>
  <c r="O7" i="16" s="1"/>
  <c r="K10" i="16"/>
  <c r="O8" i="16" s="1"/>
  <c r="K11" i="16"/>
  <c r="O9" i="16" s="1"/>
  <c r="K8" i="16"/>
  <c r="O6" i="16" s="1"/>
  <c r="K7" i="16"/>
  <c r="O5" i="16" s="1"/>
  <c r="K12" i="16"/>
  <c r="O10" i="16" s="1"/>
  <c r="N11" i="18"/>
  <c r="N14" i="18"/>
  <c r="N10" i="18"/>
  <c r="N13" i="18"/>
  <c r="N11" i="16"/>
  <c r="M17" i="15"/>
  <c r="M18" i="15"/>
  <c r="M19" i="15"/>
  <c r="M20" i="15"/>
  <c r="M21" i="15"/>
  <c r="M22" i="15"/>
  <c r="M23" i="15"/>
  <c r="M24" i="15"/>
  <c r="M25" i="15"/>
  <c r="M26" i="15"/>
  <c r="M27" i="15"/>
  <c r="M28" i="15"/>
  <c r="M29" i="15"/>
  <c r="M30" i="15"/>
  <c r="M31" i="15"/>
  <c r="M32" i="15"/>
  <c r="M33" i="15"/>
  <c r="M34" i="15"/>
  <c r="M35" i="15"/>
  <c r="M36" i="15"/>
  <c r="M37" i="15"/>
  <c r="M38" i="15"/>
  <c r="M39" i="15"/>
  <c r="M40" i="15"/>
  <c r="M41" i="15"/>
  <c r="M42" i="15"/>
  <c r="M43" i="15"/>
  <c r="M44" i="15"/>
  <c r="M45" i="15"/>
  <c r="M46" i="15"/>
  <c r="M47" i="15"/>
  <c r="M48" i="15"/>
  <c r="M49" i="15"/>
  <c r="M50" i="15"/>
  <c r="M51" i="15"/>
  <c r="M52" i="15"/>
  <c r="M53" i="15"/>
  <c r="M16" i="15"/>
  <c r="M4" i="15"/>
  <c r="M5" i="15"/>
  <c r="M6" i="15"/>
  <c r="M7" i="15"/>
  <c r="M8" i="15"/>
  <c r="M9" i="15"/>
  <c r="M10" i="15"/>
  <c r="M11" i="15"/>
  <c r="M12" i="15"/>
  <c r="M13" i="15"/>
  <c r="M14" i="15"/>
  <c r="M15" i="15"/>
  <c r="M3" i="15"/>
  <c r="H1" i="15"/>
  <c r="X1" i="15"/>
  <c r="I4" i="14"/>
  <c r="I3" i="14"/>
  <c r="P33" i="18"/>
  <c r="P14" i="18"/>
  <c r="V13" i="18"/>
  <c r="Q14" i="18"/>
  <c r="P10" i="18"/>
  <c r="Q40" i="18"/>
  <c r="U14" i="18"/>
  <c r="V30" i="18"/>
  <c r="P36" i="18"/>
  <c r="V38" i="18"/>
  <c r="U36" i="18"/>
  <c r="P43" i="18"/>
  <c r="V43" i="18"/>
  <c r="U38" i="18"/>
  <c r="P13" i="18"/>
  <c r="P15" i="16"/>
  <c r="V11" i="16"/>
  <c r="U31" i="18"/>
  <c r="Q43" i="18"/>
  <c r="V41" i="18"/>
  <c r="P38" i="18"/>
  <c r="Q11" i="16"/>
  <c r="U15" i="16"/>
  <c r="Q35" i="18"/>
  <c r="U35" i="18"/>
  <c r="Q38" i="18"/>
  <c r="P35" i="18"/>
  <c r="U43" i="18"/>
  <c r="P30" i="18"/>
  <c r="Q15" i="16"/>
  <c r="V11" i="18"/>
  <c r="Q11" i="18"/>
  <c r="U41" i="18"/>
  <c r="U11" i="16"/>
  <c r="P31" i="18"/>
  <c r="V15" i="16"/>
  <c r="P11" i="18"/>
  <c r="V14" i="18"/>
  <c r="V36" i="18"/>
  <c r="U30" i="18"/>
  <c r="U33" i="18"/>
  <c r="U10" i="18"/>
  <c r="U40" i="18"/>
  <c r="P11" i="16"/>
  <c r="V35" i="18"/>
  <c r="V10" i="18"/>
  <c r="U11" i="18"/>
  <c r="Q31" i="18"/>
  <c r="V33" i="18"/>
  <c r="Q33" i="18"/>
  <c r="U13" i="18"/>
  <c r="V31" i="18"/>
  <c r="V40" i="18"/>
  <c r="J6" i="16"/>
  <c r="Q13" i="18"/>
  <c r="Q30" i="18"/>
  <c r="P41" i="18"/>
  <c r="Q36" i="18"/>
  <c r="Q10" i="18"/>
  <c r="P40" i="18"/>
  <c r="Q41" i="18"/>
  <c r="J6" i="18"/>
  <c r="K6" i="18" l="1"/>
  <c r="O4" i="18" s="1"/>
  <c r="K6" i="16"/>
  <c r="O4" i="16" s="1"/>
  <c r="J4" i="14"/>
  <c r="N7" i="18"/>
  <c r="N8" i="18"/>
  <c r="N12" i="18"/>
  <c r="N5" i="18"/>
  <c r="N9" i="16"/>
  <c r="N5" i="16"/>
  <c r="N4" i="16"/>
  <c r="N6" i="18"/>
  <c r="N7" i="16"/>
  <c r="N8" i="16"/>
  <c r="N10" i="16"/>
  <c r="N4" i="18"/>
  <c r="N9" i="18"/>
  <c r="N6" i="16"/>
  <c r="J3" i="14"/>
  <c r="N16" i="15"/>
  <c r="N17" i="15"/>
  <c r="N18" i="15"/>
  <c r="N19" i="15"/>
  <c r="N20" i="15"/>
  <c r="N47" i="15"/>
  <c r="N46" i="15"/>
  <c r="N45" i="15"/>
  <c r="N37" i="15"/>
  <c r="N36" i="15"/>
  <c r="N35" i="15"/>
  <c r="N42" i="15"/>
  <c r="N41" i="15"/>
  <c r="N40" i="15"/>
  <c r="N32" i="15"/>
  <c r="P17" i="15"/>
  <c r="P6" i="18"/>
  <c r="P40" i="15"/>
  <c r="P35" i="15"/>
  <c r="U4" i="16"/>
  <c r="U35" i="15"/>
  <c r="V4" i="16"/>
  <c r="V45" i="15"/>
  <c r="P41" i="15"/>
  <c r="P4" i="18"/>
  <c r="P37" i="15"/>
  <c r="V18" i="15"/>
  <c r="Q40" i="15"/>
  <c r="P7" i="18"/>
  <c r="U8" i="18"/>
  <c r="V40" i="15"/>
  <c r="Q32" i="15"/>
  <c r="V10" i="16"/>
  <c r="V20" i="15"/>
  <c r="V7" i="16"/>
  <c r="U42" i="15"/>
  <c r="U17" i="15"/>
  <c r="V8" i="18"/>
  <c r="Q20" i="15"/>
  <c r="V19" i="15"/>
  <c r="P5" i="16"/>
  <c r="V32" i="15"/>
  <c r="U5" i="18"/>
  <c r="Q45" i="15"/>
  <c r="Q5" i="16"/>
  <c r="P45" i="15"/>
  <c r="P36" i="15"/>
  <c r="Q9" i="16"/>
  <c r="U45" i="15"/>
  <c r="U9" i="18"/>
  <c r="P7" i="16"/>
  <c r="U6" i="16"/>
  <c r="V6" i="16"/>
  <c r="P16" i="15"/>
  <c r="V35" i="15"/>
  <c r="J3" i="16"/>
  <c r="P8" i="16"/>
  <c r="V46" i="15"/>
  <c r="Q17" i="15"/>
  <c r="Q37" i="15"/>
  <c r="V12" i="18"/>
  <c r="U20" i="15"/>
  <c r="P18" i="15"/>
  <c r="Q46" i="15"/>
  <c r="P32" i="15"/>
  <c r="P8" i="18"/>
  <c r="Q4" i="16"/>
  <c r="Q19" i="15"/>
  <c r="Q4" i="18"/>
  <c r="P12" i="18"/>
  <c r="Q41" i="15"/>
  <c r="P19" i="15"/>
  <c r="U7" i="16"/>
  <c r="Q6" i="16"/>
  <c r="P6" i="16"/>
  <c r="P9" i="16"/>
  <c r="V4" i="18"/>
  <c r="Q12" i="18"/>
  <c r="V47" i="15"/>
  <c r="V8" i="16"/>
  <c r="P10" i="16"/>
  <c r="V37" i="15"/>
  <c r="P9" i="18"/>
  <c r="U8" i="16"/>
  <c r="V41" i="15"/>
  <c r="V6" i="18"/>
  <c r="Q7" i="18"/>
  <c r="J3" i="15"/>
  <c r="U16" i="15"/>
  <c r="Q36" i="15"/>
  <c r="U47" i="15"/>
  <c r="U37" i="15"/>
  <c r="P20" i="15"/>
  <c r="U7" i="18"/>
  <c r="V9" i="16"/>
  <c r="Q10" i="16"/>
  <c r="Q47" i="15"/>
  <c r="V9" i="18"/>
  <c r="U9" i="16"/>
  <c r="Q42" i="15"/>
  <c r="J3" i="18"/>
  <c r="Q7" i="16"/>
  <c r="P46" i="15"/>
  <c r="U10" i="16"/>
  <c r="V36" i="15"/>
  <c r="U40" i="15"/>
  <c r="Q5" i="18"/>
  <c r="U19" i="15"/>
  <c r="Q6" i="18"/>
  <c r="V7" i="18"/>
  <c r="V16" i="15"/>
  <c r="U5" i="16"/>
  <c r="Q8" i="16"/>
  <c r="U46" i="15"/>
  <c r="V42" i="15"/>
  <c r="P42" i="15"/>
  <c r="U12" i="18"/>
  <c r="U18" i="15"/>
  <c r="Q35" i="15"/>
  <c r="Q16" i="15"/>
  <c r="U4" i="18"/>
  <c r="Q18" i="15"/>
  <c r="V17" i="15"/>
  <c r="V5" i="18"/>
  <c r="Q8" i="18"/>
  <c r="P5" i="18"/>
  <c r="P47" i="15"/>
  <c r="U41" i="15"/>
  <c r="U32" i="15"/>
  <c r="Q9" i="18"/>
  <c r="P4" i="16"/>
  <c r="U6" i="18"/>
  <c r="V5" i="16"/>
  <c r="U36" i="15"/>
  <c r="J3" i="17"/>
  <c r="K3" i="18" l="1"/>
  <c r="O3" i="18" s="1"/>
  <c r="K3" i="17"/>
  <c r="O3" i="17" s="1"/>
  <c r="K3" i="16"/>
  <c r="O3" i="16" s="1"/>
  <c r="K3" i="15"/>
  <c r="O3" i="15" s="1"/>
  <c r="N3" i="17"/>
  <c r="N3" i="16"/>
  <c r="N3" i="18"/>
  <c r="N3" i="15"/>
  <c r="Z3" i="18" a="1"/>
  <c r="V3" i="18"/>
  <c r="V3" i="17"/>
  <c r="Z3" i="17" a="1"/>
  <c r="Q3" i="17"/>
  <c r="V3" i="15"/>
  <c r="Q3" i="16"/>
  <c r="U3" i="16"/>
  <c r="U3" i="17"/>
  <c r="U3" i="15"/>
  <c r="Q3" i="18"/>
  <c r="P3" i="15"/>
  <c r="U3" i="18"/>
  <c r="V3" i="16"/>
  <c r="P3" i="18"/>
  <c r="P3" i="17"/>
  <c r="Q3" i="15"/>
  <c r="P3" i="16"/>
  <c r="Z3" i="18" l="1"/>
  <c r="Z12" i="18"/>
  <c r="Z29" i="18"/>
  <c r="Z46" i="18"/>
  <c r="Z16" i="18"/>
  <c r="Z33" i="18"/>
  <c r="Z11" i="18"/>
  <c r="Z20" i="18"/>
  <c r="Z37" i="18"/>
  <c r="Z7" i="18"/>
  <c r="Z24" i="18"/>
  <c r="Z41" i="18"/>
  <c r="Z10" i="18"/>
  <c r="Z19" i="18"/>
  <c r="Z28" i="18"/>
  <c r="Z45" i="18"/>
  <c r="Z15" i="18"/>
  <c r="Z32" i="18"/>
  <c r="Z49" i="18"/>
  <c r="Z18" i="18"/>
  <c r="Z27" i="18"/>
  <c r="Z36" i="18"/>
  <c r="Z6" i="18"/>
  <c r="Z23" i="18"/>
  <c r="Z40" i="18"/>
  <c r="Z26" i="18"/>
  <c r="Z35" i="18"/>
  <c r="Z44" i="18"/>
  <c r="Z14" i="18"/>
  <c r="Z31" i="18"/>
  <c r="Z48" i="18"/>
  <c r="Z34" i="18"/>
  <c r="Z43" i="18"/>
  <c r="Z5" i="18"/>
  <c r="Z22" i="18"/>
  <c r="Z39" i="18"/>
  <c r="Z9" i="18"/>
  <c r="Z42" i="18"/>
  <c r="Z51" i="18"/>
  <c r="Z13" i="18"/>
  <c r="Z30" i="18"/>
  <c r="Z21" i="18"/>
  <c r="Z38" i="18"/>
  <c r="Z47" i="18"/>
  <c r="Z8" i="18"/>
  <c r="Z17" i="18"/>
  <c r="Z25" i="18"/>
  <c r="Z50" i="18"/>
  <c r="Z4" i="18"/>
  <c r="Z3" i="17"/>
  <c r="Z67" i="17"/>
  <c r="Z44" i="17"/>
  <c r="Z21" i="17"/>
  <c r="Z85" i="17"/>
  <c r="Z62" i="17"/>
  <c r="Z39" i="17"/>
  <c r="Z16" i="17"/>
  <c r="Z80" i="17"/>
  <c r="Z57" i="17"/>
  <c r="Z34" i="17"/>
  <c r="Z11" i="17"/>
  <c r="Z75" i="17"/>
  <c r="Z52" i="17"/>
  <c r="Z29" i="17"/>
  <c r="Z6" i="17"/>
  <c r="Z70" i="17"/>
  <c r="Z47" i="17"/>
  <c r="Z24" i="17"/>
  <c r="Z88" i="17"/>
  <c r="Z65" i="17"/>
  <c r="Z42" i="17"/>
  <c r="Z19" i="17"/>
  <c r="Z83" i="17"/>
  <c r="Z60" i="17"/>
  <c r="Z37" i="17"/>
  <c r="Z14" i="17"/>
  <c r="Z78" i="17"/>
  <c r="Z55" i="17"/>
  <c r="Z32" i="17"/>
  <c r="Z9" i="17"/>
  <c r="Z73" i="17"/>
  <c r="Z50" i="17"/>
  <c r="Z27" i="17"/>
  <c r="Z4" i="17"/>
  <c r="Z68" i="17"/>
  <c r="Z45" i="17"/>
  <c r="Z22" i="17"/>
  <c r="Z86" i="17"/>
  <c r="Z63" i="17"/>
  <c r="Z40" i="17"/>
  <c r="Z17" i="17"/>
  <c r="Z81" i="17"/>
  <c r="Z58" i="17"/>
  <c r="Z35" i="17"/>
  <c r="Z12" i="17"/>
  <c r="Z76" i="17"/>
  <c r="Z53" i="17"/>
  <c r="Z30" i="17"/>
  <c r="Z7" i="17"/>
  <c r="Z71" i="17"/>
  <c r="Z48" i="17"/>
  <c r="Z25" i="17"/>
  <c r="Z89" i="17"/>
  <c r="Z66" i="17"/>
  <c r="Z43" i="17"/>
  <c r="Z20" i="17"/>
  <c r="Z84" i="17"/>
  <c r="Z61" i="17"/>
  <c r="Z38" i="17"/>
  <c r="Z15" i="17"/>
  <c r="Z79" i="17"/>
  <c r="Z56" i="17"/>
  <c r="Z33" i="17"/>
  <c r="Z10" i="17"/>
  <c r="Z74" i="17"/>
  <c r="Z51" i="17"/>
  <c r="Z28" i="17"/>
  <c r="Z5" i="17"/>
  <c r="Z69" i="17"/>
  <c r="Z46" i="17"/>
  <c r="Z23" i="17"/>
  <c r="Z87" i="17"/>
  <c r="Z64" i="17"/>
  <c r="Z41" i="17"/>
  <c r="Z18" i="17"/>
  <c r="Z82" i="17"/>
  <c r="Z59" i="17"/>
  <c r="Z36" i="17"/>
  <c r="Z13" i="17"/>
  <c r="Z77" i="17"/>
  <c r="Z54" i="17"/>
  <c r="Z31" i="17"/>
  <c r="Z8" i="17"/>
  <c r="Z72" i="17"/>
  <c r="Z49" i="17"/>
  <c r="Z26" i="17"/>
  <c r="N51" i="18"/>
  <c r="N57" i="17"/>
  <c r="N67" i="17"/>
  <c r="N28" i="17"/>
  <c r="N25" i="17"/>
  <c r="N47" i="18"/>
  <c r="N59" i="17"/>
  <c r="N70" i="17"/>
  <c r="N20" i="17"/>
  <c r="N48" i="17"/>
  <c r="N89" i="17"/>
  <c r="N62" i="17"/>
  <c r="N27" i="17"/>
  <c r="N22" i="17"/>
  <c r="N32" i="18"/>
  <c r="N65" i="17"/>
  <c r="N85" i="17"/>
  <c r="N50" i="17"/>
  <c r="N21" i="17"/>
  <c r="N88" i="17"/>
  <c r="N61" i="17"/>
  <c r="N42" i="18"/>
  <c r="N63" i="17"/>
  <c r="N24" i="17"/>
  <c r="N60" i="17"/>
  <c r="N23" i="17"/>
  <c r="N49" i="18"/>
  <c r="N58" i="17"/>
  <c r="N38" i="17"/>
  <c r="N37" i="18"/>
  <c r="N52" i="17"/>
  <c r="N30" i="17"/>
  <c r="N80" i="17"/>
  <c r="N51" i="17"/>
  <c r="N64" i="17"/>
  <c r="N43" i="17"/>
  <c r="N50" i="18"/>
  <c r="N87" i="17"/>
  <c r="N33" i="17"/>
  <c r="N75" i="17"/>
  <c r="N26" i="17"/>
  <c r="N54" i="15"/>
  <c r="N58" i="15"/>
  <c r="N80" i="15"/>
  <c r="N89" i="15"/>
  <c r="N62" i="15"/>
  <c r="N29" i="15"/>
  <c r="N34" i="15"/>
  <c r="N49" i="15"/>
  <c r="N78" i="15"/>
  <c r="N57" i="15"/>
  <c r="N81" i="15"/>
  <c r="N70" i="15"/>
  <c r="N51" i="15"/>
  <c r="N84" i="15"/>
  <c r="N66" i="15"/>
  <c r="N59" i="15"/>
  <c r="N67" i="15"/>
  <c r="N76" i="15"/>
  <c r="N75" i="15"/>
  <c r="N39" i="15"/>
  <c r="N86" i="15"/>
  <c r="N55" i="15"/>
  <c r="N64" i="15"/>
  <c r="N44" i="15"/>
  <c r="N60" i="15"/>
  <c r="N83" i="15"/>
  <c r="N63" i="15"/>
  <c r="N56" i="15"/>
  <c r="N74" i="15"/>
  <c r="N87" i="15"/>
  <c r="N90" i="15"/>
  <c r="N61" i="15"/>
  <c r="N85" i="15"/>
  <c r="N68" i="15"/>
  <c r="N79" i="15"/>
  <c r="N88" i="15"/>
  <c r="N82" i="15"/>
  <c r="N72" i="15"/>
  <c r="N71" i="15"/>
  <c r="N77" i="15"/>
  <c r="N65" i="15"/>
  <c r="N73" i="15"/>
  <c r="N69" i="15"/>
  <c r="N31" i="15"/>
  <c r="N45" i="16"/>
  <c r="N21" i="16"/>
  <c r="N44" i="16"/>
  <c r="N28" i="16"/>
  <c r="N20" i="16"/>
  <c r="N43" i="16"/>
  <c r="N19" i="16"/>
  <c r="N25" i="16"/>
  <c r="N16" i="16"/>
  <c r="N47" i="16"/>
  <c r="N38" i="16"/>
  <c r="N22" i="16"/>
  <c r="N18" i="16"/>
  <c r="N17" i="16"/>
  <c r="N46" i="16"/>
  <c r="N33" i="16"/>
  <c r="N23" i="16"/>
  <c r="N4" i="17"/>
  <c r="N26" i="18"/>
  <c r="N22" i="18"/>
  <c r="N46" i="18"/>
  <c r="N19" i="18"/>
  <c r="N39" i="18"/>
  <c r="N20" i="18"/>
  <c r="N21" i="18"/>
  <c r="N45" i="18"/>
  <c r="N34" i="18"/>
  <c r="N23" i="18"/>
  <c r="N27" i="18"/>
  <c r="N24" i="18"/>
  <c r="N48" i="18"/>
  <c r="N25" i="18"/>
  <c r="N28" i="18"/>
  <c r="N44" i="18"/>
  <c r="N29" i="18"/>
  <c r="N14" i="17"/>
  <c r="N15" i="17"/>
  <c r="N12" i="17"/>
  <c r="N9" i="17"/>
  <c r="N13" i="17"/>
  <c r="N10" i="17"/>
  <c r="N7" i="17"/>
  <c r="N8" i="17"/>
  <c r="N11" i="17"/>
  <c r="N5" i="17"/>
  <c r="N6" i="17"/>
  <c r="N30" i="15"/>
  <c r="N23" i="15"/>
  <c r="N48" i="15"/>
  <c r="N22" i="15"/>
  <c r="N33" i="15"/>
  <c r="N21" i="15"/>
  <c r="N50" i="15"/>
  <c r="N27" i="15"/>
  <c r="N52" i="15"/>
  <c r="N53" i="15"/>
  <c r="N38" i="15"/>
  <c r="N28" i="15"/>
  <c r="N43" i="15"/>
  <c r="N26" i="15"/>
  <c r="N25" i="15"/>
  <c r="N24" i="15"/>
  <c r="V25" i="16"/>
  <c r="P23" i="16"/>
  <c r="P76" i="15"/>
  <c r="U89" i="17"/>
  <c r="U23" i="16"/>
  <c r="V88" i="15"/>
  <c r="Q78" i="15"/>
  <c r="U18" i="16"/>
  <c r="P90" i="15"/>
  <c r="P44" i="16"/>
  <c r="V34" i="15"/>
  <c r="P29" i="15"/>
  <c r="Q55" i="15"/>
  <c r="V58" i="15"/>
  <c r="U80" i="17"/>
  <c r="V73" i="15"/>
  <c r="P62" i="17"/>
  <c r="Q85" i="15"/>
  <c r="Q56" i="15"/>
  <c r="V62" i="17"/>
  <c r="V87" i="15"/>
  <c r="U21" i="16"/>
  <c r="Q38" i="16"/>
  <c r="V21" i="16"/>
  <c r="U87" i="17"/>
  <c r="P27" i="17"/>
  <c r="P64" i="15"/>
  <c r="Y3" i="16" a="1"/>
  <c r="Q22" i="17"/>
  <c r="P63" i="15"/>
  <c r="U82" i="15"/>
  <c r="Q42" i="18"/>
  <c r="Q43" i="17"/>
  <c r="U31" i="15"/>
  <c r="P87" i="17"/>
  <c r="V84" i="15"/>
  <c r="P28" i="17"/>
  <c r="V77" i="15"/>
  <c r="V26" i="17"/>
  <c r="V83" i="15"/>
  <c r="V76" i="15"/>
  <c r="Q49" i="18"/>
  <c r="Q28" i="17"/>
  <c r="P58" i="17"/>
  <c r="U37" i="18"/>
  <c r="V46" i="16"/>
  <c r="V33" i="17"/>
  <c r="U59" i="15"/>
  <c r="U49" i="18"/>
  <c r="V47" i="18"/>
  <c r="Q62" i="15"/>
  <c r="U72" i="15"/>
  <c r="P84" i="15"/>
  <c r="P25" i="16"/>
  <c r="P21" i="16"/>
  <c r="P25" i="17"/>
  <c r="P83" i="15"/>
  <c r="P16" i="16"/>
  <c r="Q44" i="16"/>
  <c r="V61" i="17"/>
  <c r="U70" i="17"/>
  <c r="V37" i="18"/>
  <c r="P86" i="15"/>
  <c r="V43" i="17"/>
  <c r="P75" i="17"/>
  <c r="U85" i="15"/>
  <c r="U63" i="15"/>
  <c r="V67" i="17"/>
  <c r="V89" i="17"/>
  <c r="U22" i="16"/>
  <c r="Q52" i="17"/>
  <c r="V80" i="15"/>
  <c r="U52" i="17"/>
  <c r="P39" i="15"/>
  <c r="Z3" i="16" a="1"/>
  <c r="Q62" i="17"/>
  <c r="P38" i="16"/>
  <c r="V66" i="15"/>
  <c r="U73" i="15"/>
  <c r="P18" i="16"/>
  <c r="V38" i="17"/>
  <c r="Q59" i="17"/>
  <c r="Q65" i="15"/>
  <c r="Q69" i="15"/>
  <c r="V82" i="15"/>
  <c r="U67" i="15"/>
  <c r="P80" i="17"/>
  <c r="U44" i="16"/>
  <c r="P22" i="16"/>
  <c r="Q74" i="15"/>
  <c r="Q63" i="15"/>
  <c r="Q57" i="17"/>
  <c r="V51" i="15"/>
  <c r="V59" i="15"/>
  <c r="Q47" i="16"/>
  <c r="Q87" i="17"/>
  <c r="P44" i="15"/>
  <c r="P20" i="16"/>
  <c r="Q64" i="17"/>
  <c r="Q87" i="15"/>
  <c r="Q75" i="15"/>
  <c r="V16" i="16"/>
  <c r="V50" i="18"/>
  <c r="V70" i="15"/>
  <c r="V31" i="15"/>
  <c r="V21" i="17"/>
  <c r="V30" i="17"/>
  <c r="U49" i="15"/>
  <c r="P24" i="17"/>
  <c r="Q58" i="15"/>
  <c r="P67" i="15"/>
  <c r="V87" i="17"/>
  <c r="P54" i="15"/>
  <c r="P4" i="17"/>
  <c r="P72" i="15"/>
  <c r="Q61" i="15"/>
  <c r="Q64" i="15"/>
  <c r="V70" i="17"/>
  <c r="U28" i="16"/>
  <c r="U88" i="15"/>
  <c r="U38" i="16"/>
  <c r="U29" i="15"/>
  <c r="P33" i="17"/>
  <c r="Q19" i="16"/>
  <c r="Q73" i="15"/>
  <c r="V27" i="17"/>
  <c r="U74" i="15"/>
  <c r="V52" i="17"/>
  <c r="U4" i="17"/>
  <c r="V90" i="15"/>
  <c r="Q82" i="15"/>
  <c r="Q34" i="15"/>
  <c r="Q29" i="15"/>
  <c r="Q51" i="17"/>
  <c r="P33" i="16"/>
  <c r="Q23" i="17"/>
  <c r="V89" i="15"/>
  <c r="P57" i="15"/>
  <c r="U57" i="15"/>
  <c r="V50" i="17"/>
  <c r="U24" i="17"/>
  <c r="Q57" i="15"/>
  <c r="Q86" i="15"/>
  <c r="V68" i="15"/>
  <c r="U42" i="18"/>
  <c r="Q49" i="15"/>
  <c r="Q50" i="18"/>
  <c r="V23" i="16"/>
  <c r="V58" i="17"/>
  <c r="U51" i="18"/>
  <c r="Q30" i="17"/>
  <c r="Q72" i="15"/>
  <c r="Q51" i="15"/>
  <c r="P68" i="15"/>
  <c r="Q61" i="17"/>
  <c r="V51" i="18"/>
  <c r="U70" i="15"/>
  <c r="V18" i="16"/>
  <c r="P85" i="17"/>
  <c r="U60" i="15"/>
  <c r="U67" i="17"/>
  <c r="U45" i="16"/>
  <c r="V88" i="17"/>
  <c r="Q70" i="17"/>
  <c r="Q37" i="18"/>
  <c r="V86" i="15"/>
  <c r="P52" i="17"/>
  <c r="V72" i="15"/>
  <c r="P51" i="18"/>
  <c r="P60" i="15"/>
  <c r="V56" i="15"/>
  <c r="P60" i="17"/>
  <c r="U17" i="16"/>
  <c r="P67" i="17"/>
  <c r="Q66" i="15"/>
  <c r="U51" i="17"/>
  <c r="U50" i="18"/>
  <c r="P47" i="16"/>
  <c r="Q33" i="16"/>
  <c r="U47" i="18"/>
  <c r="Q85" i="17"/>
  <c r="Q38" i="17"/>
  <c r="U25" i="16"/>
  <c r="U27" i="17"/>
  <c r="Q39" i="15"/>
  <c r="Q17" i="16"/>
  <c r="Q70" i="15"/>
  <c r="U48" i="17"/>
  <c r="U80" i="15"/>
  <c r="Q47" i="18"/>
  <c r="Y3" i="18" a="1"/>
  <c r="V60" i="15"/>
  <c r="U33" i="17"/>
  <c r="V48" i="17"/>
  <c r="U75" i="15"/>
  <c r="U79" i="15"/>
  <c r="Q60" i="15"/>
  <c r="P59" i="15"/>
  <c r="P81" i="15"/>
  <c r="P55" i="15"/>
  <c r="V49" i="18"/>
  <c r="U34" i="15"/>
  <c r="V80" i="17"/>
  <c r="V29" i="15"/>
  <c r="V64" i="15"/>
  <c r="V64" i="17"/>
  <c r="P45" i="16"/>
  <c r="U62" i="17"/>
  <c r="V24" i="17"/>
  <c r="V19" i="16"/>
  <c r="U55" i="15"/>
  <c r="P78" i="15"/>
  <c r="Q81" i="15"/>
  <c r="V17" i="16"/>
  <c r="P26" i="17"/>
  <c r="P21" i="17"/>
  <c r="U47" i="16"/>
  <c r="V45" i="16"/>
  <c r="Q46" i="16"/>
  <c r="V78" i="15"/>
  <c r="U16" i="16"/>
  <c r="P38" i="17"/>
  <c r="U39" i="15"/>
  <c r="Q44" i="15"/>
  <c r="P88" i="17"/>
  <c r="P48" i="17"/>
  <c r="Q89" i="15"/>
  <c r="U58" i="17"/>
  <c r="U78" i="15"/>
  <c r="U66" i="15"/>
  <c r="P32" i="18"/>
  <c r="Q90" i="15"/>
  <c r="U25" i="17"/>
  <c r="P89" i="17"/>
  <c r="V55" i="15"/>
  <c r="P57" i="17"/>
  <c r="P74" i="15"/>
  <c r="U75" i="17"/>
  <c r="U77" i="15"/>
  <c r="P50" i="18"/>
  <c r="P59" i="17"/>
  <c r="V71" i="15"/>
  <c r="P77" i="15"/>
  <c r="V20" i="16"/>
  <c r="V74" i="15"/>
  <c r="P61" i="17"/>
  <c r="V32" i="18"/>
  <c r="V23" i="17"/>
  <c r="P82" i="15"/>
  <c r="Q33" i="17"/>
  <c r="V85" i="15"/>
  <c r="U84" i="15"/>
  <c r="P49" i="15"/>
  <c r="U65" i="17"/>
  <c r="V47" i="16"/>
  <c r="U88" i="17"/>
  <c r="V28" i="17"/>
  <c r="U85" i="17"/>
  <c r="P51" i="15"/>
  <c r="P31" i="15"/>
  <c r="V65" i="17"/>
  <c r="Q51" i="18"/>
  <c r="U57" i="17"/>
  <c r="U19" i="16"/>
  <c r="P65" i="17"/>
  <c r="P37" i="18"/>
  <c r="V38" i="16"/>
  <c r="Q88" i="15"/>
  <c r="Q54" i="15"/>
  <c r="U46" i="16"/>
  <c r="V75" i="17"/>
  <c r="Q79" i="15"/>
  <c r="P22" i="17"/>
  <c r="P65" i="15"/>
  <c r="P58" i="15"/>
  <c r="U68" i="15"/>
  <c r="P62" i="15"/>
  <c r="Q21" i="16"/>
  <c r="P71" i="15"/>
  <c r="U22" i="17"/>
  <c r="U71" i="15"/>
  <c r="V62" i="15"/>
  <c r="U20" i="17"/>
  <c r="V43" i="16"/>
  <c r="U43" i="17"/>
  <c r="Q48" i="17"/>
  <c r="Q50" i="17"/>
  <c r="P87" i="15"/>
  <c r="Q20" i="16"/>
  <c r="V22" i="16"/>
  <c r="U86" i="15"/>
  <c r="V4" i="17"/>
  <c r="P43" i="16"/>
  <c r="V54" i="15"/>
  <c r="P47" i="18"/>
  <c r="P49" i="18"/>
  <c r="U87" i="15"/>
  <c r="Q24" i="17"/>
  <c r="P89" i="15"/>
  <c r="P85" i="15"/>
  <c r="Q76" i="15"/>
  <c r="U30" i="17"/>
  <c r="P63" i="17"/>
  <c r="V65" i="15"/>
  <c r="Q16" i="16"/>
  <c r="U69" i="15"/>
  <c r="U81" i="15"/>
  <c r="P19" i="16"/>
  <c r="U89" i="15"/>
  <c r="P75" i="15"/>
  <c r="Q89" i="17"/>
  <c r="U63" i="17"/>
  <c r="V57" i="15"/>
  <c r="V28" i="16"/>
  <c r="V61" i="15"/>
  <c r="Q45" i="16"/>
  <c r="Q23" i="16"/>
  <c r="Q67" i="15"/>
  <c r="P79" i="15"/>
  <c r="U50" i="17"/>
  <c r="U56" i="15"/>
  <c r="Q32" i="18"/>
  <c r="U90" i="15"/>
  <c r="Q84" i="15"/>
  <c r="Q28" i="16"/>
  <c r="Q68" i="15"/>
  <c r="Q43" i="16"/>
  <c r="U20" i="16"/>
  <c r="P66" i="15"/>
  <c r="U64" i="15"/>
  <c r="P73" i="15"/>
  <c r="V63" i="17"/>
  <c r="Q63" i="17"/>
  <c r="V85" i="17"/>
  <c r="Y3" i="17" a="1"/>
  <c r="P20" i="17"/>
  <c r="U64" i="17"/>
  <c r="Q60" i="17"/>
  <c r="P51" i="17"/>
  <c r="V69" i="15"/>
  <c r="Q58" i="17"/>
  <c r="U43" i="16"/>
  <c r="P23" i="17"/>
  <c r="Q71" i="15"/>
  <c r="U61" i="17"/>
  <c r="U58" i="15"/>
  <c r="V44" i="15"/>
  <c r="P46" i="16"/>
  <c r="P43" i="17"/>
  <c r="U60" i="17"/>
  <c r="V75" i="15"/>
  <c r="V33" i="16"/>
  <c r="V51" i="17"/>
  <c r="P70" i="17"/>
  <c r="U26" i="17"/>
  <c r="Q83" i="15"/>
  <c r="Q25" i="17"/>
  <c r="P64" i="17"/>
  <c r="Q22" i="16"/>
  <c r="U54" i="15"/>
  <c r="P34" i="15"/>
  <c r="P28" i="16"/>
  <c r="V44" i="16"/>
  <c r="V67" i="15"/>
  <c r="V22" i="17"/>
  <c r="V57" i="17"/>
  <c r="U44" i="15"/>
  <c r="Q75" i="17"/>
  <c r="U23" i="17"/>
  <c r="U32" i="18"/>
  <c r="V79" i="15"/>
  <c r="U21" i="17"/>
  <c r="Q21" i="17"/>
  <c r="Q27" i="17"/>
  <c r="P56" i="15"/>
  <c r="V20" i="17"/>
  <c r="Q31" i="15"/>
  <c r="V63" i="15"/>
  <c r="U51" i="15"/>
  <c r="Q80" i="15"/>
  <c r="U61" i="15"/>
  <c r="V49" i="15"/>
  <c r="V25" i="17"/>
  <c r="U62" i="15"/>
  <c r="Q20" i="17"/>
  <c r="Q26" i="17"/>
  <c r="V60" i="17"/>
  <c r="P69" i="15"/>
  <c r="P61" i="15"/>
  <c r="P42" i="18"/>
  <c r="U33" i="16"/>
  <c r="Q65" i="17"/>
  <c r="U65" i="15"/>
  <c r="P30" i="17"/>
  <c r="U83" i="15"/>
  <c r="P80" i="15"/>
  <c r="Q77" i="15"/>
  <c r="Q18" i="16"/>
  <c r="Q25" i="16"/>
  <c r="V42" i="18"/>
  <c r="Q88" i="17"/>
  <c r="Q4" i="17"/>
  <c r="P88" i="15"/>
  <c r="U76" i="15"/>
  <c r="V39" i="15"/>
  <c r="V59" i="17"/>
  <c r="U28" i="17"/>
  <c r="Q80" i="17"/>
  <c r="V81" i="15"/>
  <c r="P17" i="16"/>
  <c r="Q67" i="17"/>
  <c r="Q59" i="15"/>
  <c r="P50" i="17"/>
  <c r="U38" i="17"/>
  <c r="P70" i="15"/>
  <c r="U59" i="17"/>
  <c r="Y10" i="18" l="1"/>
  <c r="Y19" i="18"/>
  <c r="Y28" i="18"/>
  <c r="Y45" i="18"/>
  <c r="Y15" i="18"/>
  <c r="Y32" i="18"/>
  <c r="Y49" i="18"/>
  <c r="Y18" i="18"/>
  <c r="Y27" i="18"/>
  <c r="Y36" i="18"/>
  <c r="Y6" i="18"/>
  <c r="Y23" i="18"/>
  <c r="Y40" i="18"/>
  <c r="Y26" i="18"/>
  <c r="Y35" i="18"/>
  <c r="Y44" i="18"/>
  <c r="Y14" i="18"/>
  <c r="Y31" i="18"/>
  <c r="Y48" i="18"/>
  <c r="Y34" i="18"/>
  <c r="Y43" i="18"/>
  <c r="Y5" i="18"/>
  <c r="Y22" i="18"/>
  <c r="Y39" i="18"/>
  <c r="Y9" i="18"/>
  <c r="Y42" i="18"/>
  <c r="Y51" i="18"/>
  <c r="Y13" i="18"/>
  <c r="Y30" i="18"/>
  <c r="Y47" i="18"/>
  <c r="Y17" i="18"/>
  <c r="Y50" i="18"/>
  <c r="Y4" i="18"/>
  <c r="Y21" i="18"/>
  <c r="Y38" i="18"/>
  <c r="Y8" i="18"/>
  <c r="Y25" i="18"/>
  <c r="Y3" i="18"/>
  <c r="Y12" i="18"/>
  <c r="Y29" i="18"/>
  <c r="Y46" i="18"/>
  <c r="Y16" i="18"/>
  <c r="Y33" i="18"/>
  <c r="Y11" i="18"/>
  <c r="Y20" i="18"/>
  <c r="Y37" i="18"/>
  <c r="Y7" i="18"/>
  <c r="Y24" i="18"/>
  <c r="Y41" i="18"/>
  <c r="Y10" i="17"/>
  <c r="Y74" i="17"/>
  <c r="Y51" i="17"/>
  <c r="Y28" i="17"/>
  <c r="Y5" i="17"/>
  <c r="Y69" i="17"/>
  <c r="Y46" i="17"/>
  <c r="Y23" i="17"/>
  <c r="Y87" i="17"/>
  <c r="Y64" i="17"/>
  <c r="Y41" i="17"/>
  <c r="Y18" i="17"/>
  <c r="Y82" i="17"/>
  <c r="Y59" i="17"/>
  <c r="Y36" i="17"/>
  <c r="Y13" i="17"/>
  <c r="Y77" i="17"/>
  <c r="Y54" i="17"/>
  <c r="Y31" i="17"/>
  <c r="Y8" i="17"/>
  <c r="Y72" i="17"/>
  <c r="Y49" i="17"/>
  <c r="Y26" i="17"/>
  <c r="Y3" i="17"/>
  <c r="Y67" i="17"/>
  <c r="Y44" i="17"/>
  <c r="Y21" i="17"/>
  <c r="Y85" i="17"/>
  <c r="Y62" i="17"/>
  <c r="Y39" i="17"/>
  <c r="Y16" i="17"/>
  <c r="Y80" i="17"/>
  <c r="Y57" i="17"/>
  <c r="Y34" i="17"/>
  <c r="Y11" i="17"/>
  <c r="Y75" i="17"/>
  <c r="Y52" i="17"/>
  <c r="Y29" i="17"/>
  <c r="Y6" i="17"/>
  <c r="Y70" i="17"/>
  <c r="Y47" i="17"/>
  <c r="Y24" i="17"/>
  <c r="Y88" i="17"/>
  <c r="Y65" i="17"/>
  <c r="Y42" i="17"/>
  <c r="Y19" i="17"/>
  <c r="Y83" i="17"/>
  <c r="Y60" i="17"/>
  <c r="Y37" i="17"/>
  <c r="Y14" i="17"/>
  <c r="Y78" i="17"/>
  <c r="Y55" i="17"/>
  <c r="Y32" i="17"/>
  <c r="Y9" i="17"/>
  <c r="Y73" i="17"/>
  <c r="Y50" i="17"/>
  <c r="Y27" i="17"/>
  <c r="Y4" i="17"/>
  <c r="Y68" i="17"/>
  <c r="Y45" i="17"/>
  <c r="Y22" i="17"/>
  <c r="Y86" i="17"/>
  <c r="Y63" i="17"/>
  <c r="Y40" i="17"/>
  <c r="Y17" i="17"/>
  <c r="Y81" i="17"/>
  <c r="Y58" i="17"/>
  <c r="Y35" i="17"/>
  <c r="Y12" i="17"/>
  <c r="Y76" i="17"/>
  <c r="Y53" i="17"/>
  <c r="Y30" i="17"/>
  <c r="Y7" i="17"/>
  <c r="Y71" i="17"/>
  <c r="Y48" i="17"/>
  <c r="Y25" i="17"/>
  <c r="Y89" i="17"/>
  <c r="Y66" i="17"/>
  <c r="Y43" i="17"/>
  <c r="Y20" i="17"/>
  <c r="Y84" i="17"/>
  <c r="Y61" i="17"/>
  <c r="Y38" i="17"/>
  <c r="Y15" i="17"/>
  <c r="Y79" i="17"/>
  <c r="Y56" i="17"/>
  <c r="Y33" i="17"/>
  <c r="Y26" i="16"/>
  <c r="Y43" i="16"/>
  <c r="Y13" i="16"/>
  <c r="Y30" i="16"/>
  <c r="Y47" i="16"/>
  <c r="Y25" i="16"/>
  <c r="Y34" i="16"/>
  <c r="Y4" i="16"/>
  <c r="Y21" i="16"/>
  <c r="Y38" i="16"/>
  <c r="Y8" i="16"/>
  <c r="Y33" i="16"/>
  <c r="Y42" i="16"/>
  <c r="Y12" i="16"/>
  <c r="Y29" i="16"/>
  <c r="Y46" i="16"/>
  <c r="Y16" i="16"/>
  <c r="Y41" i="16"/>
  <c r="Y3" i="16"/>
  <c r="Y20" i="16"/>
  <c r="Y37" i="16"/>
  <c r="Y7" i="16"/>
  <c r="Y24" i="16"/>
  <c r="Y11" i="16"/>
  <c r="Y28" i="16"/>
  <c r="Y45" i="16"/>
  <c r="Y15" i="16"/>
  <c r="Y32" i="16"/>
  <c r="Y19" i="16"/>
  <c r="Y36" i="16"/>
  <c r="Y6" i="16"/>
  <c r="Y23" i="16"/>
  <c r="Y40" i="16"/>
  <c r="Y27" i="16"/>
  <c r="Y44" i="16"/>
  <c r="Y31" i="16"/>
  <c r="Y18" i="16"/>
  <c r="Y5" i="16"/>
  <c r="Y39" i="16"/>
  <c r="Y10" i="16"/>
  <c r="Y14" i="16"/>
  <c r="Y9" i="16"/>
  <c r="Y35" i="16"/>
  <c r="Y22" i="16"/>
  <c r="Y17" i="16"/>
  <c r="Z19" i="16"/>
  <c r="Z36" i="16"/>
  <c r="Z6" i="16"/>
  <c r="Z23" i="16"/>
  <c r="Z40" i="16"/>
  <c r="Z10" i="16"/>
  <c r="Z27" i="16"/>
  <c r="Z44" i="16"/>
  <c r="Z14" i="16"/>
  <c r="Z31" i="16"/>
  <c r="Z9" i="16"/>
  <c r="Z18" i="16"/>
  <c r="Z35" i="16"/>
  <c r="Z5" i="16"/>
  <c r="Z22" i="16"/>
  <c r="Z39" i="16"/>
  <c r="Z17" i="16"/>
  <c r="Z26" i="16"/>
  <c r="Z43" i="16"/>
  <c r="Z13" i="16"/>
  <c r="Z30" i="16"/>
  <c r="Z47" i="16"/>
  <c r="Z25" i="16"/>
  <c r="Z34" i="16"/>
  <c r="Z4" i="16"/>
  <c r="Z21" i="16"/>
  <c r="Z38" i="16"/>
  <c r="Z8" i="16"/>
  <c r="Z33" i="16"/>
  <c r="Z12" i="16"/>
  <c r="Z29" i="16"/>
  <c r="Z46" i="16"/>
  <c r="Z16" i="16"/>
  <c r="Z41" i="16"/>
  <c r="Z3" i="16"/>
  <c r="Z20" i="16"/>
  <c r="Z37" i="16"/>
  <c r="Z7" i="16"/>
  <c r="Z24" i="16"/>
  <c r="Z28" i="16"/>
  <c r="Z15" i="16"/>
  <c r="Z42" i="16"/>
  <c r="Z11" i="16"/>
  <c r="Z45" i="16"/>
  <c r="Z32" i="16"/>
  <c r="C28" i="14"/>
  <c r="C25" i="14"/>
  <c r="C26" i="14"/>
  <c r="C29" i="14"/>
  <c r="C32" i="14"/>
  <c r="C37" i="14"/>
  <c r="C40" i="14"/>
  <c r="C34" i="14"/>
  <c r="C39" i="14"/>
  <c r="C41" i="14"/>
  <c r="C24" i="14"/>
  <c r="C31" i="14"/>
  <c r="C38" i="14"/>
  <c r="C27" i="14"/>
  <c r="C35" i="14"/>
  <c r="C23" i="14"/>
  <c r="C30" i="14"/>
  <c r="C33" i="14"/>
  <c r="C22" i="14"/>
  <c r="C42" i="14"/>
  <c r="C36" i="14"/>
  <c r="G25" i="14"/>
  <c r="G22" i="14"/>
  <c r="G24" i="14"/>
  <c r="G23" i="14"/>
  <c r="J22" i="14" l="1"/>
  <c r="J20" i="14"/>
  <c r="J23" i="14"/>
  <c r="J21" i="14"/>
  <c r="C10" i="14"/>
  <c r="C13" i="14"/>
  <c r="C15" i="14"/>
  <c r="C12" i="14"/>
  <c r="C20" i="14"/>
  <c r="C11" i="14"/>
  <c r="C16" i="14"/>
  <c r="C14" i="14"/>
  <c r="C17" i="14"/>
  <c r="C19" i="14"/>
  <c r="C9" i="14"/>
  <c r="C7" i="14"/>
  <c r="C21" i="14"/>
  <c r="C18" i="14"/>
  <c r="C8" i="14"/>
  <c r="U38" i="15"/>
  <c r="Q15" i="17"/>
  <c r="Q53" i="15"/>
  <c r="V19" i="18"/>
  <c r="Q28" i="18"/>
  <c r="Q21" i="15"/>
  <c r="U24" i="18"/>
  <c r="U25" i="18"/>
  <c r="U33" i="15"/>
  <c r="Q46" i="18"/>
  <c r="U29" i="18"/>
  <c r="P25" i="18"/>
  <c r="V15" i="17"/>
  <c r="V43" i="15"/>
  <c r="G8" i="14"/>
  <c r="Q48" i="15"/>
  <c r="P21" i="15"/>
  <c r="P52" i="15"/>
  <c r="K23" i="14"/>
  <c r="Q19" i="18"/>
  <c r="Q25" i="15"/>
  <c r="Q12" i="17"/>
  <c r="P23" i="15"/>
  <c r="U39" i="18"/>
  <c r="Q10" i="17"/>
  <c r="P27" i="15"/>
  <c r="U26" i="15"/>
  <c r="V21" i="18"/>
  <c r="P26" i="15"/>
  <c r="V48" i="15"/>
  <c r="Q22" i="15"/>
  <c r="U15" i="17"/>
  <c r="Q45" i="18"/>
  <c r="G16" i="14"/>
  <c r="U52" i="15"/>
  <c r="P45" i="18"/>
  <c r="G21" i="14"/>
  <c r="Q6" i="17"/>
  <c r="P23" i="14"/>
  <c r="V38" i="15"/>
  <c r="U28" i="18"/>
  <c r="U50" i="15"/>
  <c r="P38" i="15"/>
  <c r="Q21" i="18"/>
  <c r="V20" i="18"/>
  <c r="V27" i="18"/>
  <c r="Q20" i="14"/>
  <c r="U48" i="15"/>
  <c r="Q22" i="18"/>
  <c r="V21" i="15"/>
  <c r="Q14" i="17"/>
  <c r="P46" i="18"/>
  <c r="L20" i="14"/>
  <c r="U45" i="18"/>
  <c r="Q11" i="17"/>
  <c r="Q20" i="18"/>
  <c r="Q23" i="15"/>
  <c r="V7" i="17"/>
  <c r="U43" i="15"/>
  <c r="U22" i="15"/>
  <c r="Q5" i="17"/>
  <c r="V27" i="15"/>
  <c r="Q26" i="15"/>
  <c r="V24" i="18"/>
  <c r="V14" i="17"/>
  <c r="V25" i="15"/>
  <c r="V26" i="15"/>
  <c r="P25" i="15"/>
  <c r="U12" i="17"/>
  <c r="L23" i="14"/>
  <c r="P8" i="17"/>
  <c r="V23" i="15"/>
  <c r="Q43" i="15"/>
  <c r="U9" i="17"/>
  <c r="U24" i="15"/>
  <c r="U20" i="18"/>
  <c r="P10" i="17"/>
  <c r="G10" i="14"/>
  <c r="G19" i="14"/>
  <c r="P7" i="17"/>
  <c r="Q21" i="14"/>
  <c r="P13" i="17"/>
  <c r="Q44" i="18"/>
  <c r="P12" i="17"/>
  <c r="V6" i="17"/>
  <c r="Q50" i="15"/>
  <c r="P53" i="15"/>
  <c r="P22" i="14"/>
  <c r="U13" i="17"/>
  <c r="Q9" i="17"/>
  <c r="G15" i="14"/>
  <c r="P44" i="18"/>
  <c r="K22" i="14"/>
  <c r="U25" i="15"/>
  <c r="U53" i="15"/>
  <c r="P29" i="18"/>
  <c r="K21" i="14"/>
  <c r="P21" i="18"/>
  <c r="Q24" i="18"/>
  <c r="V52" i="15"/>
  <c r="P9" i="17"/>
  <c r="P20" i="18"/>
  <c r="V29" i="18"/>
  <c r="P20" i="14"/>
  <c r="U30" i="15"/>
  <c r="V8" i="17"/>
  <c r="Q22" i="14"/>
  <c r="Q30" i="15"/>
  <c r="U23" i="18"/>
  <c r="U10" i="17"/>
  <c r="G12" i="14"/>
  <c r="V24" i="15"/>
  <c r="P22" i="15"/>
  <c r="V30" i="15"/>
  <c r="P30" i="15"/>
  <c r="Q38" i="15"/>
  <c r="P28" i="15"/>
  <c r="U21" i="15"/>
  <c r="U28" i="15"/>
  <c r="P48" i="15"/>
  <c r="Q25" i="18"/>
  <c r="V10" i="17"/>
  <c r="U27" i="18"/>
  <c r="U48" i="18"/>
  <c r="P34" i="18"/>
  <c r="V53" i="15"/>
  <c r="P5" i="17"/>
  <c r="V45" i="18"/>
  <c r="P19" i="18"/>
  <c r="P22" i="18"/>
  <c r="Q29" i="18"/>
  <c r="K20" i="14"/>
  <c r="P50" i="15"/>
  <c r="P28" i="18"/>
  <c r="P43" i="15"/>
  <c r="U5" i="17"/>
  <c r="U46" i="18"/>
  <c r="G20" i="14"/>
  <c r="V11" i="17"/>
  <c r="P6" i="17"/>
  <c r="Q27" i="18"/>
  <c r="P24" i="18"/>
  <c r="V34" i="18"/>
  <c r="P23" i="18"/>
  <c r="G11" i="14"/>
  <c r="V28" i="18"/>
  <c r="V23" i="18"/>
  <c r="Q23" i="18"/>
  <c r="L22" i="14"/>
  <c r="Q24" i="15"/>
  <c r="P15" i="17"/>
  <c r="Q52" i="15"/>
  <c r="P14" i="17"/>
  <c r="P11" i="17"/>
  <c r="U11" i="17"/>
  <c r="U23" i="15"/>
  <c r="V22" i="15"/>
  <c r="U44" i="18"/>
  <c r="V13" i="17"/>
  <c r="P27" i="18"/>
  <c r="U8" i="17"/>
  <c r="V28" i="15"/>
  <c r="V12" i="17"/>
  <c r="U27" i="15"/>
  <c r="U14" i="17"/>
  <c r="Q39" i="18"/>
  <c r="V26" i="18"/>
  <c r="V22" i="18"/>
  <c r="P24" i="15"/>
  <c r="G14" i="14"/>
  <c r="P33" i="15"/>
  <c r="Q34" i="18"/>
  <c r="Q7" i="17"/>
  <c r="P48" i="18"/>
  <c r="U34" i="18"/>
  <c r="P39" i="18"/>
  <c r="U22" i="18"/>
  <c r="Q48" i="18"/>
  <c r="G18" i="14"/>
  <c r="Q33" i="15"/>
  <c r="V9" i="17"/>
  <c r="Q13" i="17"/>
  <c r="Q27" i="15"/>
  <c r="V33" i="15"/>
  <c r="Q26" i="18"/>
  <c r="G13" i="14"/>
  <c r="V44" i="18"/>
  <c r="G9" i="14"/>
  <c r="U7" i="17"/>
  <c r="P26" i="18"/>
  <c r="U19" i="18"/>
  <c r="Q23" i="14"/>
  <c r="P21" i="14"/>
  <c r="V39" i="18"/>
  <c r="G17" i="14"/>
  <c r="Q28" i="15"/>
  <c r="V48" i="18"/>
  <c r="U26" i="18"/>
  <c r="V5" i="17"/>
  <c r="Q8" i="17"/>
  <c r="V46" i="18"/>
  <c r="V25" i="18"/>
  <c r="U21" i="18"/>
  <c r="V50" i="15"/>
  <c r="U6" i="17"/>
  <c r="L21" i="14"/>
  <c r="J12" i="14" l="1"/>
  <c r="J6" i="14"/>
  <c r="J14" i="14"/>
  <c r="J16" i="14"/>
  <c r="J9" i="14"/>
  <c r="J19" i="14"/>
  <c r="J18" i="14"/>
  <c r="J10" i="14"/>
  <c r="J7" i="14"/>
  <c r="J13" i="14"/>
  <c r="J17" i="14"/>
  <c r="J11" i="14"/>
  <c r="J15" i="14"/>
  <c r="J8" i="14"/>
  <c r="P15" i="14"/>
  <c r="AD66" i="17"/>
  <c r="P9" i="14"/>
  <c r="AC83" i="17"/>
  <c r="K19" i="14"/>
  <c r="AA79" i="17"/>
  <c r="L8" i="14"/>
  <c r="P18" i="14"/>
  <c r="Q15" i="14"/>
  <c r="AC77" i="17"/>
  <c r="AB68" i="17"/>
  <c r="AC66" i="17"/>
  <c r="AA84" i="17"/>
  <c r="AD80" i="17"/>
  <c r="AA68" i="17"/>
  <c r="AB78" i="17"/>
  <c r="AE85" i="17"/>
  <c r="K10" i="14"/>
  <c r="AB82" i="17"/>
  <c r="AE87" i="17"/>
  <c r="Q13" i="14"/>
  <c r="AC67" i="17"/>
  <c r="K7" i="14"/>
  <c r="AC84" i="17"/>
  <c r="P13" i="14"/>
  <c r="AE86" i="17"/>
  <c r="AE83" i="17"/>
  <c r="K13" i="14"/>
  <c r="AE71" i="17"/>
  <c r="AC78" i="17"/>
  <c r="AB66" i="17"/>
  <c r="AE73" i="17"/>
  <c r="Q6" i="14"/>
  <c r="L6" i="14"/>
  <c r="Q8" i="14"/>
  <c r="AD71" i="17"/>
  <c r="K11" i="14"/>
  <c r="AD75" i="17"/>
  <c r="AD73" i="17"/>
  <c r="L9" i="14"/>
  <c r="AA66" i="17"/>
  <c r="AD89" i="17"/>
  <c r="AA77" i="17"/>
  <c r="AC86" i="17"/>
  <c r="Q12" i="14"/>
  <c r="P11" i="14"/>
  <c r="AB74" i="17"/>
  <c r="AC80" i="17"/>
  <c r="AE79" i="17"/>
  <c r="Q14" i="14"/>
  <c r="AB70" i="17"/>
  <c r="AA83" i="17"/>
  <c r="AA89" i="17"/>
  <c r="AC68" i="17"/>
  <c r="P19" i="14"/>
  <c r="AE82" i="17"/>
  <c r="Q11" i="14"/>
  <c r="AE76" i="17"/>
  <c r="Q17" i="14"/>
  <c r="AC79" i="17"/>
  <c r="AE67" i="17"/>
  <c r="AC74" i="17"/>
  <c r="AB71" i="17"/>
  <c r="K17" i="14"/>
  <c r="AD70" i="17"/>
  <c r="AD69" i="17"/>
  <c r="AA71" i="17"/>
  <c r="AC89" i="17"/>
  <c r="AC76" i="17"/>
  <c r="AB80" i="17"/>
  <c r="AC71" i="17"/>
  <c r="AE88" i="17"/>
  <c r="L16" i="14"/>
  <c r="K16" i="14"/>
  <c r="AC82" i="17"/>
  <c r="AD74" i="17"/>
  <c r="AE74" i="17"/>
  <c r="AE66" i="17"/>
  <c r="AB79" i="17"/>
  <c r="AD77" i="17"/>
  <c r="K18" i="14"/>
  <c r="L14" i="14"/>
  <c r="K14" i="14"/>
  <c r="P7" i="14"/>
  <c r="AB81" i="17"/>
  <c r="AA74" i="17"/>
  <c r="L19" i="14"/>
  <c r="AD79" i="17"/>
  <c r="AD83" i="17"/>
  <c r="AA80" i="17"/>
  <c r="L18" i="14"/>
  <c r="AC69" i="17"/>
  <c r="AC88" i="17"/>
  <c r="AB86" i="17"/>
  <c r="AC73" i="17"/>
  <c r="AA73" i="17"/>
  <c r="AA70" i="17"/>
  <c r="AC75" i="17"/>
  <c r="AC70" i="17"/>
  <c r="AE84" i="17"/>
  <c r="L12" i="14"/>
  <c r="AA86" i="17"/>
  <c r="AB72" i="17"/>
  <c r="AA88" i="17"/>
  <c r="Q7" i="14"/>
  <c r="AA87" i="17"/>
  <c r="AA67" i="17"/>
  <c r="AA69" i="17"/>
  <c r="K8" i="14"/>
  <c r="AD82" i="17"/>
  <c r="AB88" i="17"/>
  <c r="AD87" i="17"/>
  <c r="AB83" i="17"/>
  <c r="AC87" i="17"/>
  <c r="AD78" i="17"/>
  <c r="K15" i="14"/>
  <c r="L10" i="14"/>
  <c r="AB73" i="17"/>
  <c r="AB84" i="17"/>
  <c r="AE89" i="17"/>
  <c r="AE70" i="17"/>
  <c r="Q10" i="14"/>
  <c r="P14" i="14"/>
  <c r="AA72" i="17"/>
  <c r="AB77" i="17"/>
  <c r="P17" i="14"/>
  <c r="AA75" i="17"/>
  <c r="Q18" i="14"/>
  <c r="Q19" i="14"/>
  <c r="AA81" i="17"/>
  <c r="AD76" i="17"/>
  <c r="L13" i="14"/>
  <c r="L17" i="14"/>
  <c r="AA78" i="17"/>
  <c r="AD67" i="17"/>
  <c r="K12" i="14"/>
  <c r="AD68" i="17"/>
  <c r="AA85" i="17"/>
  <c r="AE68" i="17"/>
  <c r="AD72" i="17"/>
  <c r="L15" i="14"/>
  <c r="Q9" i="14"/>
  <c r="AB89" i="17"/>
  <c r="AB87" i="17"/>
  <c r="AB85" i="17"/>
  <c r="AB76" i="17"/>
  <c r="L11" i="14"/>
  <c r="AD85" i="17"/>
  <c r="AE75" i="17"/>
  <c r="AC72" i="17"/>
  <c r="AE78" i="17"/>
  <c r="AD86" i="17"/>
  <c r="P10" i="14"/>
  <c r="AC85" i="17"/>
  <c r="L7" i="14"/>
  <c r="P12" i="14"/>
  <c r="Q16" i="14"/>
  <c r="AE72" i="17"/>
  <c r="AA82" i="17"/>
  <c r="AD84" i="17"/>
  <c r="AE80" i="17"/>
  <c r="AE81" i="17"/>
  <c r="AB75" i="17"/>
  <c r="AD81" i="17"/>
  <c r="AB67" i="17"/>
  <c r="P16" i="14"/>
  <c r="K6" i="14"/>
  <c r="AC81" i="17"/>
  <c r="P6" i="14"/>
  <c r="AA76" i="17"/>
  <c r="K9" i="14"/>
  <c r="AB69" i="17"/>
  <c r="AE77" i="17"/>
  <c r="AD88" i="17"/>
  <c r="P8" i="14"/>
  <c r="AE69" i="17"/>
  <c r="X68" i="17" l="1"/>
  <c r="X78" i="17"/>
  <c r="X74" i="17"/>
  <c r="X73" i="17"/>
  <c r="X85" i="17"/>
  <c r="X86" i="17"/>
  <c r="X80" i="17"/>
  <c r="X82" i="17"/>
  <c r="X67" i="17"/>
  <c r="X89" i="17"/>
  <c r="X76" i="17"/>
  <c r="X66" i="17"/>
  <c r="X87" i="17"/>
  <c r="X72" i="17"/>
  <c r="X88" i="17"/>
  <c r="X83" i="17"/>
  <c r="X70" i="17"/>
  <c r="X84" i="17"/>
  <c r="X69" i="17"/>
  <c r="X81" i="17"/>
  <c r="X75" i="17"/>
  <c r="X79" i="17"/>
  <c r="X71" i="17"/>
  <c r="X77" i="17"/>
  <c r="N4" i="15" l="1"/>
  <c r="AA61" i="17" l="1"/>
  <c r="AC4" i="16"/>
  <c r="AE32" i="18"/>
  <c r="AC38" i="18"/>
  <c r="AB20" i="16"/>
  <c r="AB6" i="18"/>
  <c r="AE36" i="16"/>
  <c r="AA49" i="18"/>
  <c r="AB40" i="17"/>
  <c r="AD5" i="17"/>
  <c r="AB19" i="17"/>
  <c r="AA47" i="17"/>
  <c r="AC5" i="17"/>
  <c r="AB38" i="17"/>
  <c r="AD7" i="16"/>
  <c r="AA31" i="17"/>
  <c r="AD14" i="18"/>
  <c r="AE38" i="16"/>
  <c r="AE45" i="16"/>
  <c r="AC23" i="18"/>
  <c r="AC36" i="18"/>
  <c r="AE38" i="18"/>
  <c r="AB44" i="17"/>
  <c r="AE10" i="17"/>
  <c r="AB43" i="18"/>
  <c r="AD38" i="16"/>
  <c r="AE42" i="17"/>
  <c r="AB38" i="18"/>
  <c r="AD29" i="16"/>
  <c r="AD14" i="17"/>
  <c r="AC38" i="17"/>
  <c r="AC7" i="18"/>
  <c r="AD65" i="17"/>
  <c r="AB24" i="16"/>
  <c r="AB16" i="17"/>
  <c r="AC41" i="16"/>
  <c r="AE49" i="17"/>
  <c r="AA28" i="18"/>
  <c r="AB15" i="18"/>
  <c r="AD16" i="17"/>
  <c r="AE25" i="16"/>
  <c r="AB50" i="17"/>
  <c r="AD46" i="16"/>
  <c r="AB48" i="17"/>
  <c r="AC21" i="18"/>
  <c r="AC47" i="18"/>
  <c r="AC19" i="18"/>
  <c r="AE64" i="17"/>
  <c r="AC6" i="18"/>
  <c r="AE14" i="17"/>
  <c r="AA32" i="16"/>
  <c r="AA12" i="16"/>
  <c r="AC9" i="17"/>
  <c r="AD21" i="16"/>
  <c r="AC7" i="17"/>
  <c r="AC17" i="16"/>
  <c r="AE36" i="17"/>
  <c r="AE22" i="16"/>
  <c r="AB44" i="16"/>
  <c r="AA16" i="17"/>
  <c r="AB10" i="17"/>
  <c r="AA26" i="17"/>
  <c r="AC37" i="16"/>
  <c r="AB21" i="18"/>
  <c r="AA23" i="16"/>
  <c r="AA23" i="18"/>
  <c r="AC7" i="16"/>
  <c r="AC61" i="17"/>
  <c r="AA36" i="17"/>
  <c r="AC43" i="17"/>
  <c r="AD45" i="18"/>
  <c r="AE39" i="18"/>
  <c r="AB11" i="17"/>
  <c r="AB30" i="18"/>
  <c r="AC54" i="17"/>
  <c r="AA25" i="16"/>
  <c r="AD61" i="17"/>
  <c r="AA34" i="18"/>
  <c r="AB46" i="18"/>
  <c r="L4" i="14"/>
  <c r="AC53" i="17"/>
  <c r="AD10" i="17"/>
  <c r="AE8" i="16"/>
  <c r="AE23" i="17"/>
  <c r="AE13" i="18"/>
  <c r="AA14" i="17"/>
  <c r="AA57" i="17"/>
  <c r="AB36" i="16"/>
  <c r="AD49" i="17"/>
  <c r="AE4" i="16"/>
  <c r="AD39" i="17"/>
  <c r="AE21" i="18"/>
  <c r="AE23" i="16"/>
  <c r="AA6" i="16"/>
  <c r="AE11" i="17"/>
  <c r="AE50" i="18"/>
  <c r="AC12" i="16"/>
  <c r="AA35" i="16"/>
  <c r="AB26" i="17"/>
  <c r="AA45" i="16"/>
  <c r="AE33" i="16"/>
  <c r="AE51" i="17"/>
  <c r="AA39" i="16"/>
  <c r="AE60" i="17"/>
  <c r="AA37" i="18"/>
  <c r="AC40" i="17"/>
  <c r="AB20" i="17"/>
  <c r="AB25" i="18"/>
  <c r="AB10" i="18"/>
  <c r="AB28" i="17"/>
  <c r="AD16" i="16"/>
  <c r="AE48" i="17"/>
  <c r="AA41" i="17"/>
  <c r="AA8" i="17"/>
  <c r="AB45" i="16"/>
  <c r="AC13" i="17"/>
  <c r="AD42" i="18"/>
  <c r="AB53" i="17"/>
  <c r="AB3" i="18"/>
  <c r="AE41" i="17"/>
  <c r="AA51" i="17"/>
  <c r="AC25" i="16"/>
  <c r="AD6" i="16"/>
  <c r="AD19" i="18"/>
  <c r="AE3" i="18"/>
  <c r="AA51" i="18"/>
  <c r="AA62" i="17"/>
  <c r="AA33" i="18"/>
  <c r="AB29" i="18"/>
  <c r="AD39" i="16"/>
  <c r="AE41" i="18"/>
  <c r="I45" i="1"/>
  <c r="I46" i="1" s="1"/>
  <c r="AD44" i="17"/>
  <c r="AC24" i="18"/>
  <c r="AD6" i="17"/>
  <c r="AD37" i="17"/>
  <c r="AE27" i="16"/>
  <c r="AA44" i="16"/>
  <c r="AB40" i="16"/>
  <c r="AB33" i="16"/>
  <c r="AA32" i="17"/>
  <c r="AD21" i="17"/>
  <c r="AD34" i="16"/>
  <c r="AA18" i="16"/>
  <c r="AD36" i="16"/>
  <c r="AB59" i="17"/>
  <c r="AD50" i="18"/>
  <c r="AD27" i="18"/>
  <c r="AD52" i="17"/>
  <c r="AB45" i="17"/>
  <c r="AE40" i="17"/>
  <c r="AA26" i="18"/>
  <c r="AB18" i="16"/>
  <c r="AE65" i="17"/>
  <c r="AA6" i="17"/>
  <c r="AA64" i="17"/>
  <c r="P3" i="14"/>
  <c r="AC60" i="17"/>
  <c r="AC17" i="17"/>
  <c r="AA17" i="16"/>
  <c r="AB22" i="16"/>
  <c r="AA5" i="18"/>
  <c r="AD39" i="18"/>
  <c r="AB8" i="17"/>
  <c r="AA35" i="18"/>
  <c r="AC50" i="17"/>
  <c r="AC33" i="18"/>
  <c r="AA40" i="17"/>
  <c r="AD12" i="17"/>
  <c r="AE30" i="16"/>
  <c r="AD35" i="16"/>
  <c r="AB23" i="17"/>
  <c r="AE54" i="17"/>
  <c r="AE27" i="18"/>
  <c r="AC19" i="17"/>
  <c r="AC13" i="18"/>
  <c r="AD19" i="17"/>
  <c r="AE20" i="18"/>
  <c r="AA20" i="16"/>
  <c r="AC11" i="18"/>
  <c r="AE42" i="16"/>
  <c r="AA55" i="17"/>
  <c r="AC51" i="18"/>
  <c r="AE34" i="16"/>
  <c r="AC55" i="17"/>
  <c r="Q3" i="14"/>
  <c r="AE53" i="17"/>
  <c r="AC45" i="16"/>
  <c r="AC46" i="18"/>
  <c r="AE39" i="17"/>
  <c r="AC65" i="17"/>
  <c r="AD32" i="18"/>
  <c r="AB13" i="18"/>
  <c r="AB36" i="18"/>
  <c r="AA11" i="17"/>
  <c r="AA40" i="18"/>
  <c r="AA17" i="18"/>
  <c r="AB4" i="17"/>
  <c r="AC28" i="18"/>
  <c r="AE43" i="18"/>
  <c r="AD33" i="17"/>
  <c r="AD28" i="18"/>
  <c r="AB55" i="17"/>
  <c r="C7" i="15"/>
  <c r="AE11" i="18"/>
  <c r="AE29" i="18"/>
  <c r="AD47" i="16"/>
  <c r="AA38" i="17"/>
  <c r="AA37" i="17"/>
  <c r="AE12" i="17"/>
  <c r="AD3" i="18"/>
  <c r="AC48" i="18"/>
  <c r="AA20" i="18"/>
  <c r="AB12" i="18"/>
  <c r="AD20" i="16"/>
  <c r="AC5" i="16"/>
  <c r="AE9" i="17"/>
  <c r="AB52" i="17"/>
  <c r="AE14" i="16"/>
  <c r="AE28" i="16"/>
  <c r="AE59" i="17"/>
  <c r="AA44" i="17"/>
  <c r="AC29" i="18"/>
  <c r="AB62" i="17"/>
  <c r="AB29" i="17"/>
  <c r="AA24" i="17"/>
  <c r="AE5" i="17"/>
  <c r="D60" i="1"/>
  <c r="AC56" i="17"/>
  <c r="D70" i="1"/>
  <c r="AD53" i="17"/>
  <c r="AE42" i="18"/>
  <c r="AE11" i="16"/>
  <c r="AD17" i="18"/>
  <c r="AC25" i="17"/>
  <c r="AD26" i="18"/>
  <c r="AD43" i="16"/>
  <c r="AC42" i="17"/>
  <c r="AA29" i="16"/>
  <c r="AC62" i="17"/>
  <c r="AD32" i="17"/>
  <c r="AB16" i="16"/>
  <c r="AC25" i="18"/>
  <c r="AB9" i="16"/>
  <c r="AA26" i="16"/>
  <c r="AC29" i="17"/>
  <c r="AE18" i="16"/>
  <c r="AC11" i="16"/>
  <c r="AB49" i="17"/>
  <c r="AA30" i="17"/>
  <c r="AC26" i="18"/>
  <c r="AD13" i="16"/>
  <c r="AD40" i="17"/>
  <c r="AA7" i="18"/>
  <c r="AA50" i="18"/>
  <c r="AD12" i="16"/>
  <c r="AE10" i="16"/>
  <c r="AE47" i="18"/>
  <c r="AA50" i="17"/>
  <c r="AB8" i="18"/>
  <c r="AD49" i="18"/>
  <c r="AC58" i="17"/>
  <c r="AC24" i="16"/>
  <c r="AB18" i="18"/>
  <c r="AC30" i="16"/>
  <c r="AC12" i="18"/>
  <c r="AD28" i="17"/>
  <c r="AD41" i="17"/>
  <c r="AD19" i="16"/>
  <c r="AE18" i="17"/>
  <c r="AE44" i="16"/>
  <c r="AE8" i="17"/>
  <c r="AB8" i="16"/>
  <c r="AE45" i="17"/>
  <c r="AD37" i="16"/>
  <c r="AE37" i="17"/>
  <c r="AB34" i="16"/>
  <c r="AB44" i="18"/>
  <c r="AC4" i="17"/>
  <c r="AB54" i="17"/>
  <c r="AB25" i="17"/>
  <c r="AB32" i="16"/>
  <c r="AD7" i="18"/>
  <c r="AC15" i="18"/>
  <c r="AC9" i="18"/>
  <c r="AC41" i="17"/>
  <c r="C8" i="15"/>
  <c r="AE44" i="17"/>
  <c r="AA41" i="16"/>
  <c r="AC64" i="17"/>
  <c r="AA60" i="17"/>
  <c r="AE46" i="18"/>
  <c r="AD44" i="18"/>
  <c r="AB27" i="16"/>
  <c r="AA7" i="16"/>
  <c r="AC52" i="17"/>
  <c r="AA35" i="17"/>
  <c r="AB46" i="17"/>
  <c r="AC19" i="16"/>
  <c r="AC18" i="18"/>
  <c r="AE9" i="16"/>
  <c r="AD54" i="17"/>
  <c r="AE56" i="17"/>
  <c r="AE39" i="16"/>
  <c r="AD59" i="17"/>
  <c r="AE7" i="18"/>
  <c r="AD35" i="18"/>
  <c r="AD15" i="17"/>
  <c r="AB37" i="18"/>
  <c r="AE55" i="17"/>
  <c r="AE24" i="18"/>
  <c r="AC31" i="18"/>
  <c r="AE5" i="16"/>
  <c r="AB42" i="18"/>
  <c r="AC46" i="17"/>
  <c r="AA3" i="16"/>
  <c r="AD30" i="18"/>
  <c r="AC10" i="16"/>
  <c r="AC43" i="18"/>
  <c r="AE63" i="17"/>
  <c r="AB28" i="16"/>
  <c r="AA18" i="17"/>
  <c r="AD33" i="18"/>
  <c r="AB15" i="16"/>
  <c r="G7" i="14"/>
  <c r="AE24" i="17"/>
  <c r="AD62" i="17"/>
  <c r="AD8" i="17"/>
  <c r="AB51" i="17"/>
  <c r="Q4" i="15"/>
  <c r="AA54" i="17"/>
  <c r="AC6" i="16"/>
  <c r="AD17" i="17"/>
  <c r="AB47" i="17"/>
  <c r="AC46" i="16"/>
  <c r="AB37" i="17"/>
  <c r="AA22" i="17"/>
  <c r="AB6" i="16"/>
  <c r="AE33" i="18"/>
  <c r="E7" i="15"/>
  <c r="AD27" i="17"/>
  <c r="P4" i="14"/>
  <c r="AD25" i="18"/>
  <c r="AB26" i="18"/>
  <c r="AD28" i="16"/>
  <c r="AA43" i="17"/>
  <c r="AE32" i="17"/>
  <c r="AD44" i="16"/>
  <c r="AD7" i="17"/>
  <c r="AB32" i="17"/>
  <c r="AA42" i="18"/>
  <c r="AC23" i="16"/>
  <c r="AE9" i="18"/>
  <c r="AB41" i="18"/>
  <c r="AC39" i="17"/>
  <c r="AC39" i="18"/>
  <c r="AA29" i="17"/>
  <c r="AC42" i="16"/>
  <c r="AB10" i="16"/>
  <c r="AE34" i="17"/>
  <c r="AD16" i="18"/>
  <c r="AD50" i="17"/>
  <c r="AA19" i="17"/>
  <c r="AE29" i="17"/>
  <c r="AE44" i="18"/>
  <c r="AE38" i="17"/>
  <c r="AB42" i="17"/>
  <c r="AC47" i="16"/>
  <c r="AB36" i="17"/>
  <c r="AC16" i="18"/>
  <c r="AB37" i="16"/>
  <c r="AD33" i="16"/>
  <c r="AD10" i="16"/>
  <c r="D45" i="1"/>
  <c r="AE14" i="18"/>
  <c r="AC14" i="16"/>
  <c r="AE25" i="18"/>
  <c r="AB31" i="18"/>
  <c r="AB5" i="18"/>
  <c r="AC16" i="16"/>
  <c r="AD9" i="16"/>
  <c r="AA21" i="18"/>
  <c r="AC35" i="17"/>
  <c r="AC35" i="18"/>
  <c r="U4" i="15"/>
  <c r="AD8" i="16"/>
  <c r="AA48" i="17"/>
  <c r="AE30" i="17"/>
  <c r="AA10" i="17"/>
  <c r="AE20" i="16"/>
  <c r="AC28" i="16"/>
  <c r="AD31" i="18"/>
  <c r="AD46" i="17"/>
  <c r="AB26" i="16"/>
  <c r="AD23" i="17"/>
  <c r="AA3" i="18"/>
  <c r="AE12" i="18"/>
  <c r="AC6" i="17"/>
  <c r="AC35" i="16"/>
  <c r="AE29" i="16"/>
  <c r="AC34" i="17"/>
  <c r="AE45" i="18"/>
  <c r="AB35" i="17"/>
  <c r="AB64" i="17"/>
  <c r="AD37" i="18"/>
  <c r="AB34" i="18"/>
  <c r="AC32" i="16"/>
  <c r="AA43" i="18"/>
  <c r="AA14" i="18"/>
  <c r="AE26" i="18"/>
  <c r="AE62" i="17"/>
  <c r="AB34" i="17"/>
  <c r="AB30" i="16"/>
  <c r="AA25" i="18"/>
  <c r="AB24" i="18"/>
  <c r="V4" i="15"/>
  <c r="AB61" i="17"/>
  <c r="AD30" i="16"/>
  <c r="AA27" i="17"/>
  <c r="AA15" i="16"/>
  <c r="AE61" i="17"/>
  <c r="AB23" i="16"/>
  <c r="AC48" i="17"/>
  <c r="AB27" i="17"/>
  <c r="AA11" i="16"/>
  <c r="AB5" i="17"/>
  <c r="AB13" i="17"/>
  <c r="AD14" i="16"/>
  <c r="AD47" i="18"/>
  <c r="AE41" i="16"/>
  <c r="AE43" i="16"/>
  <c r="AD60" i="17"/>
  <c r="AC20" i="16"/>
  <c r="AC59" i="17"/>
  <c r="AE19" i="18"/>
  <c r="AD27" i="16"/>
  <c r="AC49" i="17"/>
  <c r="AB15" i="17"/>
  <c r="AC38" i="16"/>
  <c r="AD31" i="17"/>
  <c r="AD43" i="17"/>
  <c r="AB60" i="17"/>
  <c r="AC22" i="17"/>
  <c r="AB65" i="17"/>
  <c r="AA10" i="16"/>
  <c r="AG2" i="16" a="1"/>
  <c r="AC34" i="18"/>
  <c r="AB21" i="17"/>
  <c r="I75" i="1"/>
  <c r="AA46" i="17"/>
  <c r="K3" i="14"/>
  <c r="AE13" i="16"/>
  <c r="Q4" i="14"/>
  <c r="AD13" i="18"/>
  <c r="AB6" i="17"/>
  <c r="AB29" i="16"/>
  <c r="AE36" i="18"/>
  <c r="H83" i="1"/>
  <c r="AA37" i="16"/>
  <c r="AE47" i="17"/>
  <c r="AD24" i="16"/>
  <c r="AA15" i="17"/>
  <c r="AC4" i="18"/>
  <c r="AA18" i="18"/>
  <c r="AD3" i="16"/>
  <c r="AE50" i="17"/>
  <c r="AB40" i="18"/>
  <c r="AC8" i="16"/>
  <c r="AC12" i="17"/>
  <c r="AA56" i="17"/>
  <c r="AE15" i="16"/>
  <c r="AA49" i="17"/>
  <c r="AD3" i="17"/>
  <c r="AD41" i="16"/>
  <c r="AA31" i="16"/>
  <c r="AA22" i="16"/>
  <c r="AA16" i="16"/>
  <c r="AE13" i="17"/>
  <c r="AA44" i="18"/>
  <c r="AB31" i="16"/>
  <c r="AA20" i="17"/>
  <c r="AE4" i="18"/>
  <c r="AB39" i="16"/>
  <c r="C9" i="15"/>
  <c r="AE17" i="17"/>
  <c r="AA32" i="18"/>
  <c r="AD38" i="17"/>
  <c r="AD20" i="18"/>
  <c r="AD46" i="18"/>
  <c r="AD29" i="18"/>
  <c r="AD15" i="16"/>
  <c r="AE21" i="16"/>
  <c r="AC21" i="16"/>
  <c r="AE20" i="17"/>
  <c r="AA65" i="17"/>
  <c r="AA43" i="16"/>
  <c r="AA14" i="16"/>
  <c r="AD18" i="18"/>
  <c r="C10" i="15"/>
  <c r="AF2" i="17" a="1"/>
  <c r="AA36" i="18"/>
  <c r="AD10" i="18"/>
  <c r="I60" i="1"/>
  <c r="AB13" i="16"/>
  <c r="AB3" i="17"/>
  <c r="AB43" i="17"/>
  <c r="C68" i="1"/>
  <c r="AE51" i="18"/>
  <c r="AC49" i="18"/>
  <c r="AC30" i="17"/>
  <c r="AE17" i="18"/>
  <c r="AE35" i="18"/>
  <c r="AA4" i="18"/>
  <c r="AC16" i="17"/>
  <c r="AA6" i="18"/>
  <c r="AC57" i="17"/>
  <c r="AB14" i="17"/>
  <c r="AD40" i="18"/>
  <c r="AC31" i="16"/>
  <c r="AA15" i="18"/>
  <c r="AE18" i="18"/>
  <c r="AD21" i="18"/>
  <c r="AA8" i="18"/>
  <c r="AD34" i="18"/>
  <c r="AB19" i="16"/>
  <c r="AA4" i="17"/>
  <c r="AB49" i="18"/>
  <c r="AA58" i="17"/>
  <c r="AC3" i="17"/>
  <c r="AD40" i="16"/>
  <c r="AE32" i="16"/>
  <c r="AB35" i="16"/>
  <c r="AB38" i="16"/>
  <c r="AA7" i="17"/>
  <c r="AD58" i="17"/>
  <c r="AE49" i="18"/>
  <c r="AC45" i="17"/>
  <c r="AD45" i="16"/>
  <c r="AB9" i="18"/>
  <c r="AC3" i="16"/>
  <c r="AA24" i="16"/>
  <c r="AB47" i="16"/>
  <c r="AD24" i="18"/>
  <c r="AB25" i="16"/>
  <c r="AE10" i="18"/>
  <c r="AE6" i="18"/>
  <c r="AB27" i="18"/>
  <c r="AC24" i="17"/>
  <c r="AD11" i="18"/>
  <c r="AA25" i="17"/>
  <c r="AA40" i="16"/>
  <c r="AE23" i="18"/>
  <c r="AD4" i="17"/>
  <c r="AE57" i="17"/>
  <c r="AA30" i="16"/>
  <c r="AE21" i="17"/>
  <c r="AA34" i="16"/>
  <c r="AA16" i="18"/>
  <c r="AD4" i="16"/>
  <c r="AA63" i="17"/>
  <c r="AE35" i="17"/>
  <c r="AB19" i="18"/>
  <c r="AB12" i="17"/>
  <c r="AE24" i="16"/>
  <c r="AC9" i="16"/>
  <c r="AD51" i="18"/>
  <c r="AB7" i="16"/>
  <c r="AB33" i="17"/>
  <c r="AE6" i="16"/>
  <c r="AC17" i="18"/>
  <c r="AC3" i="18"/>
  <c r="AC26" i="16"/>
  <c r="AC11" i="17"/>
  <c r="AD42" i="17"/>
  <c r="C53" i="1"/>
  <c r="E9" i="15"/>
  <c r="AE48" i="18"/>
  <c r="AD29" i="17"/>
  <c r="AB30" i="17"/>
  <c r="AD23" i="18"/>
  <c r="AE31" i="18"/>
  <c r="AB18" i="17"/>
  <c r="AD11" i="16"/>
  <c r="AB7" i="18"/>
  <c r="AD26" i="16"/>
  <c r="AC14" i="18"/>
  <c r="AC8" i="18"/>
  <c r="AA13" i="16"/>
  <c r="AE40" i="16"/>
  <c r="AD17" i="16"/>
  <c r="AB3" i="16"/>
  <c r="AE35" i="16"/>
  <c r="AD41" i="18"/>
  <c r="AB46" i="16"/>
  <c r="AB17" i="17"/>
  <c r="AB20" i="18"/>
  <c r="AB14" i="16"/>
  <c r="AC40" i="16"/>
  <c r="AE4" i="17"/>
  <c r="AA28" i="16"/>
  <c r="AB17" i="18"/>
  <c r="AA45" i="18"/>
  <c r="AA9" i="16"/>
  <c r="K4" i="14"/>
  <c r="AA22" i="18"/>
  <c r="AC22" i="18"/>
  <c r="AB31" i="17"/>
  <c r="AA59" i="17"/>
  <c r="AA34" i="17"/>
  <c r="AC20" i="18"/>
  <c r="AE27" i="17"/>
  <c r="AA53" i="17"/>
  <c r="AA19" i="18"/>
  <c r="AC18" i="16"/>
  <c r="AC10" i="17"/>
  <c r="AD13" i="17"/>
  <c r="AF2" i="16" a="1"/>
  <c r="AA21" i="17"/>
  <c r="AB35" i="18"/>
  <c r="AE40" i="18"/>
  <c r="AD20" i="17"/>
  <c r="AC28" i="17"/>
  <c r="AD57" i="17"/>
  <c r="AA12" i="18"/>
  <c r="AE16" i="18"/>
  <c r="AE16" i="17"/>
  <c r="AD4" i="18"/>
  <c r="AD25" i="17"/>
  <c r="AA30" i="18"/>
  <c r="AB47" i="18"/>
  <c r="AD24" i="17"/>
  <c r="AA45" i="17"/>
  <c r="AE46" i="17"/>
  <c r="AA9" i="17"/>
  <c r="AB7" i="17"/>
  <c r="AB57" i="17"/>
  <c r="AE17" i="16"/>
  <c r="I70" i="1"/>
  <c r="AE26" i="17"/>
  <c r="AA47" i="16"/>
  <c r="AB41" i="16"/>
  <c r="AA19" i="16"/>
  <c r="AA13" i="18"/>
  <c r="AE5" i="18"/>
  <c r="AE15" i="17"/>
  <c r="AE3" i="16"/>
  <c r="E8" i="15"/>
  <c r="F8" i="15" s="1"/>
  <c r="AD31" i="16"/>
  <c r="AC45" i="18"/>
  <c r="AD55" i="17"/>
  <c r="P4" i="15"/>
  <c r="AB23" i="18"/>
  <c r="AE7" i="17"/>
  <c r="D75" i="1"/>
  <c r="D91" i="1" s="1"/>
  <c r="AC18" i="17"/>
  <c r="I85" i="1"/>
  <c r="AC32" i="18"/>
  <c r="AA46" i="16"/>
  <c r="AD43" i="18"/>
  <c r="AA24" i="18"/>
  <c r="AA13" i="17"/>
  <c r="AC8" i="17"/>
  <c r="AB43" i="16"/>
  <c r="AB22" i="17"/>
  <c r="AD9" i="18"/>
  <c r="AD11" i="17"/>
  <c r="AA38" i="18"/>
  <c r="AB12" i="16"/>
  <c r="AC27" i="16"/>
  <c r="AE3" i="17"/>
  <c r="AD45" i="17"/>
  <c r="C83" i="1"/>
  <c r="AC22" i="16"/>
  <c r="AA48" i="18"/>
  <c r="AD38" i="18"/>
  <c r="AE12" i="16"/>
  <c r="AD36" i="18"/>
  <c r="AA11" i="18"/>
  <c r="AB11" i="16"/>
  <c r="AD12" i="18"/>
  <c r="AA39" i="17"/>
  <c r="AE19" i="17"/>
  <c r="I55" i="1"/>
  <c r="AE37" i="18"/>
  <c r="AC27" i="18"/>
  <c r="AA12" i="17"/>
  <c r="AD56" i="17"/>
  <c r="AE6" i="17"/>
  <c r="AD25" i="16"/>
  <c r="AC5" i="18"/>
  <c r="C84" i="1"/>
  <c r="AC50" i="18"/>
  <c r="AB11" i="18"/>
  <c r="AC43" i="16"/>
  <c r="AE31" i="16"/>
  <c r="AC20" i="17"/>
  <c r="AE33" i="17"/>
  <c r="AC13" i="16"/>
  <c r="AD34" i="17"/>
  <c r="AA31" i="18"/>
  <c r="AD22" i="16"/>
  <c r="AB50" i="18"/>
  <c r="AC29" i="16"/>
  <c r="AA3" i="17"/>
  <c r="AC31" i="17"/>
  <c r="AB63" i="17"/>
  <c r="AD9" i="17"/>
  <c r="H54" i="1"/>
  <c r="AA17" i="17"/>
  <c r="AD32" i="16"/>
  <c r="AA42" i="16"/>
  <c r="AE22" i="17"/>
  <c r="L3" i="14"/>
  <c r="AA33" i="16"/>
  <c r="AC36" i="16"/>
  <c r="AB4" i="16"/>
  <c r="AD22" i="18"/>
  <c r="AA36" i="16"/>
  <c r="AC34" i="16"/>
  <c r="AB17" i="16"/>
  <c r="AC15" i="17"/>
  <c r="F7" i="15"/>
  <c r="AA23" i="17"/>
  <c r="AD42" i="16"/>
  <c r="AB24" i="17"/>
  <c r="AA28" i="17"/>
  <c r="AA4" i="16"/>
  <c r="AC10" i="18"/>
  <c r="AA10" i="18"/>
  <c r="AD18" i="16"/>
  <c r="AE25" i="17"/>
  <c r="AA21" i="16"/>
  <c r="AB42" i="16"/>
  <c r="AC21" i="17"/>
  <c r="AA8" i="16"/>
  <c r="AC44" i="18"/>
  <c r="AD36" i="17"/>
  <c r="AD26" i="17"/>
  <c r="AE28" i="17"/>
  <c r="AE15" i="18"/>
  <c r="AC37" i="17"/>
  <c r="AC33" i="17"/>
  <c r="AE58" i="17"/>
  <c r="AB41" i="17"/>
  <c r="AE43" i="17"/>
  <c r="AC51" i="17"/>
  <c r="AB39" i="17"/>
  <c r="AB4" i="18"/>
  <c r="AA47" i="18"/>
  <c r="AE34" i="18"/>
  <c r="AA41" i="18"/>
  <c r="AB32" i="18"/>
  <c r="AB22" i="18"/>
  <c r="AA52" i="17"/>
  <c r="AA38" i="16"/>
  <c r="AB33" i="18"/>
  <c r="AA5" i="16"/>
  <c r="AC30" i="18"/>
  <c r="AC23" i="17"/>
  <c r="AE28" i="18"/>
  <c r="AA46" i="18"/>
  <c r="AD8" i="18"/>
  <c r="AC44" i="17"/>
  <c r="AE46" i="16"/>
  <c r="AE19" i="16"/>
  <c r="AB16" i="18"/>
  <c r="AB21" i="16"/>
  <c r="AA27" i="16"/>
  <c r="AE8" i="18"/>
  <c r="AD15" i="18"/>
  <c r="AD63" i="17"/>
  <c r="AB9" i="17"/>
  <c r="AC32" i="17"/>
  <c r="AC36" i="17"/>
  <c r="AD30" i="17"/>
  <c r="AD51" i="17"/>
  <c r="AB5" i="16"/>
  <c r="AD48" i="18"/>
  <c r="AA33" i="17"/>
  <c r="AC37" i="18"/>
  <c r="AC33" i="16"/>
  <c r="AE37" i="16"/>
  <c r="AD47" i="17"/>
  <c r="AA29" i="18"/>
  <c r="AB56" i="17"/>
  <c r="AB39" i="18"/>
  <c r="AE31" i="17"/>
  <c r="AD18" i="17"/>
  <c r="H53" i="1"/>
  <c r="AD5" i="18"/>
  <c r="AB28" i="18"/>
  <c r="AD23" i="16"/>
  <c r="AB51" i="18"/>
  <c r="AD5" i="16"/>
  <c r="AC15" i="16"/>
  <c r="AE30" i="18"/>
  <c r="AB45" i="18"/>
  <c r="AB58" i="17"/>
  <c r="AE22" i="18"/>
  <c r="AC41" i="18"/>
  <c r="AC63" i="17"/>
  <c r="AE16" i="16"/>
  <c r="AD6" i="18"/>
  <c r="AE52" i="17"/>
  <c r="AD35" i="17"/>
  <c r="AC44" i="16"/>
  <c r="AD22" i="17"/>
  <c r="AA5" i="17"/>
  <c r="AA39" i="18"/>
  <c r="AC40" i="18"/>
  <c r="AC27" i="17"/>
  <c r="AD64" i="17"/>
  <c r="AG2" i="18" a="1"/>
  <c r="AD48" i="17"/>
  <c r="AC14" i="17"/>
  <c r="AE47" i="16"/>
  <c r="AE26" i="16"/>
  <c r="AB48" i="18"/>
  <c r="AB14" i="18"/>
  <c r="AA27" i="18"/>
  <c r="AC42" i="18"/>
  <c r="AC39" i="16"/>
  <c r="AA9" i="18"/>
  <c r="AE7" i="16"/>
  <c r="AC47" i="17"/>
  <c r="AC26" i="17"/>
  <c r="AA42" i="17"/>
  <c r="D83" i="1"/>
  <c r="I53" i="1"/>
  <c r="D53" i="1"/>
  <c r="I54" i="1"/>
  <c r="I83" i="1"/>
  <c r="C69" i="1"/>
  <c r="D61" i="1"/>
  <c r="D46" i="1"/>
  <c r="D55" i="1"/>
  <c r="C54" i="1"/>
  <c r="I76" i="1"/>
  <c r="H84" i="1"/>
  <c r="C11" i="15"/>
  <c r="E10" i="15"/>
  <c r="F10" i="15" s="1"/>
  <c r="H69" i="1"/>
  <c r="I69" i="1" s="1"/>
  <c r="AG2" i="17" a="1"/>
  <c r="H68" i="1"/>
  <c r="I68" i="1" s="1"/>
  <c r="I61" i="1"/>
  <c r="AF2" i="18" a="1"/>
  <c r="D85" i="1"/>
  <c r="D76" i="1"/>
  <c r="E11" i="15"/>
  <c r="F11" i="15" s="1"/>
  <c r="C12" i="15"/>
  <c r="E12" i="15"/>
  <c r="C13" i="15"/>
  <c r="E13" i="15"/>
  <c r="C14" i="15"/>
  <c r="C15" i="15"/>
  <c r="E14" i="15"/>
  <c r="E15" i="15"/>
  <c r="C16" i="15"/>
  <c r="E16" i="15"/>
  <c r="C17" i="15"/>
  <c r="E17" i="15"/>
  <c r="H17" i="15" l="1"/>
  <c r="H16" i="15"/>
  <c r="H15" i="15"/>
  <c r="H14" i="15"/>
  <c r="H13" i="15"/>
  <c r="H12" i="15"/>
  <c r="AF31" i="18"/>
  <c r="AJ31" i="18" s="1"/>
  <c r="AF46" i="18"/>
  <c r="AJ46" i="18" s="1"/>
  <c r="AF14" i="18"/>
  <c r="AJ14" i="18" s="1"/>
  <c r="AF40" i="18"/>
  <c r="AJ40" i="18" s="1"/>
  <c r="AF5" i="18"/>
  <c r="AJ5" i="18" s="1"/>
  <c r="AF7" i="18"/>
  <c r="AJ7" i="18" s="1"/>
  <c r="AF20" i="18"/>
  <c r="AJ20" i="18" s="1"/>
  <c r="AF6" i="18"/>
  <c r="AJ6" i="18" s="1"/>
  <c r="AF19" i="18"/>
  <c r="AJ19" i="18" s="1"/>
  <c r="AF35" i="18"/>
  <c r="AJ35" i="18" s="1"/>
  <c r="AF44" i="18"/>
  <c r="AJ44" i="18" s="1"/>
  <c r="AF37" i="18"/>
  <c r="AJ37" i="18" s="1"/>
  <c r="AF42" i="18"/>
  <c r="AJ42" i="18" s="1"/>
  <c r="AF4" i="18"/>
  <c r="AJ4" i="18" s="1"/>
  <c r="AF10" i="18"/>
  <c r="AJ10" i="18" s="1"/>
  <c r="AF3" i="18"/>
  <c r="AJ3" i="18" s="1"/>
  <c r="AF8" i="18"/>
  <c r="AJ8" i="18" s="1"/>
  <c r="AF36" i="18"/>
  <c r="AJ36" i="18" s="1"/>
  <c r="AF21" i="18"/>
  <c r="AJ21" i="18" s="1"/>
  <c r="AF49" i="18"/>
  <c r="AJ49" i="18" s="1"/>
  <c r="AF13" i="18"/>
  <c r="AJ13" i="18" s="1"/>
  <c r="AF39" i="18"/>
  <c r="AJ39" i="18" s="1"/>
  <c r="AF16" i="18"/>
  <c r="AJ16" i="18" s="1"/>
  <c r="AF27" i="18"/>
  <c r="AJ27" i="18" s="1"/>
  <c r="AF9" i="18"/>
  <c r="AJ9" i="18" s="1"/>
  <c r="AF24" i="18"/>
  <c r="AJ24" i="18" s="1"/>
  <c r="AF15" i="18"/>
  <c r="AJ15" i="18" s="1"/>
  <c r="AF2" i="18"/>
  <c r="AF30" i="18"/>
  <c r="AJ30" i="18" s="1"/>
  <c r="AF33" i="18"/>
  <c r="AJ33" i="18" s="1"/>
  <c r="AF29" i="18"/>
  <c r="AJ29" i="18" s="1"/>
  <c r="AF32" i="18"/>
  <c r="AJ32" i="18" s="1"/>
  <c r="AF34" i="18"/>
  <c r="AJ34" i="18" s="1"/>
  <c r="AF41" i="18"/>
  <c r="AJ41" i="18" s="1"/>
  <c r="AF38" i="18"/>
  <c r="AJ38" i="18" s="1"/>
  <c r="AF51" i="18"/>
  <c r="AJ51" i="18" s="1"/>
  <c r="AF43" i="18"/>
  <c r="AJ43" i="18" s="1"/>
  <c r="AF18" i="18"/>
  <c r="AJ18" i="18" s="1"/>
  <c r="AF50" i="18"/>
  <c r="AJ50" i="18" s="1"/>
  <c r="AF47" i="18"/>
  <c r="AJ47" i="18" s="1"/>
  <c r="AF25" i="18"/>
  <c r="AJ25" i="18" s="1"/>
  <c r="AF22" i="18"/>
  <c r="AJ22" i="18" s="1"/>
  <c r="AF23" i="18"/>
  <c r="AJ23" i="18" s="1"/>
  <c r="AF28" i="18"/>
  <c r="AJ28" i="18" s="1"/>
  <c r="AF12" i="18"/>
  <c r="AJ12" i="18" s="1"/>
  <c r="AF48" i="18"/>
  <c r="AJ48" i="18" s="1"/>
  <c r="AF45" i="18"/>
  <c r="AJ45" i="18" s="1"/>
  <c r="AF11" i="18"/>
  <c r="AJ11" i="18" s="1"/>
  <c r="AF26" i="18"/>
  <c r="AJ26" i="18" s="1"/>
  <c r="AF17" i="18"/>
  <c r="AJ17" i="18" s="1"/>
  <c r="AG73" i="17"/>
  <c r="AM73" i="17" s="1"/>
  <c r="AG75" i="17"/>
  <c r="AM75" i="17" s="1"/>
  <c r="AG13" i="17"/>
  <c r="AM13" i="17" s="1"/>
  <c r="AG53" i="17"/>
  <c r="AM53" i="17" s="1"/>
  <c r="AG18" i="17"/>
  <c r="AM18" i="17" s="1"/>
  <c r="AG51" i="17"/>
  <c r="AM51" i="17" s="1"/>
  <c r="AG89" i="17"/>
  <c r="AM89" i="17" s="1"/>
  <c r="AG76" i="17"/>
  <c r="AM76" i="17" s="1"/>
  <c r="AG27" i="17"/>
  <c r="AM27" i="17" s="1"/>
  <c r="AG49" i="17"/>
  <c r="AM49" i="17" s="1"/>
  <c r="AG83" i="17"/>
  <c r="AM83" i="17" s="1"/>
  <c r="AG62" i="17"/>
  <c r="AM62" i="17" s="1"/>
  <c r="AG82" i="17"/>
  <c r="AM82" i="17" s="1"/>
  <c r="AG84" i="17"/>
  <c r="AM84" i="17" s="1"/>
  <c r="AG85" i="17"/>
  <c r="AM85" i="17" s="1"/>
  <c r="AG11" i="17"/>
  <c r="AM11" i="17" s="1"/>
  <c r="AG36" i="17"/>
  <c r="AM36" i="17" s="1"/>
  <c r="AG69" i="17"/>
  <c r="AM69" i="17" s="1"/>
  <c r="AG57" i="17"/>
  <c r="AM57" i="17" s="1"/>
  <c r="AG32" i="17"/>
  <c r="AM32" i="17" s="1"/>
  <c r="AG31" i="17"/>
  <c r="AM31" i="17" s="1"/>
  <c r="AG19" i="17"/>
  <c r="AM19" i="17" s="1"/>
  <c r="AG46" i="17"/>
  <c r="AM46" i="17" s="1"/>
  <c r="AG22" i="17"/>
  <c r="AM22" i="17" s="1"/>
  <c r="AG17" i="17"/>
  <c r="AM17" i="17" s="1"/>
  <c r="AG3" i="17"/>
  <c r="AM3" i="17" s="1"/>
  <c r="AG56" i="17"/>
  <c r="AM56" i="17" s="1"/>
  <c r="AG25" i="17"/>
  <c r="AM25" i="17" s="1"/>
  <c r="AG55" i="17"/>
  <c r="AM55" i="17" s="1"/>
  <c r="AG60" i="17"/>
  <c r="AM60" i="17" s="1"/>
  <c r="AG28" i="17"/>
  <c r="AM28" i="17" s="1"/>
  <c r="AG4" i="17"/>
  <c r="AM4" i="17" s="1"/>
  <c r="AG72" i="17"/>
  <c r="AM72" i="17" s="1"/>
  <c r="AG10" i="17"/>
  <c r="AM10" i="17" s="1"/>
  <c r="AG59" i="17"/>
  <c r="AM59" i="17" s="1"/>
  <c r="AG61" i="17"/>
  <c r="AM61" i="17" s="1"/>
  <c r="AG70" i="17"/>
  <c r="AM70" i="17" s="1"/>
  <c r="AG50" i="17"/>
  <c r="AM50" i="17" s="1"/>
  <c r="AG77" i="17"/>
  <c r="AM77" i="17" s="1"/>
  <c r="AG16" i="17"/>
  <c r="AM16" i="17" s="1"/>
  <c r="AG35" i="17"/>
  <c r="AM35" i="17" s="1"/>
  <c r="AG41" i="17"/>
  <c r="AM41" i="17" s="1"/>
  <c r="AG52" i="17"/>
  <c r="AM52" i="17" s="1"/>
  <c r="AG6" i="17"/>
  <c r="AM6" i="17" s="1"/>
  <c r="AG80" i="17"/>
  <c r="AM80" i="17" s="1"/>
  <c r="AG34" i="17"/>
  <c r="AM34" i="17" s="1"/>
  <c r="AG65" i="17"/>
  <c r="AM65" i="17" s="1"/>
  <c r="AG64" i="17"/>
  <c r="AM64" i="17" s="1"/>
  <c r="AG37" i="17"/>
  <c r="AM37" i="17" s="1"/>
  <c r="AG45" i="17"/>
  <c r="AM45" i="17" s="1"/>
  <c r="AG29" i="17"/>
  <c r="AM29" i="17" s="1"/>
  <c r="AG44" i="17"/>
  <c r="AM44" i="17" s="1"/>
  <c r="AG86" i="17"/>
  <c r="AM86" i="17" s="1"/>
  <c r="AG15" i="17"/>
  <c r="AM15" i="17" s="1"/>
  <c r="AG42" i="17"/>
  <c r="AM42" i="17" s="1"/>
  <c r="AG26" i="17"/>
  <c r="AM26" i="17" s="1"/>
  <c r="AG47" i="17"/>
  <c r="AM47" i="17" s="1"/>
  <c r="AG71" i="17"/>
  <c r="AM71" i="17" s="1"/>
  <c r="AG78" i="17"/>
  <c r="AM78" i="17" s="1"/>
  <c r="AG67" i="17"/>
  <c r="AM67" i="17" s="1"/>
  <c r="AG66" i="17"/>
  <c r="AM66" i="17" s="1"/>
  <c r="AG5" i="17"/>
  <c r="AM5" i="17" s="1"/>
  <c r="AG7" i="17"/>
  <c r="AM7" i="17" s="1"/>
  <c r="AG43" i="17"/>
  <c r="AM43" i="17" s="1"/>
  <c r="AG58" i="17"/>
  <c r="AM58" i="17" s="1"/>
  <c r="AG8" i="17"/>
  <c r="AM8" i="17" s="1"/>
  <c r="AG2" i="17"/>
  <c r="AG87" i="17"/>
  <c r="AM87" i="17" s="1"/>
  <c r="AG9" i="17"/>
  <c r="AM9" i="17" s="1"/>
  <c r="AG23" i="17"/>
  <c r="AM23" i="17" s="1"/>
  <c r="AG68" i="17"/>
  <c r="AM68" i="17" s="1"/>
  <c r="AG39" i="17"/>
  <c r="AM39" i="17" s="1"/>
  <c r="AG21" i="17"/>
  <c r="AM21" i="17" s="1"/>
  <c r="AG81" i="17"/>
  <c r="AM81" i="17" s="1"/>
  <c r="AG12" i="17"/>
  <c r="AM12" i="17" s="1"/>
  <c r="AG54" i="17"/>
  <c r="AM54" i="17" s="1"/>
  <c r="AG24" i="17"/>
  <c r="AM24" i="17" s="1"/>
  <c r="AG33" i="17"/>
  <c r="AM33" i="17" s="1"/>
  <c r="AG20" i="17"/>
  <c r="AM20" i="17" s="1"/>
  <c r="AG74" i="17"/>
  <c r="AM74" i="17" s="1"/>
  <c r="AG48" i="17"/>
  <c r="AM48" i="17" s="1"/>
  <c r="AG88" i="17"/>
  <c r="AM88" i="17" s="1"/>
  <c r="AG30" i="17"/>
  <c r="AM30" i="17" s="1"/>
  <c r="AG40" i="17"/>
  <c r="AM40" i="17" s="1"/>
  <c r="AG14" i="17"/>
  <c r="AM14" i="17" s="1"/>
  <c r="AG63" i="17"/>
  <c r="AM63" i="17" s="1"/>
  <c r="AG38" i="17"/>
  <c r="AM38" i="17" s="1"/>
  <c r="AG79" i="17"/>
  <c r="AM79" i="17" s="1"/>
  <c r="H11" i="15"/>
  <c r="X42" i="17"/>
  <c r="X9" i="18"/>
  <c r="X27" i="18"/>
  <c r="AG10" i="18"/>
  <c r="AL10" i="18" s="1"/>
  <c r="AG14" i="18"/>
  <c r="AL14" i="18" s="1"/>
  <c r="AG8" i="18"/>
  <c r="AL8" i="18" s="1"/>
  <c r="AG45" i="18"/>
  <c r="AL45" i="18" s="1"/>
  <c r="AG12" i="18"/>
  <c r="AL12" i="18" s="1"/>
  <c r="AG23" i="18"/>
  <c r="AL23" i="18" s="1"/>
  <c r="AG49" i="18"/>
  <c r="AL49" i="18" s="1"/>
  <c r="AG24" i="18"/>
  <c r="AL24" i="18" s="1"/>
  <c r="AG19" i="18"/>
  <c r="AL19" i="18" s="1"/>
  <c r="AG44" i="18"/>
  <c r="AL44" i="18" s="1"/>
  <c r="AG38" i="18"/>
  <c r="AL38" i="18" s="1"/>
  <c r="AG33" i="18"/>
  <c r="AL33" i="18" s="1"/>
  <c r="AG20" i="18"/>
  <c r="AL20" i="18" s="1"/>
  <c r="AG4" i="18"/>
  <c r="AL4" i="18" s="1"/>
  <c r="AG40" i="18"/>
  <c r="AL40" i="18" s="1"/>
  <c r="AG3" i="18"/>
  <c r="AL3" i="18" s="1"/>
  <c r="AG18" i="18"/>
  <c r="AL18" i="18" s="1"/>
  <c r="AG28" i="18"/>
  <c r="AL28" i="18" s="1"/>
  <c r="AG11" i="18"/>
  <c r="AL11" i="18" s="1"/>
  <c r="AG32" i="18"/>
  <c r="AL32" i="18" s="1"/>
  <c r="AG5" i="18"/>
  <c r="AL5" i="18" s="1"/>
  <c r="AG29" i="18"/>
  <c r="AL29" i="18" s="1"/>
  <c r="AG42" i="18"/>
  <c r="AL42" i="18" s="1"/>
  <c r="AG30" i="18"/>
  <c r="AL30" i="18" s="1"/>
  <c r="AG9" i="18"/>
  <c r="AL9" i="18" s="1"/>
  <c r="AG36" i="18"/>
  <c r="AL36" i="18" s="1"/>
  <c r="AG17" i="18"/>
  <c r="AL17" i="18" s="1"/>
  <c r="AG35" i="18"/>
  <c r="AL35" i="18" s="1"/>
  <c r="AG21" i="18"/>
  <c r="AL21" i="18" s="1"/>
  <c r="AG7" i="18"/>
  <c r="AL7" i="18" s="1"/>
  <c r="AG27" i="18"/>
  <c r="AL27" i="18" s="1"/>
  <c r="AG25" i="18"/>
  <c r="AL25" i="18" s="1"/>
  <c r="AG48" i="18"/>
  <c r="AL48" i="18" s="1"/>
  <c r="AG47" i="18"/>
  <c r="AL47" i="18" s="1"/>
  <c r="AG51" i="18"/>
  <c r="AL51" i="18" s="1"/>
  <c r="AG22" i="18"/>
  <c r="AL22" i="18" s="1"/>
  <c r="AG34" i="18"/>
  <c r="AL34" i="18" s="1"/>
  <c r="AG15" i="18"/>
  <c r="AL15" i="18" s="1"/>
  <c r="AG6" i="18"/>
  <c r="AL6" i="18" s="1"/>
  <c r="AG46" i="18"/>
  <c r="AL46" i="18" s="1"/>
  <c r="AG43" i="18"/>
  <c r="AL43" i="18" s="1"/>
  <c r="AG16" i="18"/>
  <c r="AL16" i="18" s="1"/>
  <c r="AG26" i="18"/>
  <c r="AL26" i="18" s="1"/>
  <c r="AG37" i="18"/>
  <c r="AL37" i="18" s="1"/>
  <c r="AG50" i="18"/>
  <c r="AL50" i="18" s="1"/>
  <c r="AG39" i="18"/>
  <c r="AL39" i="18" s="1"/>
  <c r="AG2" i="18"/>
  <c r="AG13" i="18"/>
  <c r="AL13" i="18" s="1"/>
  <c r="AG31" i="18"/>
  <c r="AL31" i="18" s="1"/>
  <c r="AG41" i="18"/>
  <c r="AL41" i="18" s="1"/>
  <c r="X39" i="18"/>
  <c r="X5" i="17"/>
  <c r="X29" i="18"/>
  <c r="X33" i="17"/>
  <c r="X27" i="16"/>
  <c r="X46" i="18"/>
  <c r="X5" i="16"/>
  <c r="X38" i="16"/>
  <c r="X52" i="17"/>
  <c r="X41" i="18"/>
  <c r="X47" i="18"/>
  <c r="X8" i="16"/>
  <c r="X21" i="16"/>
  <c r="X10" i="18"/>
  <c r="X4" i="16"/>
  <c r="X28" i="17"/>
  <c r="X23" i="17"/>
  <c r="X36" i="16"/>
  <c r="X33" i="16"/>
  <c r="X42" i="16"/>
  <c r="X17" i="17"/>
  <c r="X3" i="17"/>
  <c r="X31" i="18"/>
  <c r="X12" i="17"/>
  <c r="X39" i="17"/>
  <c r="X11" i="18"/>
  <c r="X48" i="18"/>
  <c r="X38" i="18"/>
  <c r="X13" i="17"/>
  <c r="X24" i="18"/>
  <c r="X46" i="16"/>
  <c r="X13" i="18"/>
  <c r="X19" i="16"/>
  <c r="X47" i="16"/>
  <c r="X9" i="17"/>
  <c r="X45" i="17"/>
  <c r="X30" i="18"/>
  <c r="X12" i="18"/>
  <c r="X21" i="17"/>
  <c r="AF31" i="16"/>
  <c r="AJ31" i="16" s="1"/>
  <c r="AF43" i="16"/>
  <c r="AJ43" i="16" s="1"/>
  <c r="AF41" i="16"/>
  <c r="AJ41" i="16" s="1"/>
  <c r="AF30" i="16"/>
  <c r="AJ30" i="16" s="1"/>
  <c r="AF46" i="16"/>
  <c r="AJ46" i="16" s="1"/>
  <c r="AF5" i="16"/>
  <c r="AJ5" i="16" s="1"/>
  <c r="AF36" i="16"/>
  <c r="AJ36" i="16" s="1"/>
  <c r="AF16" i="16"/>
  <c r="AJ16" i="16" s="1"/>
  <c r="AF9" i="16"/>
  <c r="AJ9" i="16" s="1"/>
  <c r="AF3" i="16"/>
  <c r="AJ3" i="16" s="1"/>
  <c r="AF15" i="16"/>
  <c r="AJ15" i="16" s="1"/>
  <c r="AF20" i="16"/>
  <c r="AJ20" i="16" s="1"/>
  <c r="AF12" i="16"/>
  <c r="AJ12" i="16" s="1"/>
  <c r="AF22" i="16"/>
  <c r="AJ22" i="16" s="1"/>
  <c r="AF42" i="16"/>
  <c r="AJ42" i="16" s="1"/>
  <c r="AF33" i="16"/>
  <c r="AJ33" i="16" s="1"/>
  <c r="AF14" i="16"/>
  <c r="AJ14" i="16" s="1"/>
  <c r="AF47" i="16"/>
  <c r="AJ47" i="16" s="1"/>
  <c r="AF24" i="16"/>
  <c r="AJ24" i="16" s="1"/>
  <c r="AF18" i="16"/>
  <c r="AJ18" i="16" s="1"/>
  <c r="AF23" i="16"/>
  <c r="AJ23" i="16" s="1"/>
  <c r="AF27" i="16"/>
  <c r="AJ27" i="16" s="1"/>
  <c r="AF39" i="16"/>
  <c r="AJ39" i="16" s="1"/>
  <c r="AF34" i="16"/>
  <c r="AJ34" i="16" s="1"/>
  <c r="AF32" i="16"/>
  <c r="AJ32" i="16" s="1"/>
  <c r="AF38" i="16"/>
  <c r="AJ38" i="16" s="1"/>
  <c r="AF17" i="16"/>
  <c r="AJ17" i="16" s="1"/>
  <c r="AF45" i="16"/>
  <c r="AJ45" i="16" s="1"/>
  <c r="AF2" i="16"/>
  <c r="AF29" i="16"/>
  <c r="AJ29" i="16" s="1"/>
  <c r="AF10" i="16"/>
  <c r="AJ10" i="16" s="1"/>
  <c r="AF37" i="16"/>
  <c r="AJ37" i="16" s="1"/>
  <c r="AF25" i="16"/>
  <c r="AJ25" i="16" s="1"/>
  <c r="AF28" i="16"/>
  <c r="AJ28" i="16" s="1"/>
  <c r="AF13" i="16"/>
  <c r="AJ13" i="16" s="1"/>
  <c r="AF6" i="16"/>
  <c r="AJ6" i="16" s="1"/>
  <c r="AF26" i="16"/>
  <c r="AJ26" i="16" s="1"/>
  <c r="AF44" i="16"/>
  <c r="AJ44" i="16" s="1"/>
  <c r="AF35" i="16"/>
  <c r="AJ35" i="16" s="1"/>
  <c r="AF40" i="16"/>
  <c r="AJ40" i="16" s="1"/>
  <c r="AF11" i="16"/>
  <c r="AJ11" i="16" s="1"/>
  <c r="AF8" i="16"/>
  <c r="AJ8" i="16" s="1"/>
  <c r="AF4" i="16"/>
  <c r="AJ4" i="16" s="1"/>
  <c r="AF7" i="16"/>
  <c r="AJ7" i="16" s="1"/>
  <c r="AF21" i="16"/>
  <c r="AJ21" i="16" s="1"/>
  <c r="AF19" i="16"/>
  <c r="AJ19" i="16" s="1"/>
  <c r="X19" i="18"/>
  <c r="X53" i="17"/>
  <c r="X34" i="17"/>
  <c r="X59" i="17"/>
  <c r="X22" i="18"/>
  <c r="X9" i="16"/>
  <c r="X45" i="18"/>
  <c r="X28" i="16"/>
  <c r="X13" i="16"/>
  <c r="X63" i="17"/>
  <c r="X16" i="18"/>
  <c r="X34" i="16"/>
  <c r="X30" i="16"/>
  <c r="X40" i="16"/>
  <c r="X25" i="17"/>
  <c r="X24" i="16"/>
  <c r="X7" i="17"/>
  <c r="X58" i="17"/>
  <c r="X4" i="17"/>
  <c r="X8" i="18"/>
  <c r="X15" i="18"/>
  <c r="X6" i="18"/>
  <c r="X4" i="18"/>
  <c r="X36" i="18"/>
  <c r="AF5" i="17"/>
  <c r="AK5" i="17" s="1"/>
  <c r="AF73" i="17"/>
  <c r="AK73" i="17" s="1"/>
  <c r="AF39" i="17"/>
  <c r="AK39" i="17" s="1"/>
  <c r="AF89" i="17"/>
  <c r="AK89" i="17" s="1"/>
  <c r="AF48" i="17"/>
  <c r="AK48" i="17" s="1"/>
  <c r="AF46" i="17"/>
  <c r="AK46" i="17" s="1"/>
  <c r="AF24" i="17"/>
  <c r="AK24" i="17" s="1"/>
  <c r="AF78" i="17"/>
  <c r="AK78" i="17" s="1"/>
  <c r="AF76" i="17"/>
  <c r="AK76" i="17" s="1"/>
  <c r="AF49" i="17"/>
  <c r="AK49" i="17" s="1"/>
  <c r="AF16" i="17"/>
  <c r="AK16" i="17" s="1"/>
  <c r="AF22" i="17"/>
  <c r="AK22" i="17" s="1"/>
  <c r="AF83" i="17"/>
  <c r="AK83" i="17" s="1"/>
  <c r="AF88" i="17"/>
  <c r="AK88" i="17" s="1"/>
  <c r="AF2" i="17"/>
  <c r="AF72" i="17"/>
  <c r="AK72" i="17" s="1"/>
  <c r="AF77" i="17"/>
  <c r="AK77" i="17" s="1"/>
  <c r="AF56" i="17"/>
  <c r="AK56" i="17" s="1"/>
  <c r="AF74" i="17"/>
  <c r="AK74" i="17" s="1"/>
  <c r="AF25" i="17"/>
  <c r="AK25" i="17" s="1"/>
  <c r="AF50" i="17"/>
  <c r="AK50" i="17" s="1"/>
  <c r="AF41" i="17"/>
  <c r="AK41" i="17" s="1"/>
  <c r="AF13" i="17"/>
  <c r="AK13" i="17" s="1"/>
  <c r="AF63" i="17"/>
  <c r="AK63" i="17" s="1"/>
  <c r="AF85" i="17"/>
  <c r="AK85" i="17" s="1"/>
  <c r="AF53" i="17"/>
  <c r="AK53" i="17" s="1"/>
  <c r="AF59" i="17"/>
  <c r="AK59" i="17" s="1"/>
  <c r="AF66" i="17"/>
  <c r="AK66" i="17" s="1"/>
  <c r="AF71" i="17"/>
  <c r="AK71" i="17" s="1"/>
  <c r="AF86" i="17"/>
  <c r="AK86" i="17" s="1"/>
  <c r="AF7" i="17"/>
  <c r="AK7" i="17" s="1"/>
  <c r="AF68" i="17"/>
  <c r="AK68" i="17" s="1"/>
  <c r="AF65" i="17"/>
  <c r="AK65" i="17" s="1"/>
  <c r="AF80" i="17"/>
  <c r="AK80" i="17" s="1"/>
  <c r="AF31" i="17"/>
  <c r="AK31" i="17" s="1"/>
  <c r="AF70" i="17"/>
  <c r="AK70" i="17" s="1"/>
  <c r="AF42" i="17"/>
  <c r="AK42" i="17" s="1"/>
  <c r="AF15" i="17"/>
  <c r="AK15" i="17" s="1"/>
  <c r="AF21" i="17"/>
  <c r="AK21" i="17" s="1"/>
  <c r="AF55" i="17"/>
  <c r="AK55" i="17" s="1"/>
  <c r="AF75" i="17"/>
  <c r="AK75" i="17" s="1"/>
  <c r="AF12" i="17"/>
  <c r="AK12" i="17" s="1"/>
  <c r="AF38" i="17"/>
  <c r="AK38" i="17" s="1"/>
  <c r="AF11" i="17"/>
  <c r="AK11" i="17" s="1"/>
  <c r="AF44" i="17"/>
  <c r="AK44" i="17" s="1"/>
  <c r="AF33" i="17"/>
  <c r="AK33" i="17" s="1"/>
  <c r="AF10" i="17"/>
  <c r="AK10" i="17" s="1"/>
  <c r="AF67" i="17"/>
  <c r="AK67" i="17" s="1"/>
  <c r="AF45" i="17"/>
  <c r="AK45" i="17" s="1"/>
  <c r="AF87" i="17"/>
  <c r="AK87" i="17" s="1"/>
  <c r="AF4" i="17"/>
  <c r="AK4" i="17" s="1"/>
  <c r="AF14" i="17"/>
  <c r="AK14" i="17" s="1"/>
  <c r="AF64" i="17"/>
  <c r="AK64" i="17" s="1"/>
  <c r="AF27" i="17"/>
  <c r="AK27" i="17" s="1"/>
  <c r="AF8" i="17"/>
  <c r="AK8" i="17" s="1"/>
  <c r="AF40" i="17"/>
  <c r="AK40" i="17" s="1"/>
  <c r="AF23" i="17"/>
  <c r="AK23" i="17" s="1"/>
  <c r="AF79" i="17"/>
  <c r="AK79" i="17" s="1"/>
  <c r="AF52" i="17"/>
  <c r="AK52" i="17" s="1"/>
  <c r="AF29" i="17"/>
  <c r="AK29" i="17" s="1"/>
  <c r="AF35" i="17"/>
  <c r="AK35" i="17" s="1"/>
  <c r="AF81" i="17"/>
  <c r="AK81" i="17" s="1"/>
  <c r="AF37" i="17"/>
  <c r="AK37" i="17" s="1"/>
  <c r="AF82" i="17"/>
  <c r="AK82" i="17" s="1"/>
  <c r="AF19" i="17"/>
  <c r="AK19" i="17" s="1"/>
  <c r="AF18" i="17"/>
  <c r="AK18" i="17" s="1"/>
  <c r="AF43" i="17"/>
  <c r="AK43" i="17" s="1"/>
  <c r="AF3" i="17"/>
  <c r="AK3" i="17" s="1"/>
  <c r="AF58" i="17"/>
  <c r="AK58" i="17" s="1"/>
  <c r="AF36" i="17"/>
  <c r="AK36" i="17" s="1"/>
  <c r="AF34" i="17"/>
  <c r="AK34" i="17" s="1"/>
  <c r="AF54" i="17"/>
  <c r="AK54" i="17" s="1"/>
  <c r="AF51" i="17"/>
  <c r="AK51" i="17" s="1"/>
  <c r="AF69" i="17"/>
  <c r="AK69" i="17" s="1"/>
  <c r="AF60" i="17"/>
  <c r="AK60" i="17" s="1"/>
  <c r="AF62" i="17"/>
  <c r="AK62" i="17" s="1"/>
  <c r="AF61" i="17"/>
  <c r="AK61" i="17" s="1"/>
  <c r="AF26" i="17"/>
  <c r="AK26" i="17" s="1"/>
  <c r="AF32" i="17"/>
  <c r="AK32" i="17" s="1"/>
  <c r="AF6" i="17"/>
  <c r="AK6" i="17" s="1"/>
  <c r="AF84" i="17"/>
  <c r="AK84" i="17" s="1"/>
  <c r="AF47" i="17"/>
  <c r="AK47" i="17" s="1"/>
  <c r="AF17" i="17"/>
  <c r="AK17" i="17" s="1"/>
  <c r="AF20" i="17"/>
  <c r="AK20" i="17" s="1"/>
  <c r="AF30" i="17"/>
  <c r="AK30" i="17" s="1"/>
  <c r="AF57" i="17"/>
  <c r="AK57" i="17" s="1"/>
  <c r="AF28" i="17"/>
  <c r="AK28" i="17" s="1"/>
  <c r="AF9" i="17"/>
  <c r="AK9" i="17" s="1"/>
  <c r="H10" i="15"/>
  <c r="X14" i="16"/>
  <c r="X43" i="16"/>
  <c r="X65" i="17"/>
  <c r="X32" i="18"/>
  <c r="H9" i="15"/>
  <c r="X20" i="17"/>
  <c r="X44" i="18"/>
  <c r="X16" i="16"/>
  <c r="X22" i="16"/>
  <c r="X31" i="16"/>
  <c r="X49" i="17"/>
  <c r="X56" i="17"/>
  <c r="X18" i="18"/>
  <c r="X15" i="17"/>
  <c r="X37" i="16"/>
  <c r="X46" i="17"/>
  <c r="AG31" i="16"/>
  <c r="AL31" i="16" s="1"/>
  <c r="AG33" i="16"/>
  <c r="AL33" i="16" s="1"/>
  <c r="AG27" i="16"/>
  <c r="AL27" i="16" s="1"/>
  <c r="AG3" i="16"/>
  <c r="AL3" i="16" s="1"/>
  <c r="AG47" i="16"/>
  <c r="AL47" i="16" s="1"/>
  <c r="AG18" i="16"/>
  <c r="AL18" i="16" s="1"/>
  <c r="AG43" i="16"/>
  <c r="AL43" i="16" s="1"/>
  <c r="AG8" i="16"/>
  <c r="AL8" i="16" s="1"/>
  <c r="AG36" i="16"/>
  <c r="AL36" i="16" s="1"/>
  <c r="AG21" i="16"/>
  <c r="AL21" i="16" s="1"/>
  <c r="AG39" i="16"/>
  <c r="AL39" i="16" s="1"/>
  <c r="AG17" i="16"/>
  <c r="AL17" i="16" s="1"/>
  <c r="AG14" i="16"/>
  <c r="AL14" i="16" s="1"/>
  <c r="AG29" i="16"/>
  <c r="AL29" i="16" s="1"/>
  <c r="AG30" i="16"/>
  <c r="AL30" i="16" s="1"/>
  <c r="AG20" i="16"/>
  <c r="AL20" i="16" s="1"/>
  <c r="AG37" i="16"/>
  <c r="AL37" i="16" s="1"/>
  <c r="AG26" i="16"/>
  <c r="AL26" i="16" s="1"/>
  <c r="AG34" i="16"/>
  <c r="AL34" i="16" s="1"/>
  <c r="AG23" i="16"/>
  <c r="AL23" i="16" s="1"/>
  <c r="AG4" i="16"/>
  <c r="AL4" i="16" s="1"/>
  <c r="AG16" i="16"/>
  <c r="AL16" i="16" s="1"/>
  <c r="AG40" i="16"/>
  <c r="AL40" i="16" s="1"/>
  <c r="AG45" i="16"/>
  <c r="AL45" i="16" s="1"/>
  <c r="AG15" i="16"/>
  <c r="AL15" i="16" s="1"/>
  <c r="AG19" i="16"/>
  <c r="AL19" i="16" s="1"/>
  <c r="AG13" i="16"/>
  <c r="AL13" i="16" s="1"/>
  <c r="AG12" i="16"/>
  <c r="AL12" i="16" s="1"/>
  <c r="AG2" i="16"/>
  <c r="AG25" i="16"/>
  <c r="AL25" i="16" s="1"/>
  <c r="AG10" i="16"/>
  <c r="AL10" i="16" s="1"/>
  <c r="AG7" i="16"/>
  <c r="AL7" i="16" s="1"/>
  <c r="AG22" i="16"/>
  <c r="AL22" i="16" s="1"/>
  <c r="AG35" i="16"/>
  <c r="AL35" i="16" s="1"/>
  <c r="AG32" i="16"/>
  <c r="AL32" i="16" s="1"/>
  <c r="AG6" i="16"/>
  <c r="AL6" i="16" s="1"/>
  <c r="AG28" i="16"/>
  <c r="AL28" i="16" s="1"/>
  <c r="AG46" i="16"/>
  <c r="AL46" i="16" s="1"/>
  <c r="AG24" i="16"/>
  <c r="AL24" i="16" s="1"/>
  <c r="AG44" i="16"/>
  <c r="AL44" i="16" s="1"/>
  <c r="AG42" i="16"/>
  <c r="AL42" i="16" s="1"/>
  <c r="AG11" i="16"/>
  <c r="AL11" i="16" s="1"/>
  <c r="AG9" i="16"/>
  <c r="AL9" i="16" s="1"/>
  <c r="AG41" i="16"/>
  <c r="AL41" i="16" s="1"/>
  <c r="AG38" i="16"/>
  <c r="AL38" i="16" s="1"/>
  <c r="AG5" i="16"/>
  <c r="AL5" i="16" s="1"/>
  <c r="X10" i="16"/>
  <c r="X11" i="16"/>
  <c r="X15" i="16"/>
  <c r="X27" i="17"/>
  <c r="X25" i="18"/>
  <c r="X14" i="18"/>
  <c r="X43" i="18"/>
  <c r="X3" i="18"/>
  <c r="X10" i="17"/>
  <c r="X48" i="17"/>
  <c r="X21" i="18"/>
  <c r="X19" i="17"/>
  <c r="X29" i="17"/>
  <c r="X42" i="18"/>
  <c r="X43" i="17"/>
  <c r="X22" i="17"/>
  <c r="X54" i="17"/>
  <c r="J5" i="14"/>
  <c r="X18" i="17"/>
  <c r="X3" i="16"/>
  <c r="X35" i="17"/>
  <c r="X7" i="16"/>
  <c r="X60" i="17"/>
  <c r="X41" i="16"/>
  <c r="H8" i="15"/>
  <c r="X50" i="17"/>
  <c r="X50" i="18"/>
  <c r="X7" i="18"/>
  <c r="X30" i="17"/>
  <c r="X26" i="16"/>
  <c r="X29" i="16"/>
  <c r="X24" i="17"/>
  <c r="X44" i="17"/>
  <c r="X20" i="18"/>
  <c r="X37" i="17"/>
  <c r="X38" i="17"/>
  <c r="H7" i="15"/>
  <c r="X17" i="18"/>
  <c r="X40" i="18"/>
  <c r="X11" i="17"/>
  <c r="X55" i="17"/>
  <c r="X20" i="16"/>
  <c r="X40" i="17"/>
  <c r="X35" i="18"/>
  <c r="X5" i="18"/>
  <c r="X17" i="16"/>
  <c r="X64" i="17"/>
  <c r="X6" i="17"/>
  <c r="X26" i="18"/>
  <c r="X18" i="16"/>
  <c r="X32" i="17"/>
  <c r="X44" i="16"/>
  <c r="X33" i="18"/>
  <c r="X62" i="17"/>
  <c r="X51" i="18"/>
  <c r="X51" i="17"/>
  <c r="X8" i="17"/>
  <c r="X41" i="17"/>
  <c r="X37" i="18"/>
  <c r="X39" i="16"/>
  <c r="X45" i="16"/>
  <c r="X35" i="16"/>
  <c r="X6" i="16"/>
  <c r="X57" i="17"/>
  <c r="X14" i="17"/>
  <c r="X34" i="18"/>
  <c r="X25" i="16"/>
  <c r="X36" i="17"/>
  <c r="X23" i="18"/>
  <c r="X23" i="16"/>
  <c r="X26" i="17"/>
  <c r="X16" i="17"/>
  <c r="X12" i="16"/>
  <c r="X32" i="16"/>
  <c r="X28" i="18"/>
  <c r="X31" i="17"/>
  <c r="X47" i="17"/>
  <c r="X49" i="18"/>
  <c r="X61" i="17"/>
  <c r="F17" i="15"/>
  <c r="F13" i="15"/>
  <c r="D54" i="1"/>
  <c r="J8" i="15"/>
  <c r="J17" i="15"/>
  <c r="J13" i="15"/>
  <c r="D69" i="1"/>
  <c r="D84" i="1"/>
  <c r="F9" i="15"/>
  <c r="Q5" i="14"/>
  <c r="P5" i="14"/>
  <c r="K5" i="14"/>
  <c r="L5" i="14"/>
  <c r="T3" i="14" a="1"/>
  <c r="F16" i="15"/>
  <c r="F12" i="15"/>
  <c r="J7" i="15"/>
  <c r="J16" i="15"/>
  <c r="J12" i="15"/>
  <c r="F15" i="15"/>
  <c r="J9" i="15"/>
  <c r="F14" i="15"/>
  <c r="D68" i="1"/>
  <c r="J15" i="15"/>
  <c r="J11" i="15"/>
  <c r="J14" i="15"/>
  <c r="I84" i="1"/>
  <c r="J10" i="15"/>
  <c r="N8" i="15" l="1"/>
  <c r="K10" i="15"/>
  <c r="O8" i="15" s="1"/>
  <c r="N12" i="15"/>
  <c r="K14" i="15"/>
  <c r="O12" i="15" s="1"/>
  <c r="K11" i="15"/>
  <c r="O9" i="15" s="1"/>
  <c r="N9" i="15"/>
  <c r="N13" i="15"/>
  <c r="K15" i="15"/>
  <c r="O13" i="15" s="1"/>
  <c r="N7" i="15"/>
  <c r="K9" i="15"/>
  <c r="O7" i="15" s="1"/>
  <c r="N10" i="15"/>
  <c r="K12" i="15"/>
  <c r="O10" i="15" s="1"/>
  <c r="K16" i="15"/>
  <c r="O14" i="15" s="1"/>
  <c r="N14" i="15"/>
  <c r="N5" i="15"/>
  <c r="K7" i="15"/>
  <c r="O5" i="15" s="1"/>
  <c r="T45" i="14"/>
  <c r="T57" i="14"/>
  <c r="T25" i="14"/>
  <c r="T47" i="14"/>
  <c r="T13" i="14"/>
  <c r="T7" i="14"/>
  <c r="T46" i="14"/>
  <c r="T58" i="14"/>
  <c r="T19" i="14"/>
  <c r="T28" i="14"/>
  <c r="T6" i="14"/>
  <c r="T37" i="14"/>
  <c r="T43" i="14"/>
  <c r="T61" i="14"/>
  <c r="T23" i="14"/>
  <c r="T31" i="14"/>
  <c r="T18" i="14"/>
  <c r="T24" i="14"/>
  <c r="T39" i="14"/>
  <c r="T14" i="14"/>
  <c r="T34" i="14"/>
  <c r="T11" i="14"/>
  <c r="T5" i="14"/>
  <c r="T4" i="14"/>
  <c r="T51" i="14"/>
  <c r="T16" i="14"/>
  <c r="T29" i="14"/>
  <c r="T54" i="14"/>
  <c r="T33" i="14"/>
  <c r="T9" i="14"/>
  <c r="T15" i="14"/>
  <c r="T32" i="14"/>
  <c r="T59" i="14"/>
  <c r="T10" i="14"/>
  <c r="T50" i="14"/>
  <c r="T60" i="14"/>
  <c r="T55" i="14"/>
  <c r="T36" i="14"/>
  <c r="T42" i="14"/>
  <c r="T41" i="14"/>
  <c r="T38" i="14"/>
  <c r="T48" i="14"/>
  <c r="T3" i="14"/>
  <c r="T17" i="14"/>
  <c r="T44" i="14"/>
  <c r="T26" i="14"/>
  <c r="T8" i="14"/>
  <c r="T49" i="14"/>
  <c r="T27" i="14"/>
  <c r="T62" i="14"/>
  <c r="T21" i="14"/>
  <c r="T52" i="14"/>
  <c r="T56" i="14"/>
  <c r="T35" i="14"/>
  <c r="T40" i="14"/>
  <c r="T20" i="14"/>
  <c r="T30" i="14"/>
  <c r="T22" i="14"/>
  <c r="T12" i="14"/>
  <c r="T53" i="14"/>
  <c r="K13" i="15"/>
  <c r="O11" i="15" s="1"/>
  <c r="N11" i="15"/>
  <c r="K17" i="15"/>
  <c r="O15" i="15" s="1"/>
  <c r="N15" i="15"/>
  <c r="K8" i="15"/>
  <c r="O6" i="15" s="1"/>
  <c r="N6" i="15"/>
  <c r="Q8" i="15"/>
  <c r="U8" i="15"/>
  <c r="P8" i="15"/>
  <c r="V8" i="15"/>
  <c r="Q7" i="15"/>
  <c r="P7" i="15"/>
  <c r="U7" i="15"/>
  <c r="V7" i="15"/>
  <c r="X45" i="14"/>
  <c r="V45" i="14"/>
  <c r="W45" i="14"/>
  <c r="Y45" i="14"/>
  <c r="U45" i="14"/>
  <c r="V19" i="14"/>
  <c r="X19" i="14"/>
  <c r="W19" i="14"/>
  <c r="U19" i="14"/>
  <c r="Y19" i="14"/>
  <c r="X18" i="14"/>
  <c r="Y18" i="14"/>
  <c r="W18" i="14"/>
  <c r="V18" i="14"/>
  <c r="U18" i="14"/>
  <c r="V51" i="14"/>
  <c r="Y51" i="14"/>
  <c r="W51" i="14"/>
  <c r="X51" i="14"/>
  <c r="U51" i="14"/>
  <c r="U59" i="14"/>
  <c r="X59" i="14"/>
  <c r="V59" i="14"/>
  <c r="Y59" i="14"/>
  <c r="W59" i="14"/>
  <c r="Y38" i="14"/>
  <c r="W38" i="14"/>
  <c r="V38" i="14"/>
  <c r="X38" i="14"/>
  <c r="U38" i="14"/>
  <c r="U27" i="14"/>
  <c r="X27" i="14"/>
  <c r="Y27" i="14"/>
  <c r="V27" i="14"/>
  <c r="W27" i="14"/>
  <c r="Y30" i="14"/>
  <c r="X30" i="14"/>
  <c r="U30" i="14"/>
  <c r="W30" i="14"/>
  <c r="V30" i="14"/>
  <c r="X57" i="14"/>
  <c r="W57" i="14"/>
  <c r="Y57" i="14"/>
  <c r="V57" i="14"/>
  <c r="U57" i="14"/>
  <c r="X28" i="14"/>
  <c r="Y28" i="14"/>
  <c r="V28" i="14"/>
  <c r="W28" i="14"/>
  <c r="U28" i="14"/>
  <c r="V24" i="14"/>
  <c r="U24" i="14"/>
  <c r="W24" i="14"/>
  <c r="Y24" i="14"/>
  <c r="X24" i="14"/>
  <c r="V16" i="14"/>
  <c r="U16" i="14"/>
  <c r="W16" i="14"/>
  <c r="Y16" i="14"/>
  <c r="X16" i="14"/>
  <c r="X10" i="14"/>
  <c r="V10" i="14"/>
  <c r="U10" i="14"/>
  <c r="W10" i="14"/>
  <c r="Y10" i="14"/>
  <c r="Y48" i="14"/>
  <c r="U48" i="14"/>
  <c r="V48" i="14"/>
  <c r="W48" i="14"/>
  <c r="X48" i="14"/>
  <c r="X62" i="14"/>
  <c r="Y62" i="14"/>
  <c r="U62" i="14"/>
  <c r="V62" i="14"/>
  <c r="W62" i="14"/>
  <c r="U22" i="14"/>
  <c r="Y22" i="14"/>
  <c r="W22" i="14"/>
  <c r="X22" i="14"/>
  <c r="V22" i="14"/>
  <c r="V6" i="15"/>
  <c r="Q6" i="15"/>
  <c r="U6" i="15"/>
  <c r="P6" i="15"/>
  <c r="V12" i="15"/>
  <c r="U12" i="15"/>
  <c r="Q12" i="15"/>
  <c r="P12" i="15"/>
  <c r="Q10" i="15"/>
  <c r="U10" i="15"/>
  <c r="V10" i="15"/>
  <c r="P10" i="15"/>
  <c r="U25" i="14"/>
  <c r="X25" i="14"/>
  <c r="W25" i="14"/>
  <c r="Y25" i="14"/>
  <c r="V25" i="14"/>
  <c r="Y6" i="14"/>
  <c r="X6" i="14"/>
  <c r="V6" i="14"/>
  <c r="U6" i="14"/>
  <c r="W6" i="14"/>
  <c r="X39" i="14"/>
  <c r="Y39" i="14"/>
  <c r="V39" i="14"/>
  <c r="W39" i="14"/>
  <c r="U39" i="14"/>
  <c r="W29" i="14"/>
  <c r="U29" i="14"/>
  <c r="V29" i="14"/>
  <c r="Y29" i="14"/>
  <c r="X29" i="14"/>
  <c r="Y50" i="14"/>
  <c r="U50" i="14"/>
  <c r="V50" i="14"/>
  <c r="X50" i="14"/>
  <c r="W50" i="14"/>
  <c r="X3" i="14"/>
  <c r="V3" i="14"/>
  <c r="W3" i="14"/>
  <c r="Y3" i="14"/>
  <c r="U3" i="14"/>
  <c r="W21" i="14"/>
  <c r="V21" i="14"/>
  <c r="Y21" i="14"/>
  <c r="X21" i="14"/>
  <c r="U21" i="14"/>
  <c r="W12" i="14"/>
  <c r="X12" i="14"/>
  <c r="U12" i="14"/>
  <c r="V12" i="14"/>
  <c r="Y12" i="14"/>
  <c r="U47" i="14"/>
  <c r="Y47" i="14"/>
  <c r="W47" i="14"/>
  <c r="V47" i="14"/>
  <c r="X47" i="14"/>
  <c r="X37" i="14"/>
  <c r="U37" i="14"/>
  <c r="Y37" i="14"/>
  <c r="W37" i="14"/>
  <c r="V37" i="14"/>
  <c r="V14" i="14"/>
  <c r="X14" i="14"/>
  <c r="U14" i="14"/>
  <c r="Y14" i="14"/>
  <c r="W14" i="14"/>
  <c r="W54" i="14"/>
  <c r="V54" i="14"/>
  <c r="Y54" i="14"/>
  <c r="U54" i="14"/>
  <c r="X54" i="14"/>
  <c r="Y60" i="14"/>
  <c r="U60" i="14"/>
  <c r="W60" i="14"/>
  <c r="X60" i="14"/>
  <c r="V60" i="14"/>
  <c r="W17" i="14"/>
  <c r="V17" i="14"/>
  <c r="U17" i="14"/>
  <c r="Y17" i="14"/>
  <c r="X17" i="14"/>
  <c r="X52" i="14"/>
  <c r="V52" i="14"/>
  <c r="W52" i="14"/>
  <c r="U52" i="14"/>
  <c r="Y52" i="14"/>
  <c r="V53" i="14"/>
  <c r="X53" i="14"/>
  <c r="Y53" i="14"/>
  <c r="W53" i="14"/>
  <c r="U53" i="14"/>
  <c r="Y13" i="14"/>
  <c r="U13" i="14"/>
  <c r="W13" i="14"/>
  <c r="V13" i="14"/>
  <c r="X13" i="14"/>
  <c r="Y43" i="14"/>
  <c r="X43" i="14"/>
  <c r="W43" i="14"/>
  <c r="U43" i="14"/>
  <c r="V43" i="14"/>
  <c r="U34" i="14"/>
  <c r="X34" i="14"/>
  <c r="V34" i="14"/>
  <c r="Y34" i="14"/>
  <c r="W34" i="14"/>
  <c r="V33" i="14"/>
  <c r="Y33" i="14"/>
  <c r="U33" i="14"/>
  <c r="W33" i="14"/>
  <c r="X33" i="14"/>
  <c r="Y55" i="14"/>
  <c r="W55" i="14"/>
  <c r="V55" i="14"/>
  <c r="U55" i="14"/>
  <c r="X55" i="14"/>
  <c r="V44" i="14"/>
  <c r="Y44" i="14"/>
  <c r="U44" i="14"/>
  <c r="X44" i="14"/>
  <c r="W44" i="14"/>
  <c r="Y56" i="14"/>
  <c r="W56" i="14"/>
  <c r="U56" i="14"/>
  <c r="V56" i="14"/>
  <c r="X56" i="14"/>
  <c r="U9" i="15"/>
  <c r="Q9" i="15"/>
  <c r="V9" i="15"/>
  <c r="P9" i="15"/>
  <c r="V14" i="15"/>
  <c r="U14" i="15"/>
  <c r="P14" i="15"/>
  <c r="Q14" i="15"/>
  <c r="X7" i="14"/>
  <c r="V7" i="14"/>
  <c r="Y7" i="14"/>
  <c r="W7" i="14"/>
  <c r="U7" i="14"/>
  <c r="U61" i="14"/>
  <c r="Y61" i="14"/>
  <c r="X61" i="14"/>
  <c r="W61" i="14"/>
  <c r="V61" i="14"/>
  <c r="W11" i="14"/>
  <c r="Y11" i="14"/>
  <c r="V11" i="14"/>
  <c r="X11" i="14"/>
  <c r="U11" i="14"/>
  <c r="Y9" i="14"/>
  <c r="V9" i="14"/>
  <c r="W9" i="14"/>
  <c r="X9" i="14"/>
  <c r="U9" i="14"/>
  <c r="V36" i="14"/>
  <c r="X36" i="14"/>
  <c r="U36" i="14"/>
  <c r="Y36" i="14"/>
  <c r="W36" i="14"/>
  <c r="X26" i="14"/>
  <c r="U26" i="14"/>
  <c r="Y26" i="14"/>
  <c r="W26" i="14"/>
  <c r="V26" i="14"/>
  <c r="X35" i="14"/>
  <c r="Y35" i="14"/>
  <c r="V35" i="14"/>
  <c r="U35" i="14"/>
  <c r="W35" i="14"/>
  <c r="V11" i="15"/>
  <c r="Q11" i="15"/>
  <c r="U11" i="15"/>
  <c r="P11" i="15"/>
  <c r="U13" i="15"/>
  <c r="V13" i="15"/>
  <c r="P13" i="15"/>
  <c r="Q13" i="15"/>
  <c r="V5" i="15"/>
  <c r="U5" i="15"/>
  <c r="Y3" i="15" a="1"/>
  <c r="P5" i="15"/>
  <c r="Q5" i="15"/>
  <c r="V46" i="14"/>
  <c r="Y46" i="14"/>
  <c r="X46" i="14"/>
  <c r="W46" i="14"/>
  <c r="U46" i="14"/>
  <c r="V23" i="14"/>
  <c r="X23" i="14"/>
  <c r="U23" i="14"/>
  <c r="W23" i="14"/>
  <c r="Y23" i="14"/>
  <c r="V5" i="14"/>
  <c r="W5" i="14"/>
  <c r="X5" i="14"/>
  <c r="Y5" i="14"/>
  <c r="U5" i="14"/>
  <c r="W15" i="14"/>
  <c r="X15" i="14"/>
  <c r="V15" i="14"/>
  <c r="U15" i="14"/>
  <c r="Y15" i="14"/>
  <c r="X42" i="14"/>
  <c r="V42" i="14"/>
  <c r="Y42" i="14"/>
  <c r="W42" i="14"/>
  <c r="U42" i="14"/>
  <c r="U8" i="14"/>
  <c r="Y8" i="14"/>
  <c r="X8" i="14"/>
  <c r="W8" i="14"/>
  <c r="V8" i="14"/>
  <c r="W40" i="14"/>
  <c r="X40" i="14"/>
  <c r="U40" i="14"/>
  <c r="V40" i="14"/>
  <c r="Y40" i="14"/>
  <c r="Z3" i="15" a="1"/>
  <c r="Y58" i="14"/>
  <c r="X58" i="14"/>
  <c r="V58" i="14"/>
  <c r="W58" i="14"/>
  <c r="U58" i="14"/>
  <c r="V31" i="14"/>
  <c r="X31" i="14"/>
  <c r="W31" i="14"/>
  <c r="U31" i="14"/>
  <c r="Y31" i="14"/>
  <c r="W4" i="14"/>
  <c r="Y4" i="14"/>
  <c r="X4" i="14"/>
  <c r="U4" i="14"/>
  <c r="V4" i="14"/>
  <c r="U32" i="14"/>
  <c r="W32" i="14"/>
  <c r="Y32" i="14"/>
  <c r="X32" i="14"/>
  <c r="V32" i="14"/>
  <c r="Y41" i="14"/>
  <c r="W41" i="14"/>
  <c r="V41" i="14"/>
  <c r="X41" i="14"/>
  <c r="U41" i="14"/>
  <c r="X49" i="14"/>
  <c r="U49" i="14"/>
  <c r="W49" i="14"/>
  <c r="V49" i="14"/>
  <c r="Y49" i="14"/>
  <c r="Y20" i="14"/>
  <c r="U20" i="14"/>
  <c r="W20" i="14"/>
  <c r="V20" i="14"/>
  <c r="X20" i="14"/>
  <c r="V15" i="15"/>
  <c r="P15" i="15"/>
  <c r="Q15" i="15"/>
  <c r="U15" i="15"/>
  <c r="S20" i="14" l="1"/>
  <c r="S49" i="14"/>
  <c r="S41" i="14"/>
  <c r="S32" i="14"/>
  <c r="S4" i="14"/>
  <c r="S31" i="14"/>
  <c r="S58" i="14"/>
  <c r="Z69" i="15"/>
  <c r="Z48" i="15"/>
  <c r="Z22" i="15"/>
  <c r="Z41" i="15"/>
  <c r="Z78" i="15"/>
  <c r="Z5" i="15"/>
  <c r="Z55" i="15"/>
  <c r="Z12" i="15"/>
  <c r="Z50" i="15"/>
  <c r="Z24" i="15"/>
  <c r="Z32" i="15"/>
  <c r="Z43" i="15"/>
  <c r="Z54" i="15"/>
  <c r="Z83" i="15"/>
  <c r="Z27" i="15"/>
  <c r="Z57" i="15"/>
  <c r="Z4" i="15"/>
  <c r="Z58" i="15"/>
  <c r="Z17" i="15"/>
  <c r="Z75" i="15"/>
  <c r="Z82" i="15"/>
  <c r="Z15" i="15"/>
  <c r="Z63" i="15"/>
  <c r="Z40" i="15"/>
  <c r="Z60" i="15"/>
  <c r="Z59" i="15"/>
  <c r="Z51" i="15"/>
  <c r="Z29" i="15"/>
  <c r="Z7" i="15"/>
  <c r="Z31" i="15"/>
  <c r="Z9" i="15"/>
  <c r="Z90" i="15"/>
  <c r="Z23" i="15"/>
  <c r="Z39" i="15"/>
  <c r="Z53" i="15"/>
  <c r="Z89" i="15"/>
  <c r="Z64" i="15"/>
  <c r="Z68" i="15"/>
  <c r="Z36" i="15"/>
  <c r="Z52" i="15"/>
  <c r="Z26" i="15"/>
  <c r="Z34" i="15"/>
  <c r="Z73" i="15"/>
  <c r="Z3" i="15"/>
  <c r="Z72" i="15"/>
  <c r="Z79" i="15"/>
  <c r="Z6" i="15"/>
  <c r="Z19" i="15"/>
  <c r="Z20" i="15"/>
  <c r="Z44" i="15"/>
  <c r="Z10" i="15"/>
  <c r="Z28" i="15"/>
  <c r="Z66" i="15"/>
  <c r="Z65" i="15"/>
  <c r="Z8" i="15"/>
  <c r="Z74" i="15"/>
  <c r="Z62" i="15"/>
  <c r="Z18" i="15"/>
  <c r="Z42" i="15"/>
  <c r="Z25" i="15"/>
  <c r="Z80" i="15"/>
  <c r="Z16" i="15"/>
  <c r="Z85" i="15"/>
  <c r="Z45" i="15"/>
  <c r="Z56" i="15"/>
  <c r="Z11" i="15"/>
  <c r="Z37" i="15"/>
  <c r="Z87" i="15"/>
  <c r="Z81" i="15"/>
  <c r="Z38" i="15"/>
  <c r="Z30" i="15"/>
  <c r="Z84" i="15"/>
  <c r="Z14" i="15"/>
  <c r="Z47" i="15"/>
  <c r="Z46" i="15"/>
  <c r="Z77" i="15"/>
  <c r="Z86" i="15"/>
  <c r="Z88" i="15"/>
  <c r="Z21" i="15"/>
  <c r="Z33" i="15"/>
  <c r="Z71" i="15"/>
  <c r="Z35" i="15"/>
  <c r="Z67" i="15"/>
  <c r="Z61" i="15"/>
  <c r="Z76" i="15"/>
  <c r="Z70" i="15"/>
  <c r="Z13" i="15"/>
  <c r="Z49" i="15"/>
  <c r="S40" i="14"/>
  <c r="S8" i="14"/>
  <c r="S42" i="14"/>
  <c r="S15" i="14"/>
  <c r="S5" i="14"/>
  <c r="S23" i="14"/>
  <c r="S46" i="14"/>
  <c r="Y42" i="15"/>
  <c r="Y52" i="15"/>
  <c r="Y60" i="15"/>
  <c r="Y50" i="15"/>
  <c r="Y30" i="15"/>
  <c r="Y39" i="15"/>
  <c r="Y8" i="15"/>
  <c r="Y14" i="15"/>
  <c r="Y67" i="15"/>
  <c r="Y34" i="15"/>
  <c r="Y68" i="15"/>
  <c r="Y26" i="15"/>
  <c r="Y69" i="15"/>
  <c r="Y36" i="15"/>
  <c r="Y53" i="15"/>
  <c r="Y75" i="15"/>
  <c r="Y18" i="15"/>
  <c r="Y25" i="15"/>
  <c r="Y28" i="15"/>
  <c r="Y16" i="15"/>
  <c r="Y74" i="15"/>
  <c r="Y12" i="15"/>
  <c r="Y22" i="15"/>
  <c r="Y82" i="15"/>
  <c r="Y77" i="15"/>
  <c r="Y73" i="15"/>
  <c r="Y4" i="15"/>
  <c r="Y51" i="15"/>
  <c r="Y21" i="15"/>
  <c r="Y64" i="15"/>
  <c r="Y35" i="15"/>
  <c r="Y47" i="15"/>
  <c r="Y80" i="15"/>
  <c r="Y46" i="15"/>
  <c r="Y55" i="15"/>
  <c r="Y38" i="15"/>
  <c r="Y70" i="15"/>
  <c r="Y49" i="15"/>
  <c r="Y13" i="15"/>
  <c r="Y58" i="15"/>
  <c r="Y88" i="15"/>
  <c r="Y19" i="15"/>
  <c r="Y54" i="15"/>
  <c r="Y31" i="15"/>
  <c r="Y84" i="15"/>
  <c r="Y62" i="15"/>
  <c r="Y20" i="15"/>
  <c r="Y11" i="15"/>
  <c r="Y72" i="15"/>
  <c r="Y17" i="15"/>
  <c r="Y89" i="15"/>
  <c r="Y87" i="15"/>
  <c r="Y41" i="15"/>
  <c r="Y59" i="15"/>
  <c r="Y79" i="15"/>
  <c r="Y81" i="15"/>
  <c r="Y40" i="15"/>
  <c r="Y5" i="15"/>
  <c r="Y90" i="15"/>
  <c r="Y45" i="15"/>
  <c r="Y33" i="15"/>
  <c r="Y85" i="15"/>
  <c r="Y27" i="15"/>
  <c r="Y63" i="15"/>
  <c r="Y3" i="15"/>
  <c r="Y76" i="15"/>
  <c r="Y10" i="15"/>
  <c r="Y15" i="15"/>
  <c r="Y57" i="15"/>
  <c r="Y61" i="15"/>
  <c r="Y71" i="15"/>
  <c r="Y78" i="15"/>
  <c r="Y6" i="15"/>
  <c r="Y66" i="15"/>
  <c r="Y86" i="15"/>
  <c r="Y9" i="15"/>
  <c r="Y23" i="15"/>
  <c r="Y83" i="15"/>
  <c r="Y48" i="15"/>
  <c r="Y24" i="15"/>
  <c r="Y44" i="15"/>
  <c r="Y32" i="15"/>
  <c r="Y56" i="15"/>
  <c r="Y29" i="15"/>
  <c r="Y65" i="15"/>
  <c r="Y43" i="15"/>
  <c r="Y37" i="15"/>
  <c r="Y7" i="15"/>
  <c r="S35" i="14"/>
  <c r="S26" i="14"/>
  <c r="S36" i="14"/>
  <c r="S9" i="14"/>
  <c r="S11" i="14"/>
  <c r="S61" i="14"/>
  <c r="S7" i="14"/>
  <c r="S56" i="14"/>
  <c r="S44" i="14"/>
  <c r="S55" i="14"/>
  <c r="S33" i="14"/>
  <c r="S34" i="14"/>
  <c r="S43" i="14"/>
  <c r="S13" i="14"/>
  <c r="S53" i="14"/>
  <c r="S52" i="14"/>
  <c r="S17" i="14"/>
  <c r="S60" i="14"/>
  <c r="S54" i="14"/>
  <c r="S14" i="14"/>
  <c r="S37" i="14"/>
  <c r="S47" i="14"/>
  <c r="S12" i="14"/>
  <c r="S21" i="14"/>
  <c r="S3" i="14"/>
  <c r="S50" i="14"/>
  <c r="S29" i="14"/>
  <c r="S39" i="14"/>
  <c r="S6" i="14"/>
  <c r="S25" i="14"/>
  <c r="S22" i="14"/>
  <c r="S62" i="14"/>
  <c r="S48" i="14"/>
  <c r="S10" i="14"/>
  <c r="S16" i="14"/>
  <c r="S24" i="14"/>
  <c r="S28" i="14"/>
  <c r="S57" i="14"/>
  <c r="S30" i="14"/>
  <c r="S27" i="14"/>
  <c r="S38" i="14"/>
  <c r="S59" i="14"/>
  <c r="S51" i="14"/>
  <c r="S18" i="14"/>
  <c r="S19" i="14"/>
  <c r="S45" i="14"/>
  <c r="AD60" i="15"/>
  <c r="AE60" i="15"/>
  <c r="AC60" i="15"/>
  <c r="AA60" i="15"/>
  <c r="AB60" i="15"/>
  <c r="AD68" i="15"/>
  <c r="AA68" i="15"/>
  <c r="AC68" i="15"/>
  <c r="AE68" i="15"/>
  <c r="AB68" i="15"/>
  <c r="AC28" i="15"/>
  <c r="AE28" i="15"/>
  <c r="AD28" i="15"/>
  <c r="AA28" i="15"/>
  <c r="AB28" i="15"/>
  <c r="AB4" i="15"/>
  <c r="AE4" i="15"/>
  <c r="AD4" i="15"/>
  <c r="AA4" i="15"/>
  <c r="AC4" i="15"/>
  <c r="AE55" i="15"/>
  <c r="AD55" i="15"/>
  <c r="AC55" i="15"/>
  <c r="AB55" i="15"/>
  <c r="AA55" i="15"/>
  <c r="AC54" i="15"/>
  <c r="AD54" i="15"/>
  <c r="AE54" i="15"/>
  <c r="AA54" i="15"/>
  <c r="AB54" i="15"/>
  <c r="AC89" i="15"/>
  <c r="AD89" i="15"/>
  <c r="AE89" i="15"/>
  <c r="AA89" i="15"/>
  <c r="AB89" i="15"/>
  <c r="AB90" i="15"/>
  <c r="AD90" i="15"/>
  <c r="AE90" i="15"/>
  <c r="AA90" i="15"/>
  <c r="AC90" i="15"/>
  <c r="AE10" i="15"/>
  <c r="AA10" i="15"/>
  <c r="AC10" i="15"/>
  <c r="AD10" i="15"/>
  <c r="AB10" i="15"/>
  <c r="AA86" i="15"/>
  <c r="AB86" i="15"/>
  <c r="AE86" i="15"/>
  <c r="AC86" i="15"/>
  <c r="AD86" i="15"/>
  <c r="AD56" i="15"/>
  <c r="AA56" i="15"/>
  <c r="AB56" i="15"/>
  <c r="AE56" i="15"/>
  <c r="AC56" i="15"/>
  <c r="AD50" i="15"/>
  <c r="AC50" i="15"/>
  <c r="AB50" i="15"/>
  <c r="AE50" i="15"/>
  <c r="AA50" i="15"/>
  <c r="AA26" i="15"/>
  <c r="AE26" i="15"/>
  <c r="AC26" i="15"/>
  <c r="AB26" i="15"/>
  <c r="AD26" i="15"/>
  <c r="AD16" i="15"/>
  <c r="AE16" i="15"/>
  <c r="AB16" i="15"/>
  <c r="AA16" i="15"/>
  <c r="AC16" i="15"/>
  <c r="AD51" i="15"/>
  <c r="AC51" i="15"/>
  <c r="AB51" i="15"/>
  <c r="AA51" i="15"/>
  <c r="AE51" i="15"/>
  <c r="AA38" i="15"/>
  <c r="AC38" i="15"/>
  <c r="AE38" i="15"/>
  <c r="AD38" i="15"/>
  <c r="AB38" i="15"/>
  <c r="AE31" i="15"/>
  <c r="AD31" i="15"/>
  <c r="AB31" i="15"/>
  <c r="AC31" i="15"/>
  <c r="AA31" i="15"/>
  <c r="AD87" i="15"/>
  <c r="AA87" i="15"/>
  <c r="AC87" i="15"/>
  <c r="AE87" i="15"/>
  <c r="AB87" i="15"/>
  <c r="AC45" i="15"/>
  <c r="AB45" i="15"/>
  <c r="AA45" i="15"/>
  <c r="AD45" i="15"/>
  <c r="AE45" i="15"/>
  <c r="AB15" i="15"/>
  <c r="AE15" i="15"/>
  <c r="AA15" i="15"/>
  <c r="AC15" i="15"/>
  <c r="AD15" i="15"/>
  <c r="AE9" i="15"/>
  <c r="AB9" i="15"/>
  <c r="AD9" i="15"/>
  <c r="AA9" i="15"/>
  <c r="AC9" i="15"/>
  <c r="AB29" i="15"/>
  <c r="AA29" i="15"/>
  <c r="AC29" i="15"/>
  <c r="AD29" i="15"/>
  <c r="AE29" i="15"/>
  <c r="AA30" i="15"/>
  <c r="AD30" i="15"/>
  <c r="AC30" i="15"/>
  <c r="AB30" i="15"/>
  <c r="AE30" i="15"/>
  <c r="AE69" i="15"/>
  <c r="AA69" i="15"/>
  <c r="AD69" i="15"/>
  <c r="AC69" i="15"/>
  <c r="AB69" i="15"/>
  <c r="AA74" i="15"/>
  <c r="AE74" i="15"/>
  <c r="AB74" i="15"/>
  <c r="AD74" i="15"/>
  <c r="AC74" i="15"/>
  <c r="AD21" i="15"/>
  <c r="AE21" i="15"/>
  <c r="AC21" i="15"/>
  <c r="AA21" i="15"/>
  <c r="AB21" i="15"/>
  <c r="AE70" i="15"/>
  <c r="AD70" i="15"/>
  <c r="AA70" i="15"/>
  <c r="AC70" i="15"/>
  <c r="AB70" i="15"/>
  <c r="AE84" i="15"/>
  <c r="AD84" i="15"/>
  <c r="AC84" i="15"/>
  <c r="AB84" i="15"/>
  <c r="AA84" i="15"/>
  <c r="AD41" i="15"/>
  <c r="AB41" i="15"/>
  <c r="AC41" i="15"/>
  <c r="AA41" i="15"/>
  <c r="AE41" i="15"/>
  <c r="AB33" i="15"/>
  <c r="AC33" i="15"/>
  <c r="AA33" i="15"/>
  <c r="AD33" i="15"/>
  <c r="AE33" i="15"/>
  <c r="AA57" i="15"/>
  <c r="AD57" i="15"/>
  <c r="AB57" i="15"/>
  <c r="AE57" i="15"/>
  <c r="AC57" i="15"/>
  <c r="AE23" i="15"/>
  <c r="AD23" i="15"/>
  <c r="AC23" i="15"/>
  <c r="AA23" i="15"/>
  <c r="AB23" i="15"/>
  <c r="AB65" i="15"/>
  <c r="AC65" i="15"/>
  <c r="AA65" i="15"/>
  <c r="AD65" i="15"/>
  <c r="AE65" i="15"/>
  <c r="AD64" i="15"/>
  <c r="AE64" i="15"/>
  <c r="AC64" i="15"/>
  <c r="AB64" i="15"/>
  <c r="AA64" i="15"/>
  <c r="AC82" i="15"/>
  <c r="AB82" i="15"/>
  <c r="AA82" i="15"/>
  <c r="AD82" i="15"/>
  <c r="AE82" i="15"/>
  <c r="AA42" i="15"/>
  <c r="AD42" i="15"/>
  <c r="AE42" i="15"/>
  <c r="AB42" i="15"/>
  <c r="AC42" i="15"/>
  <c r="AB3" i="15"/>
  <c r="AE3" i="15"/>
  <c r="AD3" i="15"/>
  <c r="AC3" i="15"/>
  <c r="AA3" i="15"/>
  <c r="AC52" i="15"/>
  <c r="AD52" i="15"/>
  <c r="AE52" i="15"/>
  <c r="AA52" i="15"/>
  <c r="AB52" i="15"/>
  <c r="AB34" i="15"/>
  <c r="AC34" i="15"/>
  <c r="AA34" i="15"/>
  <c r="AE34" i="15"/>
  <c r="AD34" i="15"/>
  <c r="AD25" i="15"/>
  <c r="AA25" i="15"/>
  <c r="AB25" i="15"/>
  <c r="AE25" i="15"/>
  <c r="AC25" i="15"/>
  <c r="AB46" i="15"/>
  <c r="AD46" i="15"/>
  <c r="AE46" i="15"/>
  <c r="AA46" i="15"/>
  <c r="AC46" i="15"/>
  <c r="AE19" i="15"/>
  <c r="AD19" i="15"/>
  <c r="AA19" i="15"/>
  <c r="AB19" i="15"/>
  <c r="AC19" i="15"/>
  <c r="AB17" i="15"/>
  <c r="AC17" i="15"/>
  <c r="AE17" i="15"/>
  <c r="AD17" i="15"/>
  <c r="AA17" i="15"/>
  <c r="AC76" i="15"/>
  <c r="AE76" i="15"/>
  <c r="AD76" i="15"/>
  <c r="AB76" i="15"/>
  <c r="AA76" i="15"/>
  <c r="AD66" i="15"/>
  <c r="AA66" i="15"/>
  <c r="AE66" i="15"/>
  <c r="AC66" i="15"/>
  <c r="AB66" i="15"/>
  <c r="AC39" i="15"/>
  <c r="AA39" i="15"/>
  <c r="AD39" i="15"/>
  <c r="AE39" i="15"/>
  <c r="AB39" i="15"/>
  <c r="AC36" i="15"/>
  <c r="AE36" i="15"/>
  <c r="AA36" i="15"/>
  <c r="AD36" i="15"/>
  <c r="AB36" i="15"/>
  <c r="AB12" i="15"/>
  <c r="AD12" i="15"/>
  <c r="AC12" i="15"/>
  <c r="AE12" i="15"/>
  <c r="AA12" i="15"/>
  <c r="AD49" i="15"/>
  <c r="AC49" i="15"/>
  <c r="AA49" i="15"/>
  <c r="AB49" i="15"/>
  <c r="AE49" i="15"/>
  <c r="AD62" i="15"/>
  <c r="AC62" i="15"/>
  <c r="AB62" i="15"/>
  <c r="AE62" i="15"/>
  <c r="AA62" i="15"/>
  <c r="AC59" i="15"/>
  <c r="AD59" i="15"/>
  <c r="AA59" i="15"/>
  <c r="AE59" i="15"/>
  <c r="AB59" i="15"/>
  <c r="AD85" i="15"/>
  <c r="AE85" i="15"/>
  <c r="AB85" i="15"/>
  <c r="AC85" i="15"/>
  <c r="AA85" i="15"/>
  <c r="AD61" i="15"/>
  <c r="AC61" i="15"/>
  <c r="AE61" i="15"/>
  <c r="AB61" i="15"/>
  <c r="AA61" i="15"/>
  <c r="AA83" i="15"/>
  <c r="AD83" i="15"/>
  <c r="AB83" i="15"/>
  <c r="AC83" i="15"/>
  <c r="AE83" i="15"/>
  <c r="AE43" i="15"/>
  <c r="AB43" i="15"/>
  <c r="AD43" i="15"/>
  <c r="AC43" i="15"/>
  <c r="AA43" i="15"/>
  <c r="AE8" i="15"/>
  <c r="AB8" i="15"/>
  <c r="AD8" i="15"/>
  <c r="AC8" i="15"/>
  <c r="AA8" i="15"/>
  <c r="AC53" i="15"/>
  <c r="AA53" i="15"/>
  <c r="AD53" i="15"/>
  <c r="AE53" i="15"/>
  <c r="AB53" i="15"/>
  <c r="AB22" i="15"/>
  <c r="AA22" i="15"/>
  <c r="AE22" i="15"/>
  <c r="AC22" i="15"/>
  <c r="AD22" i="15"/>
  <c r="AA35" i="15"/>
  <c r="AC35" i="15"/>
  <c r="AD35" i="15"/>
  <c r="AE35" i="15"/>
  <c r="AB35" i="15"/>
  <c r="AC13" i="15"/>
  <c r="AA13" i="15"/>
  <c r="AD13" i="15"/>
  <c r="AE13" i="15"/>
  <c r="AB13" i="15"/>
  <c r="AE20" i="15"/>
  <c r="AC20" i="15"/>
  <c r="AD20" i="15"/>
  <c r="AB20" i="15"/>
  <c r="AA20" i="15"/>
  <c r="AB79" i="15"/>
  <c r="AC79" i="15"/>
  <c r="AA79" i="15"/>
  <c r="AE79" i="15"/>
  <c r="AD79" i="15"/>
  <c r="AB27" i="15"/>
  <c r="AA27" i="15"/>
  <c r="AE27" i="15"/>
  <c r="AC27" i="15"/>
  <c r="AD27" i="15"/>
  <c r="AD71" i="15"/>
  <c r="AA71" i="15"/>
  <c r="AC71" i="15"/>
  <c r="AE71" i="15"/>
  <c r="AB71" i="15"/>
  <c r="AE48" i="15"/>
  <c r="AC48" i="15"/>
  <c r="AA48" i="15"/>
  <c r="AD48" i="15"/>
  <c r="AB48" i="15"/>
  <c r="AB37" i="15"/>
  <c r="AE37" i="15"/>
  <c r="AC37" i="15"/>
  <c r="AD37" i="15"/>
  <c r="AA37" i="15"/>
  <c r="AA18" i="15"/>
  <c r="AE18" i="15"/>
  <c r="AC18" i="15"/>
  <c r="AD18" i="15"/>
  <c r="AB18" i="15"/>
  <c r="AB72" i="15"/>
  <c r="AA72" i="15"/>
  <c r="AC72" i="15"/>
  <c r="AD72" i="15"/>
  <c r="AE72" i="15"/>
  <c r="AA44" i="15"/>
  <c r="AC44" i="15"/>
  <c r="AE44" i="15"/>
  <c r="AB44" i="15"/>
  <c r="AD44" i="15"/>
  <c r="AE73" i="15"/>
  <c r="AD73" i="15"/>
  <c r="AB73" i="15"/>
  <c r="AC73" i="15"/>
  <c r="AA73" i="15"/>
  <c r="AD5" i="15"/>
  <c r="AC5" i="15"/>
  <c r="AA5" i="15"/>
  <c r="AB5" i="15"/>
  <c r="AE5" i="15"/>
  <c r="AE32" i="15"/>
  <c r="AC32" i="15"/>
  <c r="AD32" i="15"/>
  <c r="AB32" i="15"/>
  <c r="AA32" i="15"/>
  <c r="AD14" i="15"/>
  <c r="AE14" i="15"/>
  <c r="AC14" i="15"/>
  <c r="AB14" i="15"/>
  <c r="AA14" i="15"/>
  <c r="AE75" i="15"/>
  <c r="AB75" i="15"/>
  <c r="AD75" i="15"/>
  <c r="AC75" i="15"/>
  <c r="AA75" i="15"/>
  <c r="AD47" i="15"/>
  <c r="AE47" i="15"/>
  <c r="AA47" i="15"/>
  <c r="AC47" i="15"/>
  <c r="AB47" i="15"/>
  <c r="AB58" i="15"/>
  <c r="AA58" i="15"/>
  <c r="AE58" i="15"/>
  <c r="AC58" i="15"/>
  <c r="AD58" i="15"/>
  <c r="AE11" i="15"/>
  <c r="AB11" i="15"/>
  <c r="AD11" i="15"/>
  <c r="AA11" i="15"/>
  <c r="AC11" i="15"/>
  <c r="AD81" i="15"/>
  <c r="AA81" i="15"/>
  <c r="AB81" i="15"/>
  <c r="AC81" i="15"/>
  <c r="AE81" i="15"/>
  <c r="AB63" i="15"/>
  <c r="AA63" i="15"/>
  <c r="AC63" i="15"/>
  <c r="AD63" i="15"/>
  <c r="AE63" i="15"/>
  <c r="AC78" i="15"/>
  <c r="AB78" i="15"/>
  <c r="AA78" i="15"/>
  <c r="AD78" i="15"/>
  <c r="AE78" i="15"/>
  <c r="AC24" i="15"/>
  <c r="AA24" i="15"/>
  <c r="AD24" i="15"/>
  <c r="AE24" i="15"/>
  <c r="AB24" i="15"/>
  <c r="AA7" i="15"/>
  <c r="AE7" i="15"/>
  <c r="AD7" i="15"/>
  <c r="AC7" i="15"/>
  <c r="AB7" i="15"/>
  <c r="AC67" i="15"/>
  <c r="AA67" i="15"/>
  <c r="AD67" i="15"/>
  <c r="AE67" i="15"/>
  <c r="AB67" i="15"/>
  <c r="AA77" i="15"/>
  <c r="AB77" i="15"/>
  <c r="AC77" i="15"/>
  <c r="AE77" i="15"/>
  <c r="AD77" i="15"/>
  <c r="AC80" i="15"/>
  <c r="AD80" i="15"/>
  <c r="AE80" i="15"/>
  <c r="AA80" i="15"/>
  <c r="AB80" i="15"/>
  <c r="AA88" i="15"/>
  <c r="AC88" i="15"/>
  <c r="AE88" i="15"/>
  <c r="AB88" i="15"/>
  <c r="AD88" i="15"/>
  <c r="AA40" i="15"/>
  <c r="AC40" i="15"/>
  <c r="AD40" i="15"/>
  <c r="AE40" i="15"/>
  <c r="AB40" i="15"/>
  <c r="AD6" i="15"/>
  <c r="AA6" i="15"/>
  <c r="AE6" i="15"/>
  <c r="AB6" i="15"/>
  <c r="AC6" i="15"/>
  <c r="X6" i="15" l="1"/>
  <c r="X40" i="15"/>
  <c r="X88" i="15"/>
  <c r="X80" i="15"/>
  <c r="X77" i="15"/>
  <c r="X67" i="15"/>
  <c r="X7" i="15"/>
  <c r="X24" i="15"/>
  <c r="X78" i="15"/>
  <c r="X63" i="15"/>
  <c r="X81" i="15"/>
  <c r="X11" i="15"/>
  <c r="X58" i="15"/>
  <c r="X47" i="15"/>
  <c r="X75" i="15"/>
  <c r="X14" i="15"/>
  <c r="X32" i="15"/>
  <c r="X5" i="15"/>
  <c r="X73" i="15"/>
  <c r="X44" i="15"/>
  <c r="X72" i="15"/>
  <c r="X18" i="15"/>
  <c r="X37" i="15"/>
  <c r="X48" i="15"/>
  <c r="X71" i="15"/>
  <c r="X27" i="15"/>
  <c r="X79" i="15"/>
  <c r="X20" i="15"/>
  <c r="X13" i="15"/>
  <c r="X35" i="15"/>
  <c r="X22" i="15"/>
  <c r="X53" i="15"/>
  <c r="X8" i="15"/>
  <c r="X43" i="15"/>
  <c r="X83" i="15"/>
  <c r="X61" i="15"/>
  <c r="X85" i="15"/>
  <c r="X59" i="15"/>
  <c r="X62" i="15"/>
  <c r="X49" i="15"/>
  <c r="X12" i="15"/>
  <c r="X36" i="15"/>
  <c r="X39" i="15"/>
  <c r="X66" i="15"/>
  <c r="X76" i="15"/>
  <c r="X17" i="15"/>
  <c r="X19" i="15"/>
  <c r="X46" i="15"/>
  <c r="X25" i="15"/>
  <c r="X34" i="15"/>
  <c r="X52" i="15"/>
  <c r="X3" i="15"/>
  <c r="X42" i="15"/>
  <c r="X82" i="15"/>
  <c r="X64" i="15"/>
  <c r="X65" i="15"/>
  <c r="X23" i="15"/>
  <c r="X57" i="15"/>
  <c r="X33" i="15"/>
  <c r="X41" i="15"/>
  <c r="X84" i="15"/>
  <c r="X70" i="15"/>
  <c r="X21" i="15"/>
  <c r="X74" i="15"/>
  <c r="X69" i="15"/>
  <c r="X30" i="15"/>
  <c r="X29" i="15"/>
  <c r="X9" i="15"/>
  <c r="X15" i="15"/>
  <c r="X45" i="15"/>
  <c r="X87" i="15"/>
  <c r="X31" i="15"/>
  <c r="X38" i="15"/>
  <c r="X51" i="15"/>
  <c r="X16" i="15"/>
  <c r="X26" i="15"/>
  <c r="X50" i="15"/>
  <c r="X56" i="15"/>
  <c r="X86" i="15"/>
  <c r="X10" i="15"/>
  <c r="X90" i="15"/>
  <c r="X89" i="15"/>
  <c r="X54" i="15"/>
  <c r="X55" i="15"/>
  <c r="X4" i="15"/>
  <c r="X28" i="15"/>
  <c r="X68" i="15"/>
  <c r="X60" i="15"/>
  <c r="D30" i="1" l="1"/>
  <c r="D40" i="1"/>
  <c r="C38" i="1"/>
  <c r="AF2" i="15" a="1"/>
  <c r="AF90" i="15"/>
  <c r="AJ90" i="15"/>
  <c r="AF54" i="15"/>
  <c r="AJ54" i="15"/>
  <c r="AF59" i="15"/>
  <c r="AJ59" i="15"/>
  <c r="AF8" i="15"/>
  <c r="AJ8" i="15"/>
  <c r="AF2" i="15"/>
  <c r="AF67" i="15"/>
  <c r="AJ67" i="15"/>
  <c r="AF86" i="15"/>
  <c r="AJ86" i="15"/>
  <c r="AF37" i="15"/>
  <c r="AJ37" i="15"/>
  <c r="AF79" i="15"/>
  <c r="AJ79" i="15" s="1"/>
  <c r="AF13" i="15"/>
  <c r="AJ13" i="15"/>
  <c r="AF84" i="15"/>
  <c r="AJ84" i="15"/>
  <c r="AF88" i="15"/>
  <c r="AJ88" i="15"/>
  <c r="AF21" i="15"/>
  <c r="AJ21" i="15" s="1"/>
  <c r="AF16" i="15"/>
  <c r="AJ16" i="15" s="1"/>
  <c r="AF15" i="15"/>
  <c r="AJ15" i="15"/>
  <c r="AF60" i="15"/>
  <c r="AJ60" i="15"/>
  <c r="AF68" i="15"/>
  <c r="AJ68" i="15" s="1"/>
  <c r="AF56" i="15"/>
  <c r="AJ56" i="15"/>
  <c r="AF10" i="15"/>
  <c r="AJ10" i="15" s="1"/>
  <c r="AF32" i="15"/>
  <c r="AJ32" i="15"/>
  <c r="AF80" i="15"/>
  <c r="AJ80" i="15" s="1"/>
  <c r="AF22" i="15"/>
  <c r="AJ22" i="15"/>
  <c r="AF29" i="15"/>
  <c r="AJ29" i="15" s="1"/>
  <c r="AF40" i="15"/>
  <c r="AJ40" i="15" s="1"/>
  <c r="AF48" i="15"/>
  <c r="AJ48" i="15" s="1"/>
  <c r="AF41" i="15"/>
  <c r="AJ41" i="15"/>
  <c r="AF19" i="15"/>
  <c r="AJ19" i="15"/>
  <c r="AF47" i="15"/>
  <c r="AJ47" i="15"/>
  <c r="AF23" i="15"/>
  <c r="AJ23" i="15" s="1"/>
  <c r="AF42" i="15"/>
  <c r="AJ42" i="15" s="1"/>
  <c r="AF75" i="15"/>
  <c r="AJ75" i="15"/>
  <c r="AF38" i="15"/>
  <c r="AJ38" i="15" s="1"/>
  <c r="AF64" i="15"/>
  <c r="AJ64" i="15" s="1"/>
  <c r="AF33" i="15"/>
  <c r="AJ33" i="15" s="1"/>
  <c r="AF27" i="15"/>
  <c r="AJ27" i="15"/>
  <c r="AF51" i="15"/>
  <c r="AJ51" i="15" s="1"/>
  <c r="AF72" i="15"/>
  <c r="AJ72" i="15" s="1"/>
  <c r="AF50" i="15"/>
  <c r="AJ50" i="15"/>
  <c r="AF57" i="15"/>
  <c r="AJ57" i="15"/>
  <c r="AF28" i="15"/>
  <c r="AJ28" i="15" s="1"/>
  <c r="AF81" i="15"/>
  <c r="AJ81" i="15" s="1"/>
  <c r="AF52" i="15"/>
  <c r="AJ52" i="15"/>
  <c r="AF17" i="15"/>
  <c r="AJ17" i="15" s="1"/>
  <c r="AF77" i="15"/>
  <c r="AJ77" i="15"/>
  <c r="AF24" i="15"/>
  <c r="AJ24" i="15" s="1"/>
  <c r="AF74" i="15"/>
  <c r="AJ74" i="15" s="1"/>
  <c r="AF9" i="15"/>
  <c r="AJ9" i="15" s="1"/>
  <c r="AF87" i="15"/>
  <c r="AJ87" i="15" s="1"/>
  <c r="AF26" i="15"/>
  <c r="AJ26" i="15" s="1"/>
  <c r="AF20" i="15"/>
  <c r="AJ20" i="15"/>
  <c r="AF58" i="15"/>
  <c r="AJ58" i="15" s="1"/>
  <c r="AF46" i="15"/>
  <c r="AJ46" i="15"/>
  <c r="AF36" i="15"/>
  <c r="AJ36" i="15" s="1"/>
  <c r="AF4" i="15"/>
  <c r="AJ4" i="15"/>
  <c r="AF35" i="15"/>
  <c r="AJ35" i="15" s="1"/>
  <c r="AF78" i="15"/>
  <c r="AJ78" i="15" s="1"/>
  <c r="AF71" i="15"/>
  <c r="AJ71" i="15" s="1"/>
  <c r="AF83" i="15"/>
  <c r="AJ83" i="15" s="1"/>
  <c r="AF85" i="15"/>
  <c r="AJ85" i="15" s="1"/>
  <c r="AF7" i="15"/>
  <c r="AJ7" i="15"/>
  <c r="AF69" i="15"/>
  <c r="AJ69" i="15" s="1"/>
  <c r="AF66" i="15"/>
  <c r="AJ66" i="15" s="1"/>
  <c r="AF11" i="15"/>
  <c r="AJ11" i="15"/>
  <c r="AF31" i="15"/>
  <c r="AJ31" i="15" s="1"/>
  <c r="AF55" i="15"/>
  <c r="AJ55" i="15" s="1"/>
  <c r="AF76" i="15"/>
  <c r="AJ76" i="15"/>
  <c r="AF30" i="15"/>
  <c r="AJ30" i="15"/>
  <c r="AF63" i="15"/>
  <c r="AJ63" i="15"/>
  <c r="AF73" i="15"/>
  <c r="AJ73" i="15" s="1"/>
  <c r="AF45" i="15"/>
  <c r="AJ45" i="15"/>
  <c r="AF61" i="15"/>
  <c r="AJ61" i="15" s="1"/>
  <c r="AF82" i="15"/>
  <c r="AJ82" i="15" s="1"/>
  <c r="AF5" i="15"/>
  <c r="AJ5" i="15" s="1"/>
  <c r="AF43" i="15"/>
  <c r="AJ43" i="15"/>
  <c r="AF49" i="15"/>
  <c r="AJ49" i="15" s="1"/>
  <c r="AF14" i="15"/>
  <c r="AJ14" i="15" s="1"/>
  <c r="AF12" i="15"/>
  <c r="AJ12" i="15" s="1"/>
  <c r="AF3" i="15"/>
  <c r="AJ3" i="15" s="1"/>
  <c r="AF70" i="15"/>
  <c r="AJ70" i="15"/>
  <c r="AF62" i="15"/>
  <c r="AJ62" i="15"/>
  <c r="AF34" i="15"/>
  <c r="AJ34" i="15" s="1"/>
  <c r="AF53" i="15"/>
  <c r="AJ53" i="15" s="1"/>
  <c r="AF25" i="15"/>
  <c r="AJ25" i="15"/>
  <c r="AF39" i="15"/>
  <c r="AJ39" i="15"/>
  <c r="AF44" i="15"/>
  <c r="AJ44" i="15" s="1"/>
  <c r="AF18" i="15"/>
  <c r="AJ18" i="15" s="1"/>
  <c r="AF65" i="15"/>
  <c r="AJ65" i="15" s="1"/>
  <c r="AF89" i="15"/>
  <c r="AJ89" i="15"/>
  <c r="AF6" i="15"/>
  <c r="AJ6" i="15" s="1"/>
  <c r="I30" i="1"/>
  <c r="H39" i="1"/>
  <c r="I39" i="1"/>
  <c r="AG2" i="15" a="1"/>
  <c r="AG78" i="15"/>
  <c r="AL78" i="15" s="1"/>
  <c r="AG28" i="15"/>
  <c r="AL28" i="15"/>
  <c r="AG33" i="15"/>
  <c r="AL33" i="15"/>
  <c r="AG46" i="15"/>
  <c r="AL46" i="15"/>
  <c r="AG81" i="15"/>
  <c r="AL81" i="15" s="1"/>
  <c r="AG69" i="15"/>
  <c r="AL69" i="15"/>
  <c r="AG45" i="15"/>
  <c r="AL45" i="15"/>
  <c r="AG38" i="15"/>
  <c r="AL38" i="15"/>
  <c r="AG84" i="15"/>
  <c r="AL84" i="15" s="1"/>
  <c r="AG40" i="15"/>
  <c r="AL40" i="15" s="1"/>
  <c r="AG68" i="15"/>
  <c r="AL68" i="15"/>
  <c r="AG56" i="15"/>
  <c r="AL56" i="15"/>
  <c r="AG51" i="15"/>
  <c r="AL51" i="15" s="1"/>
  <c r="AG6" i="15"/>
  <c r="AL6" i="15"/>
  <c r="AG61" i="15"/>
  <c r="AL61" i="15"/>
  <c r="AG82" i="15"/>
  <c r="AL82" i="15"/>
  <c r="AG3" i="15"/>
  <c r="AL3" i="15" s="1"/>
  <c r="AG70" i="15"/>
  <c r="AL70" i="15"/>
  <c r="AG64" i="15"/>
  <c r="AL64" i="15" s="1"/>
  <c r="AG25" i="15"/>
  <c r="AL25" i="15"/>
  <c r="AG73" i="15"/>
  <c r="AL73" i="15" s="1"/>
  <c r="AG55" i="15"/>
  <c r="AL55" i="15"/>
  <c r="AG21" i="15"/>
  <c r="AL21" i="15"/>
  <c r="AG58" i="15"/>
  <c r="AL58" i="15"/>
  <c r="AG53" i="15"/>
  <c r="AL53" i="15" s="1"/>
  <c r="AG87" i="15"/>
  <c r="AL87" i="15"/>
  <c r="AG67" i="15"/>
  <c r="AL67" i="15"/>
  <c r="AG89" i="15"/>
  <c r="AL89" i="15" s="1"/>
  <c r="AG11" i="15"/>
  <c r="AL11" i="15" s="1"/>
  <c r="AG27" i="15"/>
  <c r="AL27" i="15"/>
  <c r="AG66" i="15"/>
  <c r="AL66" i="15"/>
  <c r="AG44" i="15"/>
  <c r="AL44" i="15"/>
  <c r="AG13" i="15"/>
  <c r="AL13" i="15" s="1"/>
  <c r="AG39" i="15"/>
  <c r="AL39" i="15"/>
  <c r="AG2" i="15"/>
  <c r="AG77" i="15"/>
  <c r="AL77" i="15"/>
  <c r="AG7" i="15"/>
  <c r="AL7" i="15" s="1"/>
  <c r="AG20" i="15"/>
  <c r="AL20" i="15" s="1"/>
  <c r="AG65" i="15"/>
  <c r="AL65" i="15"/>
  <c r="AG47" i="15"/>
  <c r="AL47" i="15"/>
  <c r="AG17" i="15"/>
  <c r="AL17" i="15" s="1"/>
  <c r="AG31" i="15"/>
  <c r="AL31" i="15" s="1"/>
  <c r="AG59" i="15"/>
  <c r="AL59" i="15" s="1"/>
  <c r="AG79" i="15"/>
  <c r="AL79" i="15" s="1"/>
  <c r="AG90" i="15"/>
  <c r="AL90" i="15" s="1"/>
  <c r="AG85" i="15"/>
  <c r="AL85" i="15"/>
  <c r="AG15" i="15"/>
  <c r="AL15" i="15" s="1"/>
  <c r="AG36" i="15"/>
  <c r="AL36" i="15" s="1"/>
  <c r="AG72" i="15"/>
  <c r="AL72" i="15" s="1"/>
  <c r="AG4" i="15"/>
  <c r="AL4" i="15" s="1"/>
  <c r="AG50" i="15"/>
  <c r="AL50" i="15" s="1"/>
  <c r="AG54" i="15"/>
  <c r="AL54" i="15" s="1"/>
  <c r="AG9" i="15"/>
  <c r="AL9" i="15" s="1"/>
  <c r="AG49" i="15"/>
  <c r="AL49" i="15" s="1"/>
  <c r="AG29" i="15"/>
  <c r="AL29" i="15"/>
  <c r="AG80" i="15"/>
  <c r="AL80" i="15" s="1"/>
  <c r="AG35" i="15"/>
  <c r="AL35" i="15" s="1"/>
  <c r="AG75" i="15"/>
  <c r="AL75" i="15"/>
  <c r="AG34" i="15"/>
  <c r="AL34" i="15"/>
  <c r="AG41" i="15"/>
  <c r="AL41" i="15" s="1"/>
  <c r="AG43" i="15"/>
  <c r="AL43" i="15" s="1"/>
  <c r="AG19" i="15"/>
  <c r="AL19" i="15" s="1"/>
  <c r="AG30" i="15"/>
  <c r="AL30" i="15"/>
  <c r="AG32" i="15"/>
  <c r="AL32" i="15" s="1"/>
  <c r="AG23" i="15"/>
  <c r="AL23" i="15" s="1"/>
  <c r="AG71" i="15"/>
  <c r="AL71" i="15"/>
  <c r="AG8" i="15"/>
  <c r="AL8" i="15" s="1"/>
  <c r="AG60" i="15"/>
  <c r="AL60" i="15"/>
  <c r="AG5" i="15"/>
  <c r="AL5" i="15" s="1"/>
  <c r="AG83" i="15"/>
  <c r="AL83" i="15"/>
  <c r="AG63" i="15"/>
  <c r="AL63" i="15" s="1"/>
  <c r="AG52" i="15"/>
  <c r="AL52" i="15" s="1"/>
  <c r="AG42" i="15"/>
  <c r="AL42" i="15" s="1"/>
  <c r="AG76" i="15"/>
  <c r="AL76" i="15" s="1"/>
  <c r="AG10" i="15"/>
  <c r="AL10" i="15"/>
  <c r="AG14" i="15"/>
  <c r="AL14" i="15" s="1"/>
  <c r="AG37" i="15"/>
  <c r="AL37" i="15" s="1"/>
  <c r="AG88" i="15"/>
  <c r="AL88" i="15" s="1"/>
  <c r="AG24" i="15"/>
  <c r="AL24" i="15"/>
  <c r="AG26" i="15"/>
  <c r="AL26" i="15"/>
  <c r="AG62" i="15"/>
  <c r="AL62" i="15" s="1"/>
  <c r="AG48" i="15"/>
  <c r="AL48" i="15"/>
  <c r="AG57" i="15"/>
  <c r="AL57" i="15" s="1"/>
  <c r="AG18" i="15"/>
  <c r="AL18" i="15"/>
  <c r="AG12" i="15"/>
  <c r="AL12" i="15" s="1"/>
  <c r="AG86" i="15"/>
  <c r="AL86" i="15" s="1"/>
  <c r="AG74" i="15"/>
  <c r="AL74" i="15"/>
  <c r="AG22" i="15"/>
  <c r="AL22" i="15" s="1"/>
  <c r="AG16" i="15"/>
  <c r="AL16" i="15" s="1"/>
  <c r="H38" i="1"/>
  <c r="D31" i="1"/>
  <c r="I38" i="1"/>
  <c r="C39" i="1"/>
  <c r="I15" i="1"/>
  <c r="I25" i="1"/>
  <c r="H24" i="1"/>
  <c r="I24" i="1"/>
  <c r="H23" i="1"/>
  <c r="I23" i="1"/>
  <c r="D39" i="1"/>
  <c r="I40" i="1"/>
  <c r="I31" i="1"/>
  <c r="D38" i="1"/>
  <c r="D15" i="1"/>
  <c r="C24" i="1"/>
  <c r="D24" i="1"/>
  <c r="C23" i="1"/>
  <c r="D23" i="1"/>
  <c r="D16" i="1"/>
  <c r="D25" i="1"/>
  <c r="Z2" i="14" a="1"/>
  <c r="Z31" i="14"/>
  <c r="AD31" i="14"/>
  <c r="Z35" i="14"/>
  <c r="AD35" i="14"/>
  <c r="Z59" i="14"/>
  <c r="AD59" i="14"/>
  <c r="Z7" i="14"/>
  <c r="AD7" i="14"/>
  <c r="Z58" i="14"/>
  <c r="AD58" i="14"/>
  <c r="Z43" i="14"/>
  <c r="AD43" i="14"/>
  <c r="Z29" i="14"/>
  <c r="AD29" i="14"/>
  <c r="Z61" i="14"/>
  <c r="AD61" i="14"/>
  <c r="Z12" i="14"/>
  <c r="AD12" i="14"/>
  <c r="Z22" i="14"/>
  <c r="AD22" i="14"/>
  <c r="Z16" i="14"/>
  <c r="AD16" i="14"/>
  <c r="Z53" i="14"/>
  <c r="AD53" i="14"/>
  <c r="Z8" i="14"/>
  <c r="AD8" i="14"/>
  <c r="Z44" i="14"/>
  <c r="AD44" i="14"/>
  <c r="Z34" i="14"/>
  <c r="AD34" i="14"/>
  <c r="Z3" i="14"/>
  <c r="AD3" i="14"/>
  <c r="Z21" i="14"/>
  <c r="AD21" i="14"/>
  <c r="Z57" i="14"/>
  <c r="AD57" i="14"/>
  <c r="Z56" i="14"/>
  <c r="AD56" i="14"/>
  <c r="Z46" i="14"/>
  <c r="AD46" i="14"/>
  <c r="Z51" i="14"/>
  <c r="AD51" i="14"/>
  <c r="Z17" i="14"/>
  <c r="AD17" i="14"/>
  <c r="Z5" i="14"/>
  <c r="AD5" i="14"/>
  <c r="Z11" i="14"/>
  <c r="AD11" i="14"/>
  <c r="Z38" i="14"/>
  <c r="AD38" i="14"/>
  <c r="Z41" i="14"/>
  <c r="AD41" i="14"/>
  <c r="Z62" i="14"/>
  <c r="AD62" i="14"/>
  <c r="Z49" i="14"/>
  <c r="AD49" i="14"/>
  <c r="Z36" i="14"/>
  <c r="AD36" i="14"/>
  <c r="Z15" i="14"/>
  <c r="AD15" i="14"/>
  <c r="Z33" i="14"/>
  <c r="AD33" i="14"/>
  <c r="Z30" i="14"/>
  <c r="AD30" i="14"/>
  <c r="Z14" i="14"/>
  <c r="AD14" i="14"/>
  <c r="Z20" i="14"/>
  <c r="AD20" i="14"/>
  <c r="Z25" i="14"/>
  <c r="AD25" i="14"/>
  <c r="Z39" i="14"/>
  <c r="AD39" i="14"/>
  <c r="Z40" i="14"/>
  <c r="AD40" i="14"/>
  <c r="Z19" i="14"/>
  <c r="AD19" i="14"/>
  <c r="Z13" i="14"/>
  <c r="AD13" i="14"/>
  <c r="Z50" i="14"/>
  <c r="AD50" i="14"/>
  <c r="Z26" i="14"/>
  <c r="AD26" i="14"/>
  <c r="Z4" i="14"/>
  <c r="AD4" i="14"/>
  <c r="Z54" i="14"/>
  <c r="AD54" i="14"/>
  <c r="Z2" i="14"/>
  <c r="Z48" i="14"/>
  <c r="AD48" i="14" s="1"/>
  <c r="Z55" i="14"/>
  <c r="AD55" i="14"/>
  <c r="Z45" i="14"/>
  <c r="AD45" i="14"/>
  <c r="Z10" i="14"/>
  <c r="AD10" i="14"/>
  <c r="Z27" i="14"/>
  <c r="AD27" i="14" s="1"/>
  <c r="Z6" i="14"/>
  <c r="AD6" i="14" s="1"/>
  <c r="Z37" i="14"/>
  <c r="AD37" i="14"/>
  <c r="Z47" i="14"/>
  <c r="AD47" i="14"/>
  <c r="Z28" i="14"/>
  <c r="AD28" i="14" s="1"/>
  <c r="Z52" i="14"/>
  <c r="AD52" i="14"/>
  <c r="Z42" i="14"/>
  <c r="AD42" i="14" s="1"/>
  <c r="Z60" i="14"/>
  <c r="AD60" i="14"/>
  <c r="Z23" i="14"/>
  <c r="AD23" i="14" s="1"/>
  <c r="Z24" i="14"/>
  <c r="AD24" i="14"/>
  <c r="Z9" i="14"/>
  <c r="AD9" i="14" s="1"/>
  <c r="Z32" i="14"/>
  <c r="AD32" i="14" s="1"/>
  <c r="Z18" i="14"/>
  <c r="AD18" i="14" s="1"/>
  <c r="AA2" i="14" a="1"/>
  <c r="AA27" i="14"/>
  <c r="AF27" i="14" s="1"/>
  <c r="AA17" i="14"/>
  <c r="AF17" i="14"/>
  <c r="AA54" i="14"/>
  <c r="AF54" i="14"/>
  <c r="AA5" i="14"/>
  <c r="AF5" i="14"/>
  <c r="AA35" i="14"/>
  <c r="AF35" i="14" s="1"/>
  <c r="AA39" i="14"/>
  <c r="AF39" i="14"/>
  <c r="AA9" i="14"/>
  <c r="AF9" i="14"/>
  <c r="AA29" i="14"/>
  <c r="AF29" i="14"/>
  <c r="AA38" i="14"/>
  <c r="AF38" i="14" s="1"/>
  <c r="AA44" i="14"/>
  <c r="AF44" i="14" s="1"/>
  <c r="AA20" i="14"/>
  <c r="AF20" i="14"/>
  <c r="AA46" i="14"/>
  <c r="AF46" i="14"/>
  <c r="AA57" i="14"/>
  <c r="AF57" i="14" s="1"/>
  <c r="AA34" i="14"/>
  <c r="AF34" i="14"/>
  <c r="AA25" i="14"/>
  <c r="AF25" i="14" s="1"/>
  <c r="AA59" i="14"/>
  <c r="AF59" i="14"/>
  <c r="AA55" i="14"/>
  <c r="AF55" i="14" s="1"/>
  <c r="AA31" i="14"/>
  <c r="AF31" i="14"/>
  <c r="AA11" i="14"/>
  <c r="AF11" i="14" s="1"/>
  <c r="AA40" i="14"/>
  <c r="AF40" i="14" s="1"/>
  <c r="AA6" i="14"/>
  <c r="AF6" i="14" s="1"/>
  <c r="AA22" i="14"/>
  <c r="AF22" i="14"/>
  <c r="AA26" i="14"/>
  <c r="AF26" i="14"/>
  <c r="AA21" i="14"/>
  <c r="AF21" i="14"/>
  <c r="AA48" i="14"/>
  <c r="AF48" i="14" s="1"/>
  <c r="AA10" i="14"/>
  <c r="AF10" i="14"/>
  <c r="AA49" i="14"/>
  <c r="AF49" i="14"/>
  <c r="AA16" i="14"/>
  <c r="AF16" i="14" s="1"/>
  <c r="AA58" i="14"/>
  <c r="AF58" i="14" s="1"/>
  <c r="AA50" i="14"/>
  <c r="AF50" i="14" s="1"/>
  <c r="AA4" i="14"/>
  <c r="AF4" i="14"/>
  <c r="AA13" i="14"/>
  <c r="AF13" i="14"/>
  <c r="AA2" i="14"/>
  <c r="AA30" i="14"/>
  <c r="AF30" i="14"/>
  <c r="AA47" i="14"/>
  <c r="AF47" i="14"/>
  <c r="AA3" i="14"/>
  <c r="AF3" i="14"/>
  <c r="AA51" i="14"/>
  <c r="AF51" i="14" s="1"/>
  <c r="AA7" i="14"/>
  <c r="AF7" i="14" s="1"/>
  <c r="AA45" i="14"/>
  <c r="AF45" i="14"/>
  <c r="AA19" i="14"/>
  <c r="AF19" i="14"/>
  <c r="AA18" i="14"/>
  <c r="AF18" i="14" s="1"/>
  <c r="AA42" i="14"/>
  <c r="AF42" i="14" s="1"/>
  <c r="AA41" i="14"/>
  <c r="AF41" i="14" s="1"/>
  <c r="AA56" i="14"/>
  <c r="AF56" i="14"/>
  <c r="AA14" i="14"/>
  <c r="AF14" i="14" s="1"/>
  <c r="AA53" i="14"/>
  <c r="AF53" i="14"/>
  <c r="AA23" i="14"/>
  <c r="AF23" i="14"/>
  <c r="AA36" i="14"/>
  <c r="AF36" i="14" s="1"/>
  <c r="AA43" i="14"/>
  <c r="AF43" i="14" s="1"/>
  <c r="AA24" i="14"/>
  <c r="AF24" i="14"/>
  <c r="AA8" i="14"/>
  <c r="AF8" i="14" s="1"/>
  <c r="AA62" i="14"/>
  <c r="AF62" i="14"/>
  <c r="AA33" i="14"/>
  <c r="AF33" i="14" s="1"/>
  <c r="AA61" i="14"/>
  <c r="AF61" i="14"/>
  <c r="AA37" i="14"/>
  <c r="AF37" i="14"/>
  <c r="AA28" i="14"/>
  <c r="AF28" i="14"/>
  <c r="AA52" i="14"/>
  <c r="AF52" i="14" s="1"/>
  <c r="AA15" i="14"/>
  <c r="AF15" i="14" s="1"/>
  <c r="AA12" i="14"/>
  <c r="AF12" i="14"/>
  <c r="AA60" i="14"/>
  <c r="AF60" i="14" s="1"/>
  <c r="AA32" i="14"/>
  <c r="AF32" i="14" s="1"/>
  <c r="W3" i="19" a="1"/>
  <c r="W10" i="19"/>
  <c r="W11" i="19"/>
  <c r="W12" i="19"/>
  <c r="W13" i="19"/>
  <c r="W22" i="19"/>
  <c r="W31" i="19"/>
  <c r="W40" i="19"/>
  <c r="W49" i="19"/>
  <c r="W26" i="19"/>
  <c r="W28" i="19"/>
  <c r="W29" i="19"/>
  <c r="W38" i="19"/>
  <c r="W47" i="19"/>
  <c r="W56" i="19"/>
  <c r="W35" i="19"/>
  <c r="W43" i="19"/>
  <c r="W45" i="19"/>
  <c r="W54" i="19"/>
  <c r="W8" i="19"/>
  <c r="W17" i="19"/>
  <c r="W52" i="19"/>
  <c r="W59" i="19"/>
  <c r="W4" i="19"/>
  <c r="W23" i="19"/>
  <c r="W41" i="19"/>
  <c r="W18" i="19"/>
  <c r="W19" i="19"/>
  <c r="W20" i="19"/>
  <c r="W21" i="19"/>
  <c r="W30" i="19"/>
  <c r="W39" i="19"/>
  <c r="W48" i="19"/>
  <c r="W57" i="19"/>
  <c r="W27" i="19"/>
  <c r="W34" i="19"/>
  <c r="W36" i="19"/>
  <c r="W37" i="19"/>
  <c r="W46" i="19"/>
  <c r="W55" i="19"/>
  <c r="W9" i="19"/>
  <c r="W44" i="19"/>
  <c r="W50" i="19"/>
  <c r="W53" i="19"/>
  <c r="W7" i="19"/>
  <c r="W16" i="19"/>
  <c r="W25" i="19"/>
  <c r="W58" i="19"/>
  <c r="W6" i="19"/>
  <c r="W15" i="19"/>
  <c r="W24" i="19"/>
  <c r="W33" i="19"/>
  <c r="W3" i="19"/>
  <c r="W42" i="19"/>
  <c r="W51" i="19"/>
  <c r="W60" i="19"/>
  <c r="W5" i="19"/>
  <c r="W32" i="19"/>
  <c r="W14" i="19"/>
  <c r="Y58" i="19"/>
  <c r="X58" i="19"/>
  <c r="AB58" i="19"/>
  <c r="AA58" i="19"/>
  <c r="Z58" i="19"/>
  <c r="AA59" i="19"/>
  <c r="Z59" i="19"/>
  <c r="Y59" i="19"/>
  <c r="AB59" i="19"/>
  <c r="X59" i="19"/>
  <c r="AB60" i="19"/>
  <c r="AA60" i="19"/>
  <c r="Z60" i="19"/>
  <c r="Y60" i="19"/>
  <c r="X60" i="19"/>
  <c r="AB6" i="19"/>
  <c r="AA6" i="19"/>
  <c r="Z6" i="19"/>
  <c r="Y6" i="19"/>
  <c r="X6" i="19"/>
  <c r="X15" i="19"/>
  <c r="AB15" i="19"/>
  <c r="AA15" i="19"/>
  <c r="Z15" i="19"/>
  <c r="Y15" i="19"/>
  <c r="Z24" i="19"/>
  <c r="Y24" i="19"/>
  <c r="X24" i="19"/>
  <c r="AA24" i="19"/>
  <c r="AB24" i="19"/>
  <c r="AB33" i="19"/>
  <c r="AA33" i="19"/>
  <c r="Z33" i="19"/>
  <c r="Y33" i="19"/>
  <c r="X33" i="19"/>
  <c r="V15" i="19"/>
  <c r="V6" i="19"/>
  <c r="V60" i="19"/>
  <c r="X3" i="19"/>
  <c r="V3" i="19"/>
  <c r="Y3" i="19"/>
  <c r="Z3" i="19"/>
  <c r="AA3" i="19"/>
  <c r="AB3" i="19"/>
  <c r="AB4" i="19"/>
  <c r="AA4" i="19"/>
  <c r="Z4" i="19"/>
  <c r="Y4" i="19"/>
  <c r="X4" i="19"/>
  <c r="V4" i="19"/>
  <c r="Z5" i="19"/>
  <c r="Y5" i="19"/>
  <c r="X5" i="19"/>
  <c r="AB5" i="19"/>
  <c r="AA5" i="19"/>
  <c r="AB14" i="19"/>
  <c r="AA14" i="19"/>
  <c r="Z14" i="19"/>
  <c r="Y14" i="19"/>
  <c r="X14" i="19"/>
  <c r="V14" i="19"/>
  <c r="X23" i="19"/>
  <c r="AB23" i="19"/>
  <c r="AA23" i="19"/>
  <c r="Z23" i="19"/>
  <c r="Y23" i="19"/>
  <c r="AA32" i="19"/>
  <c r="Z32" i="19"/>
  <c r="Y32" i="19"/>
  <c r="X32" i="19"/>
  <c r="AB32" i="19"/>
  <c r="AB41" i="19"/>
  <c r="AA41" i="19"/>
  <c r="Z41" i="19"/>
  <c r="Y41" i="19"/>
  <c r="X41" i="19"/>
  <c r="V58" i="19"/>
  <c r="Y10" i="19"/>
  <c r="X10" i="19"/>
  <c r="V10" i="19"/>
  <c r="AB10" i="19"/>
  <c r="AA10" i="19"/>
  <c r="Z10" i="19"/>
  <c r="AB11" i="19"/>
  <c r="AA11" i="19"/>
  <c r="Z11" i="19"/>
  <c r="Y11" i="19"/>
  <c r="X11" i="19"/>
  <c r="AB12" i="19"/>
  <c r="AA12" i="19"/>
  <c r="Z12" i="19"/>
  <c r="Y12" i="19"/>
  <c r="X12" i="19"/>
  <c r="X13" i="19"/>
  <c r="Z13" i="19"/>
  <c r="Y13" i="19"/>
  <c r="AB13" i="19"/>
  <c r="AA13" i="19"/>
  <c r="X31" i="19"/>
  <c r="AB31" i="19"/>
  <c r="AA31" i="19"/>
  <c r="Z31" i="19"/>
  <c r="Y31" i="19"/>
  <c r="Z40" i="19"/>
  <c r="Y40" i="19"/>
  <c r="X40" i="19"/>
  <c r="AA40" i="19"/>
  <c r="AB40" i="19"/>
  <c r="AB49" i="19"/>
  <c r="AA49" i="19"/>
  <c r="Z49" i="19"/>
  <c r="Y49" i="19"/>
  <c r="X49" i="19"/>
  <c r="V23" i="19"/>
  <c r="V49" i="19"/>
  <c r="V24" i="19"/>
  <c r="V11" i="19"/>
  <c r="AB19" i="19"/>
  <c r="AA19" i="19"/>
  <c r="Z19" i="19"/>
  <c r="X19" i="19"/>
  <c r="V19" i="19"/>
  <c r="Y19" i="19"/>
  <c r="Y21" i="19"/>
  <c r="X21" i="19"/>
  <c r="Z21" i="19"/>
  <c r="AB21" i="19"/>
  <c r="AA21" i="19"/>
  <c r="AA48" i="19"/>
  <c r="Z48" i="19"/>
  <c r="Y48" i="19"/>
  <c r="X48" i="19"/>
  <c r="V48" i="19"/>
  <c r="AB48" i="19"/>
  <c r="V21" i="19"/>
  <c r="Y26" i="19"/>
  <c r="X26" i="19"/>
  <c r="AB26" i="19"/>
  <c r="AA26" i="19"/>
  <c r="Z26" i="19"/>
  <c r="AA27" i="19"/>
  <c r="Z27" i="19"/>
  <c r="Y27" i="19"/>
  <c r="AB27" i="19"/>
  <c r="X27" i="19"/>
  <c r="AB28" i="19"/>
  <c r="AA28" i="19"/>
  <c r="Z28" i="19"/>
  <c r="Y28" i="19"/>
  <c r="X28" i="19"/>
  <c r="AB38" i="19"/>
  <c r="AA38" i="19"/>
  <c r="Z38" i="19"/>
  <c r="Y38" i="19"/>
  <c r="X38" i="19"/>
  <c r="V32" i="19"/>
  <c r="V5" i="19"/>
  <c r="AB22" i="19"/>
  <c r="AA22" i="19"/>
  <c r="Z22" i="19"/>
  <c r="Y22" i="19"/>
  <c r="X22" i="19"/>
  <c r="Y18" i="19"/>
  <c r="X18" i="19"/>
  <c r="AB18" i="19"/>
  <c r="AA18" i="19"/>
  <c r="Z18" i="19"/>
  <c r="AB20" i="19"/>
  <c r="AA20" i="19"/>
  <c r="Z20" i="19"/>
  <c r="Y20" i="19"/>
  <c r="X20" i="19"/>
  <c r="AB30" i="19"/>
  <c r="AA30" i="19"/>
  <c r="Z30" i="19"/>
  <c r="Y30" i="19"/>
  <c r="X30" i="19"/>
  <c r="X39" i="19"/>
  <c r="V39" i="19"/>
  <c r="AB39" i="19"/>
  <c r="AA39" i="19"/>
  <c r="Z39" i="19"/>
  <c r="Y39" i="19"/>
  <c r="AB57" i="19"/>
  <c r="AA57" i="19"/>
  <c r="Z57" i="19"/>
  <c r="Y57" i="19"/>
  <c r="X57" i="19"/>
  <c r="V57" i="19"/>
  <c r="X47" i="19"/>
  <c r="V47" i="19"/>
  <c r="AB47" i="19"/>
  <c r="AA47" i="19"/>
  <c r="Z47" i="19"/>
  <c r="Y47" i="19"/>
  <c r="Z56" i="19"/>
  <c r="Y56" i="19"/>
  <c r="X56" i="19"/>
  <c r="AA56" i="19"/>
  <c r="AB56" i="19"/>
  <c r="V38" i="19"/>
  <c r="V59" i="19"/>
  <c r="V41" i="19"/>
  <c r="Z29" i="19"/>
  <c r="Y29" i="19"/>
  <c r="X29" i="19"/>
  <c r="V29" i="19"/>
  <c r="AB29" i="19"/>
  <c r="AA29" i="19"/>
  <c r="V56" i="19"/>
  <c r="V30" i="19"/>
  <c r="X34" i="19"/>
  <c r="V34" i="19"/>
  <c r="Y34" i="19"/>
  <c r="AB34" i="19"/>
  <c r="AA34" i="19"/>
  <c r="Z34" i="19"/>
  <c r="AB52" i="19"/>
  <c r="AA52" i="19"/>
  <c r="Z52" i="19"/>
  <c r="Y52" i="19"/>
  <c r="X52" i="19"/>
  <c r="V52" i="19"/>
  <c r="Z8" i="19"/>
  <c r="Y8" i="19"/>
  <c r="AA8" i="19"/>
  <c r="X8" i="19"/>
  <c r="V8" i="19"/>
  <c r="AB8" i="19"/>
  <c r="AB9" i="19"/>
  <c r="AA9" i="19"/>
  <c r="Z9" i="19"/>
  <c r="Y9" i="19"/>
  <c r="X9" i="19"/>
  <c r="V9" i="19"/>
  <c r="AB17" i="19"/>
  <c r="AA17" i="19"/>
  <c r="Z17" i="19"/>
  <c r="Y17" i="19"/>
  <c r="X17" i="19"/>
  <c r="V27" i="19"/>
  <c r="AA43" i="19"/>
  <c r="Z43" i="19"/>
  <c r="Y43" i="19"/>
  <c r="AB43" i="19"/>
  <c r="X43" i="19"/>
  <c r="V43" i="19"/>
  <c r="AB25" i="19"/>
  <c r="AA25" i="19"/>
  <c r="Z25" i="19"/>
  <c r="Y25" i="19"/>
  <c r="X25" i="19"/>
  <c r="V25" i="19"/>
  <c r="V28" i="19"/>
  <c r="V20" i="19"/>
  <c r="AB36" i="19"/>
  <c r="AA36" i="19"/>
  <c r="Z36" i="19"/>
  <c r="Y36" i="19"/>
  <c r="X36" i="19"/>
  <c r="V36" i="19"/>
  <c r="V12" i="19"/>
  <c r="X55" i="19"/>
  <c r="V55" i="19"/>
  <c r="AB55" i="19"/>
  <c r="AA55" i="19"/>
  <c r="Z55" i="19"/>
  <c r="Y55" i="19"/>
  <c r="V13" i="19"/>
  <c r="V22" i="19"/>
  <c r="Y42" i="19"/>
  <c r="X42" i="19"/>
  <c r="V42" i="19"/>
  <c r="AB42" i="19"/>
  <c r="AA42" i="19"/>
  <c r="Z42" i="19"/>
  <c r="Y37" i="19"/>
  <c r="X37" i="19"/>
  <c r="V37" i="19"/>
  <c r="Z37" i="19"/>
  <c r="AB37" i="19"/>
  <c r="AA37" i="19"/>
  <c r="AA16" i="19"/>
  <c r="Z16" i="19"/>
  <c r="Y16" i="19"/>
  <c r="X16" i="19"/>
  <c r="V16" i="19"/>
  <c r="AB16" i="19"/>
  <c r="V33" i="19"/>
  <c r="X50" i="19"/>
  <c r="V50" i="19"/>
  <c r="Y50" i="19"/>
  <c r="AB50" i="19"/>
  <c r="AA50" i="19"/>
  <c r="Z50" i="19"/>
  <c r="Z45" i="19"/>
  <c r="Y45" i="19"/>
  <c r="X45" i="19"/>
  <c r="V45" i="19"/>
  <c r="AB45" i="19"/>
  <c r="AA45" i="19"/>
  <c r="V40" i="19"/>
  <c r="AB35" i="19"/>
  <c r="AA35" i="19"/>
  <c r="Z35" i="19"/>
  <c r="Y35" i="19"/>
  <c r="X35" i="19"/>
  <c r="V35" i="19"/>
  <c r="Y53" i="19"/>
  <c r="X53" i="19"/>
  <c r="V53" i="19"/>
  <c r="Z53" i="19"/>
  <c r="AB53" i="19"/>
  <c r="AA53" i="19"/>
  <c r="V17" i="19"/>
  <c r="AA46" i="19"/>
  <c r="AB46" i="19"/>
  <c r="Z46" i="19"/>
  <c r="X46" i="19"/>
  <c r="V46" i="19"/>
  <c r="Y46" i="19"/>
  <c r="V18" i="19"/>
  <c r="AB51" i="19"/>
  <c r="AA51" i="19"/>
  <c r="Z51" i="19"/>
  <c r="Y51" i="19"/>
  <c r="X51" i="19"/>
  <c r="V51" i="19"/>
  <c r="AB54" i="19"/>
  <c r="AA54" i="19"/>
  <c r="Z54" i="19"/>
  <c r="Y54" i="19"/>
  <c r="X54" i="19"/>
  <c r="V54" i="19"/>
  <c r="V31" i="19"/>
  <c r="X7" i="19"/>
  <c r="V7" i="19"/>
  <c r="AB7" i="19"/>
  <c r="AA7" i="19"/>
  <c r="Z7" i="19"/>
  <c r="Y7" i="19"/>
  <c r="V26" i="19"/>
  <c r="AB44" i="19"/>
  <c r="AA44" i="19"/>
  <c r="Z44" i="19"/>
  <c r="Y44" i="19"/>
  <c r="X44" i="19"/>
  <c r="V44" i="19"/>
  <c r="D90" i="1"/>
  <c r="AC2" i="19" a="1"/>
  <c r="C99" i="1"/>
  <c r="D99" i="1"/>
  <c r="C98" i="1"/>
  <c r="D98" i="1"/>
  <c r="D100" i="1"/>
  <c r="AF3" i="19"/>
  <c r="AF59" i="19"/>
  <c r="AF43" i="19"/>
  <c r="AF26" i="19"/>
  <c r="AF51" i="19"/>
  <c r="AF35" i="19"/>
  <c r="AF27" i="19"/>
  <c r="AF19" i="19"/>
  <c r="AF11" i="19"/>
  <c r="AF58" i="19"/>
  <c r="AF50" i="19"/>
  <c r="AF42" i="19"/>
  <c r="AF34" i="19"/>
  <c r="AF18" i="19"/>
  <c r="AF10" i="19"/>
  <c r="AF57" i="19"/>
  <c r="AF49" i="19"/>
  <c r="AF41" i="19"/>
  <c r="AF33" i="19"/>
  <c r="AF25" i="19"/>
  <c r="AF17" i="19"/>
  <c r="AF9" i="19"/>
  <c r="AF56" i="19"/>
  <c r="AF48" i="19"/>
  <c r="AF40" i="19"/>
  <c r="AF32" i="19"/>
  <c r="AF24" i="19"/>
  <c r="AF16" i="19"/>
  <c r="AF8" i="19"/>
  <c r="AF55" i="19"/>
  <c r="AF47" i="19"/>
  <c r="AF39" i="19"/>
  <c r="AF31" i="19"/>
  <c r="AF23" i="19"/>
  <c r="AF15" i="19"/>
  <c r="AF7" i="19"/>
  <c r="AF54" i="19"/>
  <c r="AF46" i="19"/>
  <c r="AF38" i="19"/>
  <c r="AF30" i="19"/>
  <c r="AF22" i="19"/>
  <c r="AF14" i="19"/>
  <c r="AF6" i="19"/>
  <c r="AF53" i="19"/>
  <c r="AF45" i="19"/>
  <c r="AF37" i="19"/>
  <c r="AF29" i="19"/>
  <c r="AF21" i="19"/>
  <c r="AF13" i="19"/>
  <c r="AF5" i="19"/>
  <c r="AF60" i="19"/>
  <c r="AF52" i="19"/>
  <c r="AF44" i="19"/>
  <c r="AF36" i="19"/>
  <c r="AF28" i="19"/>
  <c r="AF20" i="19"/>
  <c r="AF12" i="19"/>
  <c r="AF4" i="19"/>
  <c r="AC9" i="19"/>
  <c r="AC10" i="19"/>
  <c r="AC11" i="19"/>
  <c r="AC12" i="19"/>
  <c r="AC13" i="19"/>
  <c r="AC22" i="19"/>
  <c r="AC31" i="19"/>
  <c r="AC40" i="19"/>
  <c r="AC25" i="19"/>
  <c r="AC27" i="19"/>
  <c r="AC28" i="19"/>
  <c r="AC38" i="19"/>
  <c r="AC47" i="19"/>
  <c r="AC33" i="19"/>
  <c r="AC34" i="19"/>
  <c r="AC35" i="19"/>
  <c r="AC36" i="19"/>
  <c r="AC46" i="19"/>
  <c r="AC42" i="19"/>
  <c r="AC51" i="19"/>
  <c r="AC52" i="19"/>
  <c r="AC53" i="19"/>
  <c r="AC7" i="19"/>
  <c r="AC16" i="19"/>
  <c r="AC58" i="19"/>
  <c r="AC3" i="19"/>
  <c r="AC17" i="19"/>
  <c r="AC18" i="19"/>
  <c r="AC19" i="19"/>
  <c r="AC20" i="19"/>
  <c r="AC21" i="19"/>
  <c r="AC30" i="19"/>
  <c r="AC39" i="19"/>
  <c r="AC48" i="19"/>
  <c r="AC26" i="19"/>
  <c r="AC29" i="19"/>
  <c r="AC56" i="19"/>
  <c r="AC37" i="19"/>
  <c r="AC41" i="19"/>
  <c r="AC44" i="19"/>
  <c r="AC45" i="19"/>
  <c r="AC54" i="19"/>
  <c r="AC8" i="19"/>
  <c r="AC50" i="19"/>
  <c r="AC59" i="19"/>
  <c r="AC2" i="19"/>
  <c r="AC4" i="19"/>
  <c r="AC5" i="19"/>
  <c r="AC14" i="19"/>
  <c r="AC23" i="19"/>
  <c r="AC32" i="19"/>
  <c r="AC55" i="19"/>
  <c r="AC43" i="19"/>
  <c r="AC49" i="19"/>
  <c r="AC57" i="19"/>
  <c r="AC60" i="19"/>
  <c r="AC6" i="19"/>
  <c r="AC15" i="19"/>
  <c r="AC24" i="19"/>
</calcChain>
</file>

<file path=xl/comments1.xml><?xml version="1.0" encoding="utf-8"?>
<comments xmlns="http://schemas.openxmlformats.org/spreadsheetml/2006/main">
  <authors>
    <author>Ferdinando Ametrano</author>
  </authors>
  <commentList>
    <comment ref="D4" authorId="0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  <comment ref="D17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18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20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21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D32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33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35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36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D47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48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50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51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D62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63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65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66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D77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78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80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81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Ferdinando Ametrano</author>
  </authors>
  <commentList>
    <comment ref="AI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I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I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I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3.xml><?xml version="1.0" encoding="utf-8"?>
<comments xmlns="http://schemas.openxmlformats.org/spreadsheetml/2006/main">
  <authors>
    <author>Ferdinando Ametrano</author>
  </authors>
  <commentList>
    <comment ref="AO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O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O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O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4.xml><?xml version="1.0" encoding="utf-8"?>
<comments xmlns="http://schemas.openxmlformats.org/spreadsheetml/2006/main">
  <authors>
    <author>Ferdinando Ametrano</author>
  </authors>
  <commentList>
    <comment ref="AO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O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O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O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5.xml><?xml version="1.0" encoding="utf-8"?>
<comments xmlns="http://schemas.openxmlformats.org/spreadsheetml/2006/main">
  <authors>
    <author>Ferdinando Ametrano</author>
  </authors>
  <commentList>
    <comment ref="AP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P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P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P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6.xml><?xml version="1.0" encoding="utf-8"?>
<comments xmlns="http://schemas.openxmlformats.org/spreadsheetml/2006/main">
  <authors>
    <author>Ferdinando Ametrano</author>
  </authors>
  <commentList>
    <comment ref="AO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O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O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O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7.xml><?xml version="1.0" encoding="utf-8"?>
<comments xmlns="http://schemas.openxmlformats.org/spreadsheetml/2006/main">
  <authors>
    <author>Ferdinando Ametrano</author>
  </authors>
  <commentList>
    <comment ref="AI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sharedStrings.xml><?xml version="1.0" encoding="utf-8"?>
<sst xmlns="http://schemas.openxmlformats.org/spreadsheetml/2006/main" count="2308" uniqueCount="163">
  <si>
    <t>3M</t>
  </si>
  <si>
    <t>Quote Object ID</t>
  </si>
  <si>
    <t>1M</t>
  </si>
  <si>
    <t>6M</t>
  </si>
  <si>
    <t>Index</t>
  </si>
  <si>
    <t>Freq</t>
  </si>
  <si>
    <t>0D</t>
  </si>
  <si>
    <t>Modified Following</t>
  </si>
  <si>
    <t>Annual</t>
  </si>
  <si>
    <t>Type</t>
  </si>
  <si>
    <t>PiecewiseYieldCurve</t>
  </si>
  <si>
    <t>Error</t>
  </si>
  <si>
    <t>ObjectID</t>
  </si>
  <si>
    <t>NDays</t>
  </si>
  <si>
    <t>Calendar</t>
  </si>
  <si>
    <t>Accuracy</t>
  </si>
  <si>
    <t>TraitsID</t>
  </si>
  <si>
    <t>InterpolatorID</t>
  </si>
  <si>
    <t>Trigger</t>
  </si>
  <si>
    <t>Permanent</t>
  </si>
  <si>
    <t>ObjectOverwrite</t>
  </si>
  <si>
    <t>Currency</t>
  </si>
  <si>
    <t>Earliest Date</t>
  </si>
  <si>
    <t>Rate</t>
  </si>
  <si>
    <t>Rate Helpers</t>
  </si>
  <si>
    <t>Sw</t>
  </si>
  <si>
    <t>Dp</t>
  </si>
  <si>
    <t>Actual/360</t>
  </si>
  <si>
    <t>1Y</t>
  </si>
  <si>
    <t>Tenor</t>
  </si>
  <si>
    <t>Evaluation Date</t>
  </si>
  <si>
    <t>SettlementDate</t>
  </si>
  <si>
    <t>Discount</t>
  </si>
  <si>
    <t>Code</t>
  </si>
  <si>
    <t>Business Day Conv</t>
  </si>
  <si>
    <t>Family Name</t>
  </si>
  <si>
    <t xml:space="preserve"> </t>
  </si>
  <si>
    <t>ON</t>
  </si>
  <si>
    <t>1W</t>
  </si>
  <si>
    <t>2W</t>
  </si>
  <si>
    <t>3W</t>
  </si>
  <si>
    <t>2M</t>
  </si>
  <si>
    <t>4M</t>
  </si>
  <si>
    <t>5M</t>
  </si>
  <si>
    <t>7M</t>
  </si>
  <si>
    <t>8M</t>
  </si>
  <si>
    <t>9M</t>
  </si>
  <si>
    <t>10M</t>
  </si>
  <si>
    <t>11M</t>
  </si>
  <si>
    <t>15M</t>
  </si>
  <si>
    <t>18M</t>
  </si>
  <si>
    <t>21M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</si>
  <si>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</si>
  <si>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</si>
  <si>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</si>
  <si>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</si>
  <si>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</si>
  <si>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</si>
  <si>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</si>
  <si>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</si>
  <si>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</si>
  <si>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12Y</t>
  </si>
  <si>
    <t>15Y</t>
  </si>
  <si>
    <t>20Y</t>
  </si>
  <si>
    <t>25Y</t>
  </si>
  <si>
    <t>27Y</t>
  </si>
  <si>
    <t>30Y</t>
  </si>
  <si>
    <t>35Y</t>
  </si>
  <si>
    <t>40Y</t>
  </si>
  <si>
    <t>50Y</t>
  </si>
  <si>
    <t>OIS</t>
  </si>
  <si>
    <t>QuoteSuffix</t>
  </si>
  <si>
    <t>_Quote</t>
  </si>
  <si>
    <t>TN</t>
  </si>
  <si>
    <t>1D</t>
  </si>
  <si>
    <t>fwd Start</t>
  </si>
  <si>
    <t>Pillar Date</t>
  </si>
  <si>
    <t>MaturityDate</t>
  </si>
  <si>
    <t>fix days</t>
  </si>
  <si>
    <t>Instruments</t>
  </si>
  <si>
    <t>Include Flag</t>
  </si>
  <si>
    <t>Priority</t>
  </si>
  <si>
    <t>Quote Value</t>
  </si>
  <si>
    <t>Min Dist</t>
  </si>
  <si>
    <t>Conv/ Spread</t>
  </si>
  <si>
    <t>Rate Helpers Selection</t>
  </si>
  <si>
    <t>nIMMFutures</t>
  </si>
  <si>
    <t>nSerialFutures</t>
  </si>
  <si>
    <t>FrontFuturesRollingDays</t>
  </si>
  <si>
    <t>DepoFuturesPriority</t>
  </si>
  <si>
    <t>AllDepos</t>
  </si>
  <si>
    <t>Start</t>
  </si>
  <si>
    <t>End</t>
  </si>
  <si>
    <t>FRA</t>
  </si>
  <si>
    <t>FUT</t>
  </si>
  <si>
    <t>IMM</t>
  </si>
  <si>
    <t>Conv adj</t>
  </si>
  <si>
    <t>MainCycle</t>
  </si>
  <si>
    <t>11Y</t>
  </si>
  <si>
    <t>13Y</t>
  </si>
  <si>
    <t>14Y</t>
  </si>
  <si>
    <t>16Y</t>
  </si>
  <si>
    <t>17Y</t>
  </si>
  <si>
    <t>18Y</t>
  </si>
  <si>
    <t>19Y</t>
  </si>
  <si>
    <t>21Y</t>
  </si>
  <si>
    <t>22Y</t>
  </si>
  <si>
    <t>23Y</t>
  </si>
  <si>
    <t>24Y</t>
  </si>
  <si>
    <t>26Y</t>
  </si>
  <si>
    <t>28Y</t>
  </si>
  <si>
    <t>29Y</t>
  </si>
  <si>
    <t>60Y</t>
  </si>
  <si>
    <t>Spread</t>
  </si>
  <si>
    <t>fwd</t>
  </si>
  <si>
    <t>Day Count</t>
  </si>
  <si>
    <t>12M</t>
  </si>
  <si>
    <t>X1S</t>
  </si>
  <si>
    <t>BasSw</t>
  </si>
  <si>
    <t>Extrapolation</t>
  </si>
  <si>
    <t>EUR</t>
  </si>
  <si>
    <t>ibor</t>
  </si>
  <si>
    <t>TARGET</t>
  </si>
  <si>
    <t>Eonia</t>
  </si>
  <si>
    <t>EON</t>
  </si>
  <si>
    <t>30/360 (Bond Basis)</t>
  </si>
  <si>
    <t>AB</t>
  </si>
  <si>
    <t>3E</t>
  </si>
  <si>
    <t>qlRateHelperSelection(ohFilter(RateHelpers,IncludeFlag),ohFilter(Priority,IncludeFlag),$AG$3,$AG$4,$AG$5,$AG$6,ohFilter(MinDistance,IncludeFlag),Trigger)</t>
  </si>
  <si>
    <t>6E</t>
  </si>
  <si>
    <t>1E</t>
  </si>
  <si>
    <t>12E</t>
  </si>
  <si>
    <t>qlRateHelperSelection(ohFilter(RateHelpers,IncludeFlag),ohFilter(Priority,IncludeFlag),$AF$3,$AF$4,$AF$5,$AF$6,ohFilter(MinDistance,IncludeFlag),Trigger)</t>
  </si>
  <si>
    <t>LCHQuoteSuffix</t>
  </si>
  <si>
    <t>LCHlinear</t>
  </si>
  <si>
    <t>LCHcubic</t>
  </si>
  <si>
    <t>Discounting1</t>
  </si>
  <si>
    <t>Discounting2</t>
  </si>
  <si>
    <t>_LCHQuote</t>
  </si>
  <si>
    <t>_linearLCH</t>
  </si>
  <si>
    <t>_cubicLCH</t>
  </si>
  <si>
    <t>DiscountingSTD</t>
  </si>
  <si>
    <t>ZeroYield</t>
  </si>
  <si>
    <t>Linear</t>
  </si>
  <si>
    <t>LogCubicNaturalSpline</t>
  </si>
  <si>
    <t>LCHQuoteOverwrite</t>
  </si>
  <si>
    <t>spread</t>
  </si>
  <si>
    <t>Start Date</t>
  </si>
  <si>
    <t>Custom Date</t>
  </si>
  <si>
    <t>qlSwapRateHelper2(,H34,2,B34,Calendar,D34,E34,F34,G34,I34,C34,Discounting1,PillarDate,,Permanent,Trigger,ObjectOverwrite)</t>
  </si>
  <si>
    <t>Rate Helpers 1</t>
  </si>
  <si>
    <t>Rate Helpers 2</t>
  </si>
  <si>
    <t>Rate Helper 2</t>
  </si>
  <si>
    <t>qlSwapRateHelper2(,$H19,2,$B19,Calendar,$D19,$E19,$F19,$G19,$I19,$C19,Discounting1,PillarDate,,Permanent,Trigger,ObjectOverwrite)</t>
  </si>
  <si>
    <t>Cubic</t>
  </si>
  <si>
    <t>linear</t>
  </si>
  <si>
    <t>cubic</t>
  </si>
  <si>
    <t>2D</t>
  </si>
  <si>
    <t>SW</t>
  </si>
  <si>
    <t>EOD</t>
  </si>
  <si>
    <t>Business Day Convention</t>
  </si>
  <si>
    <t>MainCycl</t>
  </si>
  <si>
    <t>Conv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</si>
</sst>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7">
    <numFmt numFmtId="43" formatCode="_(* #,##0.00_);_(* \(#,##0.00\);_(* &quot;-&quot;??_);_(@_)"/>
    <numFmt numFmtId="164" formatCode="mm/dd/yy;@"/>
    <numFmt numFmtId="165" formatCode="0.0000%"/>
    <numFmt numFmtId="166" formatCode="0.00000%"/>
    <numFmt numFmtId="167" formatCode="ddd\,\ dd\-mmm\-yyyy"/>
    <numFmt numFmtId="168" formatCode="ddd\,\ dd\-mmm\-yyyy\,\ hh:mm:ss"/>
    <numFmt numFmtId="169" formatCode="ddd\,\ d\-mmm\-yy"/>
    <numFmt numFmtId="170" formatCode="ddd\,\ d\-mmm\-yyyy"/>
    <numFmt numFmtId="171" formatCode="0.000000000"/>
    <numFmt numFmtId="172" formatCode="ddd\,\ d\-mmm\-yyyy\,\ hh:mm:ss"/>
    <numFmt numFmtId="173" formatCode="0.000000"/>
    <numFmt numFmtId="174" formatCode="_([$€-2]* #,##0.00_);_([$€-2]* \(#,##0.00\);_([$€-2]* &quot;-&quot;??_)"/>
    <numFmt numFmtId="175" formatCode="General_)"/>
    <numFmt numFmtId="176" formatCode="#,##0.0;#,##0.0"/>
    <numFmt numFmtId="177" formatCode="&quot;£&quot;#,##0;[Red]\-&quot;£&quot;#,##0"/>
    <numFmt numFmtId="178" formatCode="dd\-mmm\-yy"/>
    <numFmt numFmtId="179" formatCode="0.0000"/>
  </numFmts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8"/>
      <name val="Courier New"/>
      <family val="3"/>
    </font>
    <font>
      <sz val="8"/>
      <color indexed="81"/>
      <name val="Tahoma"/>
      <family val="2"/>
    </font>
    <font>
      <sz val="8"/>
      <color theme="1"/>
      <name val="Courier New"/>
      <family val="3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b/>
      <sz val="8"/>
      <name val="Courier New"/>
      <family val="3"/>
    </font>
  </fonts>
  <fills count="1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lightUp">
        <bgColor theme="8" tint="0.59996337778862885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ashed">
        <color indexed="64"/>
      </bottom>
      <diagonal/>
    </border>
  </borders>
  <cellStyleXfs count="13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74" fontId="1" fillId="0" borderId="0" applyFont="0" applyFill="0" applyBorder="0" applyAlignment="0" applyProtection="0"/>
    <xf numFmtId="38" fontId="6" fillId="0" borderId="0" applyFont="0" applyFill="0" applyBorder="0" applyAlignment="0" applyProtection="0"/>
    <xf numFmtId="40" fontId="6" fillId="0" borderId="0" applyFont="0" applyFill="0" applyBorder="0" applyAlignment="0" applyProtection="0"/>
    <xf numFmtId="175" fontId="7" fillId="0" borderId="0"/>
    <xf numFmtId="176" fontId="8" fillId="5" borderId="0">
      <alignment horizontal="center" vertical="center"/>
    </xf>
    <xf numFmtId="177" fontId="6" fillId="0" borderId="0" applyFont="0" applyFill="0" applyBorder="0" applyAlignment="0" applyProtection="0"/>
    <xf numFmtId="177" fontId="6" fillId="0" borderId="0" applyFont="0" applyFill="0" applyBorder="0" applyAlignment="0" applyProtection="0"/>
  </cellStyleXfs>
  <cellXfs count="217">
    <xf numFmtId="0" fontId="0" fillId="0" borderId="0" xfId="0"/>
    <xf numFmtId="164" fontId="3" fillId="2" borderId="1" xfId="1" applyNumberFormat="1" applyFont="1" applyFill="1" applyBorder="1" applyAlignment="1"/>
    <xf numFmtId="166" fontId="3" fillId="3" borderId="1" xfId="1" applyNumberFormat="1" applyFont="1" applyFill="1" applyBorder="1" applyAlignment="1">
      <alignment horizontal="right"/>
    </xf>
    <xf numFmtId="0" fontId="3" fillId="2" borderId="1" xfId="1" applyNumberFormat="1" applyFont="1" applyFill="1" applyBorder="1" applyAlignment="1">
      <alignment horizontal="left"/>
    </xf>
    <xf numFmtId="0" fontId="5" fillId="0" borderId="6" xfId="0" applyFont="1" applyBorder="1"/>
    <xf numFmtId="167" fontId="5" fillId="0" borderId="6" xfId="0" applyNumberFormat="1" applyFont="1" applyBorder="1"/>
    <xf numFmtId="0" fontId="5" fillId="0" borderId="1" xfId="0" applyFont="1" applyBorder="1"/>
    <xf numFmtId="0" fontId="3" fillId="2" borderId="1" xfId="1" applyNumberFormat="1" applyFont="1" applyFill="1" applyBorder="1" applyAlignment="1">
      <alignment horizontal="center" vertical="center"/>
    </xf>
    <xf numFmtId="164" fontId="3" fillId="2" borderId="1" xfId="1" applyNumberFormat="1" applyFont="1" applyFill="1" applyBorder="1" applyAlignment="1">
      <alignment horizontal="right" vertical="center"/>
    </xf>
    <xf numFmtId="164" fontId="3" fillId="2" borderId="1" xfId="1" applyNumberFormat="1" applyFont="1" applyFill="1" applyBorder="1" applyAlignment="1">
      <alignment horizontal="center" vertical="center"/>
    </xf>
    <xf numFmtId="164" fontId="5" fillId="0" borderId="6" xfId="0" applyNumberFormat="1" applyFont="1" applyBorder="1"/>
    <xf numFmtId="164" fontId="5" fillId="0" borderId="1" xfId="0" applyNumberFormat="1" applyFont="1" applyBorder="1"/>
    <xf numFmtId="167" fontId="5" fillId="0" borderId="1" xfId="0" applyNumberFormat="1" applyFont="1" applyBorder="1"/>
    <xf numFmtId="0" fontId="3" fillId="7" borderId="8" xfId="1" applyFont="1" applyFill="1" applyBorder="1"/>
    <xf numFmtId="0" fontId="3" fillId="7" borderId="6" xfId="1" applyFont="1" applyFill="1" applyBorder="1"/>
    <xf numFmtId="0" fontId="3" fillId="2" borderId="10" xfId="1" applyFont="1" applyFill="1" applyBorder="1" applyAlignment="1">
      <alignment horizontal="center"/>
    </xf>
    <xf numFmtId="0" fontId="3" fillId="7" borderId="1" xfId="1" applyFont="1" applyFill="1" applyBorder="1"/>
    <xf numFmtId="0" fontId="3" fillId="7" borderId="2" xfId="1" applyFont="1" applyFill="1" applyBorder="1"/>
    <xf numFmtId="172" fontId="3" fillId="6" borderId="15" xfId="1" applyNumberFormat="1" applyFont="1" applyFill="1" applyBorder="1" applyAlignment="1">
      <alignment horizontal="center"/>
    </xf>
    <xf numFmtId="0" fontId="9" fillId="7" borderId="8" xfId="1" applyFont="1" applyFill="1" applyBorder="1" applyAlignment="1">
      <alignment horizontal="right"/>
    </xf>
    <xf numFmtId="0" fontId="3" fillId="2" borderId="7" xfId="3" applyFont="1" applyFill="1" applyBorder="1"/>
    <xf numFmtId="0" fontId="9" fillId="7" borderId="1" xfId="1" applyFont="1" applyFill="1" applyBorder="1" applyAlignment="1">
      <alignment horizontal="right"/>
    </xf>
    <xf numFmtId="169" fontId="3" fillId="4" borderId="9" xfId="1" applyNumberFormat="1" applyFont="1" applyFill="1" applyBorder="1" applyAlignment="1">
      <alignment horizontal="center"/>
    </xf>
    <xf numFmtId="0" fontId="9" fillId="7" borderId="6" xfId="1" applyFont="1" applyFill="1" applyBorder="1" applyAlignment="1">
      <alignment horizontal="right"/>
    </xf>
    <xf numFmtId="3" fontId="3" fillId="4" borderId="10" xfId="1" applyNumberFormat="1" applyFont="1" applyFill="1" applyBorder="1" applyAlignment="1">
      <alignment horizontal="center"/>
    </xf>
    <xf numFmtId="11" fontId="3" fillId="4" borderId="10" xfId="1" applyNumberFormat="1" applyFont="1" applyFill="1" applyBorder="1" applyAlignment="1">
      <alignment horizontal="center"/>
    </xf>
    <xf numFmtId="0" fontId="3" fillId="4" borderId="10" xfId="1" applyFont="1" applyFill="1" applyBorder="1" applyAlignment="1">
      <alignment horizontal="center"/>
    </xf>
    <xf numFmtId="0" fontId="3" fillId="4" borderId="3" xfId="1" applyFont="1" applyFill="1" applyBorder="1" applyAlignment="1">
      <alignment horizontal="center"/>
    </xf>
    <xf numFmtId="168" fontId="3" fillId="2" borderId="0" xfId="3" applyNumberFormat="1" applyFont="1" applyFill="1" applyBorder="1" applyAlignment="1">
      <alignment horizontal="center"/>
    </xf>
    <xf numFmtId="170" fontId="3" fillId="2" borderId="8" xfId="1" applyNumberFormat="1" applyFont="1" applyFill="1" applyBorder="1" applyAlignment="1">
      <alignment horizontal="right"/>
    </xf>
    <xf numFmtId="171" fontId="3" fillId="2" borderId="8" xfId="1" applyNumberFormat="1" applyFont="1" applyFill="1" applyBorder="1" applyAlignment="1">
      <alignment horizontal="center"/>
    </xf>
    <xf numFmtId="170" fontId="3" fillId="2" borderId="6" xfId="1" applyNumberFormat="1" applyFont="1" applyFill="1" applyBorder="1" applyAlignment="1">
      <alignment horizontal="right"/>
    </xf>
    <xf numFmtId="171" fontId="3" fillId="2" borderId="6" xfId="1" applyNumberFormat="1" applyFont="1" applyFill="1" applyBorder="1" applyAlignment="1">
      <alignment horizontal="center"/>
    </xf>
    <xf numFmtId="0" fontId="3" fillId="2" borderId="1" xfId="3" applyFont="1" applyFill="1" applyBorder="1" applyAlignment="1">
      <alignment horizontal="right"/>
    </xf>
    <xf numFmtId="0" fontId="3" fillId="2" borderId="3" xfId="3" applyFont="1" applyFill="1" applyBorder="1"/>
    <xf numFmtId="0" fontId="5" fillId="0" borderId="11" xfId="0" applyFont="1" applyBorder="1"/>
    <xf numFmtId="0" fontId="5" fillId="0" borderId="12" xfId="0" applyFont="1" applyBorder="1"/>
    <xf numFmtId="0" fontId="5" fillId="0" borderId="9" xfId="0" applyFont="1" applyBorder="1"/>
    <xf numFmtId="0" fontId="5" fillId="0" borderId="7" xfId="0" applyFont="1" applyBorder="1"/>
    <xf numFmtId="0" fontId="5" fillId="0" borderId="9" xfId="0" applyFont="1" applyBorder="1" applyAlignment="1">
      <alignment horizontal="center" vertical="center"/>
    </xf>
    <xf numFmtId="0" fontId="5" fillId="0" borderId="10" xfId="0" applyFont="1" applyBorder="1"/>
    <xf numFmtId="0" fontId="5" fillId="0" borderId="10" xfId="0" applyFont="1" applyBorder="1" applyAlignment="1">
      <alignment horizontal="center" vertical="center"/>
    </xf>
    <xf numFmtId="0" fontId="5" fillId="0" borderId="5" xfId="0" applyFont="1" applyBorder="1"/>
    <xf numFmtId="0" fontId="5" fillId="0" borderId="4" xfId="0" applyFont="1" applyBorder="1"/>
    <xf numFmtId="0" fontId="5" fillId="0" borderId="3" xfId="0" applyFont="1" applyBorder="1"/>
    <xf numFmtId="0" fontId="5" fillId="0" borderId="13" xfId="0" applyFont="1" applyBorder="1"/>
    <xf numFmtId="0" fontId="5" fillId="8" borderId="0" xfId="0" applyFont="1" applyFill="1"/>
    <xf numFmtId="168" fontId="3" fillId="8" borderId="0" xfId="3" applyNumberFormat="1" applyFont="1" applyFill="1" applyBorder="1" applyAlignment="1">
      <alignment horizontal="center"/>
    </xf>
    <xf numFmtId="0" fontId="5" fillId="8" borderId="0" xfId="0" applyFont="1" applyFill="1" applyBorder="1"/>
    <xf numFmtId="0" fontId="3" fillId="8" borderId="0" xfId="1" applyFont="1" applyFill="1" applyBorder="1"/>
    <xf numFmtId="0" fontId="5" fillId="8" borderId="0" xfId="0" applyFont="1" applyFill="1" applyAlignment="1">
      <alignment horizontal="center" vertical="center"/>
    </xf>
    <xf numFmtId="0" fontId="5" fillId="8" borderId="0" xfId="0" applyFont="1" applyFill="1" applyAlignment="1">
      <alignment horizontal="right" vertical="center"/>
    </xf>
    <xf numFmtId="0" fontId="5" fillId="8" borderId="0" xfId="0" applyFont="1" applyFill="1" applyAlignment="1">
      <alignment horizontal="right"/>
    </xf>
    <xf numFmtId="164" fontId="3" fillId="2" borderId="8" xfId="1" applyNumberFormat="1" applyFont="1" applyFill="1" applyBorder="1" applyAlignment="1"/>
    <xf numFmtId="164" fontId="3" fillId="2" borderId="8" xfId="1" applyNumberFormat="1" applyFont="1" applyFill="1" applyBorder="1" applyAlignment="1">
      <alignment horizontal="right" vertical="center"/>
    </xf>
    <xf numFmtId="0" fontId="3" fillId="2" borderId="8" xfId="1" applyNumberFormat="1" applyFont="1" applyFill="1" applyBorder="1" applyAlignment="1">
      <alignment horizontal="center" vertical="center"/>
    </xf>
    <xf numFmtId="164" fontId="3" fillId="2" borderId="8" xfId="1" applyNumberFormat="1" applyFont="1" applyFill="1" applyBorder="1" applyAlignment="1">
      <alignment horizontal="center" vertical="center"/>
    </xf>
    <xf numFmtId="166" fontId="3" fillId="3" borderId="8" xfId="1" applyNumberFormat="1" applyFont="1" applyFill="1" applyBorder="1" applyAlignment="1">
      <alignment horizontal="right"/>
    </xf>
    <xf numFmtId="0" fontId="3" fillId="2" borderId="8" xfId="1" applyNumberFormat="1" applyFont="1" applyFill="1" applyBorder="1" applyAlignment="1">
      <alignment horizontal="left"/>
    </xf>
    <xf numFmtId="164" fontId="3" fillId="2" borderId="6" xfId="1" applyNumberFormat="1" applyFont="1" applyFill="1" applyBorder="1" applyAlignment="1"/>
    <xf numFmtId="164" fontId="3" fillId="2" borderId="6" xfId="1" applyNumberFormat="1" applyFont="1" applyFill="1" applyBorder="1" applyAlignment="1">
      <alignment horizontal="right" vertical="center"/>
    </xf>
    <xf numFmtId="0" fontId="3" fillId="2" borderId="6" xfId="1" applyNumberFormat="1" applyFont="1" applyFill="1" applyBorder="1" applyAlignment="1">
      <alignment horizontal="center" vertical="center"/>
    </xf>
    <xf numFmtId="164" fontId="3" fillId="2" borderId="6" xfId="1" applyNumberFormat="1" applyFont="1" applyFill="1" applyBorder="1" applyAlignment="1">
      <alignment horizontal="center" vertical="center"/>
    </xf>
    <xf numFmtId="166" fontId="3" fillId="3" borderId="6" xfId="1" applyNumberFormat="1" applyFont="1" applyFill="1" applyBorder="1" applyAlignment="1">
      <alignment horizontal="right"/>
    </xf>
    <xf numFmtId="0" fontId="3" fillId="2" borderId="6" xfId="1" applyNumberFormat="1" applyFont="1" applyFill="1" applyBorder="1" applyAlignment="1">
      <alignment horizontal="left"/>
    </xf>
    <xf numFmtId="0" fontId="9" fillId="7" borderId="2" xfId="1" applyFont="1" applyFill="1" applyBorder="1" applyAlignment="1">
      <alignment horizontal="center" vertical="center" wrapText="1"/>
    </xf>
    <xf numFmtId="0" fontId="3" fillId="7" borderId="12" xfId="0" applyFont="1" applyFill="1" applyBorder="1" applyAlignment="1">
      <alignment horizontal="centerContinuous" vertical="center"/>
    </xf>
    <xf numFmtId="0" fontId="3" fillId="7" borderId="14" xfId="0" applyFont="1" applyFill="1" applyBorder="1" applyAlignment="1">
      <alignment horizontal="centerContinuous" vertical="center"/>
    </xf>
    <xf numFmtId="164" fontId="5" fillId="0" borderId="8" xfId="0" applyNumberFormat="1" applyFont="1" applyBorder="1"/>
    <xf numFmtId="173" fontId="3" fillId="7" borderId="12" xfId="0" applyNumberFormat="1" applyFont="1" applyFill="1" applyBorder="1" applyAlignment="1">
      <alignment horizontal="centerContinuous" vertical="center"/>
    </xf>
    <xf numFmtId="165" fontId="5" fillId="0" borderId="6" xfId="0" applyNumberFormat="1" applyFont="1" applyBorder="1"/>
    <xf numFmtId="164" fontId="5" fillId="3" borderId="6" xfId="0" applyNumberFormat="1" applyFont="1" applyFill="1" applyBorder="1"/>
    <xf numFmtId="164" fontId="5" fillId="3" borderId="1" xfId="0" applyNumberFormat="1" applyFont="1" applyFill="1" applyBorder="1"/>
    <xf numFmtId="0" fontId="3" fillId="7" borderId="2" xfId="0" applyFont="1" applyFill="1" applyBorder="1" applyAlignment="1">
      <alignment horizontal="center" vertical="center" wrapText="1"/>
    </xf>
    <xf numFmtId="0" fontId="3" fillId="7" borderId="11" xfId="0" applyFont="1" applyFill="1" applyBorder="1" applyAlignment="1">
      <alignment horizontal="centerContinuous" vertical="center"/>
    </xf>
    <xf numFmtId="173" fontId="3" fillId="7" borderId="2" xfId="0" applyNumberFormat="1" applyFont="1" applyFill="1" applyBorder="1" applyAlignment="1">
      <alignment horizontal="center" vertical="center" wrapText="1"/>
    </xf>
    <xf numFmtId="171" fontId="5" fillId="0" borderId="8" xfId="0" applyNumberFormat="1" applyFont="1" applyBorder="1"/>
    <xf numFmtId="171" fontId="5" fillId="0" borderId="6" xfId="0" applyNumberFormat="1" applyFont="1" applyBorder="1"/>
    <xf numFmtId="171" fontId="5" fillId="0" borderId="1" xfId="0" applyNumberFormat="1" applyFont="1" applyBorder="1"/>
    <xf numFmtId="165" fontId="5" fillId="0" borderId="1" xfId="0" applyNumberFormat="1" applyFont="1" applyBorder="1"/>
    <xf numFmtId="171" fontId="5" fillId="8" borderId="0" xfId="0" applyNumberFormat="1" applyFont="1" applyFill="1"/>
    <xf numFmtId="0" fontId="3" fillId="2" borderId="9" xfId="1" applyFont="1" applyFill="1" applyBorder="1" applyAlignment="1">
      <alignment horizontal="center"/>
    </xf>
    <xf numFmtId="0" fontId="5" fillId="3" borderId="11" xfId="0" applyFont="1" applyFill="1" applyBorder="1"/>
    <xf numFmtId="0" fontId="5" fillId="3" borderId="12" xfId="0" applyFont="1" applyFill="1" applyBorder="1"/>
    <xf numFmtId="0" fontId="5" fillId="3" borderId="9" xfId="0" applyFont="1" applyFill="1" applyBorder="1"/>
    <xf numFmtId="0" fontId="5" fillId="3" borderId="10" xfId="0" applyFont="1" applyFill="1" applyBorder="1"/>
    <xf numFmtId="0" fontId="5" fillId="3" borderId="3" xfId="0" applyFont="1" applyFill="1" applyBorder="1"/>
    <xf numFmtId="0" fontId="5" fillId="3" borderId="7" xfId="0" applyFont="1" applyFill="1" applyBorder="1"/>
    <xf numFmtId="0" fontId="3" fillId="3" borderId="6" xfId="3" applyFont="1" applyFill="1" applyBorder="1"/>
    <xf numFmtId="0" fontId="3" fillId="3" borderId="7" xfId="3" applyFont="1" applyFill="1" applyBorder="1"/>
    <xf numFmtId="0" fontId="3" fillId="3" borderId="5" xfId="3" applyFont="1" applyFill="1" applyBorder="1"/>
    <xf numFmtId="0" fontId="3" fillId="3" borderId="4" xfId="1" applyFont="1" applyFill="1" applyBorder="1"/>
    <xf numFmtId="172" fontId="3" fillId="3" borderId="4" xfId="1" applyNumberFormat="1" applyFont="1" applyFill="1" applyBorder="1" applyAlignment="1">
      <alignment horizontal="center"/>
    </xf>
    <xf numFmtId="0" fontId="3" fillId="8" borderId="0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7" borderId="15" xfId="0" applyFont="1" applyFill="1" applyBorder="1" applyAlignment="1">
      <alignment horizontal="centerContinuous" vertical="center"/>
    </xf>
    <xf numFmtId="0" fontId="5" fillId="0" borderId="6" xfId="0" applyFont="1" applyBorder="1" applyAlignment="1">
      <alignment horizontal="center"/>
    </xf>
    <xf numFmtId="165" fontId="5" fillId="0" borderId="6" xfId="0" applyNumberFormat="1" applyFont="1" applyBorder="1" applyAlignment="1">
      <alignment horizontal="center"/>
    </xf>
    <xf numFmtId="178" fontId="5" fillId="0" borderId="6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165" fontId="5" fillId="0" borderId="1" xfId="0" applyNumberFormat="1" applyFont="1" applyBorder="1" applyAlignment="1">
      <alignment horizontal="center"/>
    </xf>
    <xf numFmtId="178" fontId="5" fillId="0" borderId="1" xfId="0" applyNumberFormat="1" applyFont="1" applyBorder="1" applyAlignment="1">
      <alignment horizontal="center"/>
    </xf>
    <xf numFmtId="0" fontId="5" fillId="8" borderId="0" xfId="0" applyFont="1" applyFill="1" applyAlignment="1">
      <alignment horizontal="center"/>
    </xf>
    <xf numFmtId="165" fontId="5" fillId="0" borderId="6" xfId="0" applyNumberFormat="1" applyFont="1" applyBorder="1" applyAlignment="1">
      <alignment horizontal="center" vertical="center"/>
    </xf>
    <xf numFmtId="165" fontId="5" fillId="0" borderId="1" xfId="0" applyNumberFormat="1" applyFont="1" applyBorder="1" applyAlignment="1">
      <alignment horizontal="center" vertical="center"/>
    </xf>
    <xf numFmtId="0" fontId="3" fillId="7" borderId="13" xfId="0" applyFont="1" applyFill="1" applyBorder="1" applyAlignment="1">
      <alignment horizontal="centerContinuous" vertical="center"/>
    </xf>
    <xf numFmtId="0" fontId="9" fillId="9" borderId="2" xfId="1" applyFont="1" applyFill="1" applyBorder="1" applyAlignment="1">
      <alignment horizontal="right"/>
    </xf>
    <xf numFmtId="3" fontId="3" fillId="4" borderId="2" xfId="1" applyNumberFormat="1" applyFont="1" applyFill="1" applyBorder="1" applyAlignment="1">
      <alignment horizontal="center"/>
    </xf>
    <xf numFmtId="0" fontId="3" fillId="4" borderId="2" xfId="1" applyFont="1" applyFill="1" applyBorder="1" applyAlignment="1">
      <alignment horizontal="center"/>
    </xf>
    <xf numFmtId="164" fontId="3" fillId="2" borderId="2" xfId="1" applyNumberFormat="1" applyFont="1" applyFill="1" applyBorder="1" applyAlignment="1"/>
    <xf numFmtId="164" fontId="3" fillId="2" borderId="2" xfId="1" applyNumberFormat="1" applyFont="1" applyFill="1" applyBorder="1" applyAlignment="1">
      <alignment horizontal="right" vertical="center"/>
    </xf>
    <xf numFmtId="164" fontId="3" fillId="2" borderId="2" xfId="1" applyNumberFormat="1" applyFont="1" applyFill="1" applyBorder="1" applyAlignment="1">
      <alignment horizontal="center" vertical="center"/>
    </xf>
    <xf numFmtId="0" fontId="3" fillId="2" borderId="2" xfId="1" applyNumberFormat="1" applyFont="1" applyFill="1" applyBorder="1" applyAlignment="1">
      <alignment horizontal="center" vertical="center"/>
    </xf>
    <xf numFmtId="0" fontId="3" fillId="2" borderId="2" xfId="1" applyNumberFormat="1" applyFont="1" applyFill="1" applyBorder="1" applyAlignment="1">
      <alignment horizontal="left"/>
    </xf>
    <xf numFmtId="0" fontId="3" fillId="2" borderId="8" xfId="1" applyNumberFormat="1" applyFont="1" applyFill="1" applyBorder="1" applyAlignment="1">
      <alignment horizontal="right" vertical="center"/>
    </xf>
    <xf numFmtId="0" fontId="3" fillId="2" borderId="6" xfId="1" applyNumberFormat="1" applyFont="1" applyFill="1" applyBorder="1" applyAlignment="1">
      <alignment horizontal="right" vertical="center"/>
    </xf>
    <xf numFmtId="0" fontId="3" fillId="2" borderId="1" xfId="1" applyNumberFormat="1" applyFont="1" applyFill="1" applyBorder="1" applyAlignment="1">
      <alignment horizontal="right" vertical="center"/>
    </xf>
    <xf numFmtId="166" fontId="3" fillId="3" borderId="8" xfId="1" applyNumberFormat="1" applyFont="1" applyFill="1" applyBorder="1" applyAlignment="1"/>
    <xf numFmtId="166" fontId="3" fillId="3" borderId="6" xfId="1" applyNumberFormat="1" applyFont="1" applyFill="1" applyBorder="1" applyAlignment="1"/>
    <xf numFmtId="166" fontId="3" fillId="3" borderId="1" xfId="1" applyNumberFormat="1" applyFont="1" applyFill="1" applyBorder="1" applyAlignment="1"/>
    <xf numFmtId="166" fontId="3" fillId="3" borderId="1" xfId="1" applyNumberFormat="1" applyFont="1" applyFill="1" applyBorder="1" applyAlignment="1">
      <alignment horizontal="left"/>
    </xf>
    <xf numFmtId="164" fontId="3" fillId="10" borderId="2" xfId="1" applyNumberFormat="1" applyFont="1" applyFill="1" applyBorder="1" applyAlignment="1">
      <alignment horizontal="center" vertical="center"/>
    </xf>
    <xf numFmtId="164" fontId="3" fillId="10" borderId="6" xfId="1" applyNumberFormat="1" applyFont="1" applyFill="1" applyBorder="1" applyAlignment="1">
      <alignment horizontal="center" vertical="center"/>
    </xf>
    <xf numFmtId="164" fontId="3" fillId="10" borderId="1" xfId="1" applyNumberFormat="1" applyFont="1" applyFill="1" applyBorder="1" applyAlignment="1">
      <alignment horizontal="center" vertical="center"/>
    </xf>
    <xf numFmtId="166" fontId="3" fillId="3" borderId="6" xfId="1" applyNumberFormat="1" applyFont="1" applyFill="1" applyBorder="1" applyAlignment="1">
      <alignment horizontal="center"/>
    </xf>
    <xf numFmtId="166" fontId="3" fillId="3" borderId="8" xfId="1" applyNumberFormat="1" applyFont="1" applyFill="1" applyBorder="1" applyAlignment="1">
      <alignment horizontal="center" vertical="center"/>
    </xf>
    <xf numFmtId="166" fontId="3" fillId="3" borderId="6" xfId="1" applyNumberFormat="1" applyFont="1" applyFill="1" applyBorder="1" applyAlignment="1">
      <alignment horizontal="center" vertical="center"/>
    </xf>
    <xf numFmtId="166" fontId="3" fillId="3" borderId="1" xfId="1" applyNumberFormat="1" applyFont="1" applyFill="1" applyBorder="1" applyAlignment="1">
      <alignment horizontal="center"/>
    </xf>
    <xf numFmtId="164" fontId="3" fillId="10" borderId="8" xfId="1" applyNumberFormat="1" applyFont="1" applyFill="1" applyBorder="1" applyAlignment="1">
      <alignment horizontal="center" vertical="center"/>
    </xf>
    <xf numFmtId="166" fontId="3" fillId="3" borderId="1" xfId="1" applyNumberFormat="1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/>
    </xf>
    <xf numFmtId="165" fontId="5" fillId="0" borderId="8" xfId="0" applyNumberFormat="1" applyFont="1" applyBorder="1" applyAlignment="1">
      <alignment horizontal="center"/>
    </xf>
    <xf numFmtId="178" fontId="5" fillId="0" borderId="8" xfId="0" applyNumberFormat="1" applyFont="1" applyBorder="1" applyAlignment="1">
      <alignment horizontal="center"/>
    </xf>
    <xf numFmtId="164" fontId="5" fillId="3" borderId="8" xfId="0" applyNumberFormat="1" applyFont="1" applyFill="1" applyBorder="1"/>
    <xf numFmtId="0" fontId="5" fillId="3" borderId="8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/>
    </xf>
    <xf numFmtId="165" fontId="5" fillId="3" borderId="8" xfId="0" applyNumberFormat="1" applyFont="1" applyFill="1" applyBorder="1" applyAlignment="1">
      <alignment horizontal="center"/>
    </xf>
    <xf numFmtId="178" fontId="5" fillId="3" borderId="8" xfId="0" applyNumberFormat="1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/>
    </xf>
    <xf numFmtId="165" fontId="5" fillId="3" borderId="6" xfId="0" applyNumberFormat="1" applyFont="1" applyFill="1" applyBorder="1" applyAlignment="1">
      <alignment horizontal="center"/>
    </xf>
    <xf numFmtId="178" fontId="5" fillId="3" borderId="6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0" borderId="8" xfId="0" applyFont="1" applyBorder="1" applyAlignment="1"/>
    <xf numFmtId="0" fontId="5" fillId="0" borderId="6" xfId="0" applyFont="1" applyBorder="1" applyAlignment="1"/>
    <xf numFmtId="0" fontId="5" fillId="0" borderId="1" xfId="0" applyFont="1" applyBorder="1" applyAlignment="1"/>
    <xf numFmtId="0" fontId="5" fillId="3" borderId="8" xfId="0" applyFont="1" applyFill="1" applyBorder="1" applyAlignment="1"/>
    <xf numFmtId="0" fontId="5" fillId="3" borderId="6" xfId="0" applyFont="1" applyFill="1" applyBorder="1" applyAlignment="1"/>
    <xf numFmtId="179" fontId="5" fillId="0" borderId="6" xfId="0" applyNumberFormat="1" applyFont="1" applyBorder="1" applyAlignment="1">
      <alignment horizontal="center"/>
    </xf>
    <xf numFmtId="179" fontId="5" fillId="0" borderId="1" xfId="0" applyNumberFormat="1" applyFont="1" applyBorder="1" applyAlignment="1">
      <alignment horizontal="center"/>
    </xf>
    <xf numFmtId="178" fontId="5" fillId="3" borderId="1" xfId="0" applyNumberFormat="1" applyFont="1" applyFill="1" applyBorder="1" applyAlignment="1">
      <alignment horizontal="center"/>
    </xf>
    <xf numFmtId="0" fontId="5" fillId="3" borderId="1" xfId="0" applyFont="1" applyFill="1" applyBorder="1" applyAlignment="1"/>
    <xf numFmtId="165" fontId="5" fillId="3" borderId="1" xfId="0" applyNumberFormat="1" applyFont="1" applyFill="1" applyBorder="1" applyAlignment="1">
      <alignment horizontal="center"/>
    </xf>
    <xf numFmtId="166" fontId="3" fillId="3" borderId="6" xfId="1" applyNumberFormat="1" applyFont="1" applyFill="1" applyBorder="1" applyAlignment="1">
      <alignment vertical="center"/>
    </xf>
    <xf numFmtId="166" fontId="3" fillId="3" borderId="1" xfId="1" applyNumberFormat="1" applyFont="1" applyFill="1" applyBorder="1" applyAlignment="1">
      <alignment vertical="center"/>
    </xf>
    <xf numFmtId="178" fontId="3" fillId="2" borderId="6" xfId="1" applyNumberFormat="1" applyFont="1" applyFill="1" applyBorder="1" applyAlignment="1">
      <alignment horizontal="center" vertical="center"/>
    </xf>
    <xf numFmtId="178" fontId="3" fillId="2" borderId="1" xfId="1" applyNumberFormat="1" applyFont="1" applyFill="1" applyBorder="1" applyAlignment="1">
      <alignment horizontal="center" vertical="center"/>
    </xf>
    <xf numFmtId="172" fontId="3" fillId="2" borderId="8" xfId="1" applyNumberFormat="1" applyFont="1" applyFill="1" applyBorder="1" applyAlignment="1">
      <alignment horizontal="center"/>
    </xf>
    <xf numFmtId="172" fontId="3" fillId="2" borderId="6" xfId="1" applyNumberFormat="1" applyFont="1" applyFill="1" applyBorder="1" applyAlignment="1">
      <alignment horizontal="center"/>
    </xf>
    <xf numFmtId="164" fontId="5" fillId="8" borderId="0" xfId="0" applyNumberFormat="1" applyFont="1" applyFill="1"/>
    <xf numFmtId="11" fontId="5" fillId="8" borderId="0" xfId="0" applyNumberFormat="1" applyFont="1" applyFill="1"/>
    <xf numFmtId="167" fontId="3" fillId="2" borderId="6" xfId="1" applyNumberFormat="1" applyFont="1" applyFill="1" applyBorder="1" applyAlignment="1">
      <alignment horizontal="center"/>
    </xf>
    <xf numFmtId="167" fontId="3" fillId="2" borderId="8" xfId="1" applyNumberFormat="1" applyFont="1" applyFill="1" applyBorder="1" applyAlignment="1">
      <alignment horizontal="center"/>
    </xf>
    <xf numFmtId="172" fontId="3" fillId="2" borderId="1" xfId="1" applyNumberFormat="1" applyFont="1" applyFill="1" applyBorder="1" applyAlignment="1">
      <alignment horizontal="center"/>
    </xf>
    <xf numFmtId="172" fontId="3" fillId="9" borderId="10" xfId="1" applyNumberFormat="1" applyFont="1" applyFill="1" applyBorder="1" applyAlignment="1">
      <alignment horizontal="center"/>
    </xf>
    <xf numFmtId="0" fontId="3" fillId="3" borderId="13" xfId="1" applyFont="1" applyFill="1" applyBorder="1"/>
    <xf numFmtId="172" fontId="3" fillId="3" borderId="13" xfId="1" applyNumberFormat="1" applyFont="1" applyFill="1" applyBorder="1" applyAlignment="1">
      <alignment horizontal="center"/>
    </xf>
    <xf numFmtId="166" fontId="3" fillId="3" borderId="2" xfId="1" applyNumberFormat="1" applyFont="1" applyFill="1" applyBorder="1" applyAlignment="1">
      <alignment horizontal="right"/>
    </xf>
    <xf numFmtId="178" fontId="5" fillId="8" borderId="0" xfId="0" applyNumberFormat="1" applyFont="1" applyFill="1"/>
    <xf numFmtId="165" fontId="5" fillId="8" borderId="0" xfId="0" applyNumberFormat="1" applyFont="1" applyFill="1"/>
    <xf numFmtId="165" fontId="5" fillId="0" borderId="8" xfId="0" applyNumberFormat="1" applyFont="1" applyBorder="1"/>
    <xf numFmtId="11" fontId="5" fillId="8" borderId="10" xfId="0" applyNumberFormat="1" applyFont="1" applyFill="1" applyBorder="1"/>
    <xf numFmtId="11" fontId="5" fillId="8" borderId="0" xfId="0" applyNumberFormat="1" applyFont="1" applyFill="1" applyBorder="1"/>
    <xf numFmtId="171" fontId="5" fillId="8" borderId="0" xfId="0" applyNumberFormat="1" applyFont="1" applyFill="1" applyBorder="1"/>
    <xf numFmtId="165" fontId="3" fillId="2" borderId="8" xfId="1" applyNumberFormat="1" applyFont="1" applyFill="1" applyBorder="1" applyAlignment="1">
      <alignment horizontal="center" vertical="center"/>
    </xf>
    <xf numFmtId="165" fontId="3" fillId="2" borderId="6" xfId="1" applyNumberFormat="1" applyFont="1" applyFill="1" applyBorder="1" applyAlignment="1">
      <alignment horizontal="center" vertical="center"/>
    </xf>
    <xf numFmtId="165" fontId="3" fillId="2" borderId="1" xfId="1" applyNumberFormat="1" applyFont="1" applyFill="1" applyBorder="1" applyAlignment="1">
      <alignment horizontal="center" vertical="center"/>
    </xf>
    <xf numFmtId="165" fontId="5" fillId="8" borderId="10" xfId="0" applyNumberFormat="1" applyFont="1" applyFill="1" applyBorder="1"/>
    <xf numFmtId="0" fontId="9" fillId="7" borderId="14" xfId="1" applyFont="1" applyFill="1" applyBorder="1" applyAlignment="1">
      <alignment horizontal="center" vertical="center" wrapText="1"/>
    </xf>
    <xf numFmtId="0" fontId="9" fillId="7" borderId="15" xfId="1" applyFont="1" applyFill="1" applyBorder="1" applyAlignment="1">
      <alignment horizontal="center" vertical="center" wrapText="1"/>
    </xf>
    <xf numFmtId="0" fontId="9" fillId="7" borderId="11" xfId="1" applyFont="1" applyFill="1" applyBorder="1" applyAlignment="1">
      <alignment horizontal="center" vertical="center" wrapText="1"/>
    </xf>
    <xf numFmtId="0" fontId="9" fillId="7" borderId="9" xfId="1" applyFont="1" applyFill="1" applyBorder="1" applyAlignment="1">
      <alignment horizontal="center" vertical="center" wrapText="1"/>
    </xf>
    <xf numFmtId="0" fontId="3" fillId="7" borderId="2" xfId="0" applyFont="1" applyFill="1" applyBorder="1" applyAlignment="1">
      <alignment horizontal="center" vertical="center"/>
    </xf>
    <xf numFmtId="166" fontId="3" fillId="3" borderId="6" xfId="1" applyNumberFormat="1" applyFont="1" applyFill="1" applyBorder="1" applyAlignment="1">
      <alignment horizontal="left"/>
    </xf>
    <xf numFmtId="164" fontId="3" fillId="2" borderId="16" xfId="1" applyNumberFormat="1" applyFont="1" applyFill="1" applyBorder="1" applyAlignment="1"/>
    <xf numFmtId="164" fontId="3" fillId="2" borderId="16" xfId="1" applyNumberFormat="1" applyFont="1" applyFill="1" applyBorder="1" applyAlignment="1">
      <alignment horizontal="right" vertical="center"/>
    </xf>
    <xf numFmtId="164" fontId="3" fillId="10" borderId="16" xfId="1" applyNumberFormat="1" applyFont="1" applyFill="1" applyBorder="1" applyAlignment="1">
      <alignment horizontal="center" vertical="center"/>
    </xf>
    <xf numFmtId="0" fontId="3" fillId="2" borderId="16" xfId="1" applyNumberFormat="1" applyFont="1" applyFill="1" applyBorder="1" applyAlignment="1">
      <alignment horizontal="center" vertical="center"/>
    </xf>
    <xf numFmtId="166" fontId="3" fillId="3" borderId="16" xfId="1" applyNumberFormat="1" applyFont="1" applyFill="1" applyBorder="1" applyAlignment="1">
      <alignment horizontal="left"/>
    </xf>
    <xf numFmtId="0" fontId="3" fillId="2" borderId="16" xfId="1" applyNumberFormat="1" applyFont="1" applyFill="1" applyBorder="1" applyAlignment="1">
      <alignment horizontal="left"/>
    </xf>
    <xf numFmtId="164" fontId="3" fillId="2" borderId="17" xfId="1" applyNumberFormat="1" applyFont="1" applyFill="1" applyBorder="1" applyAlignment="1"/>
    <xf numFmtId="164" fontId="3" fillId="2" borderId="17" xfId="1" applyNumberFormat="1" applyFont="1" applyFill="1" applyBorder="1" applyAlignment="1">
      <alignment horizontal="right" vertical="center"/>
    </xf>
    <xf numFmtId="164" fontId="3" fillId="10" borderId="17" xfId="1" applyNumberFormat="1" applyFont="1" applyFill="1" applyBorder="1" applyAlignment="1">
      <alignment horizontal="center" vertical="center"/>
    </xf>
    <xf numFmtId="0" fontId="3" fillId="2" borderId="17" xfId="1" applyNumberFormat="1" applyFont="1" applyFill="1" applyBorder="1" applyAlignment="1">
      <alignment horizontal="center" vertical="center"/>
    </xf>
    <xf numFmtId="166" fontId="3" fillId="3" borderId="17" xfId="1" applyNumberFormat="1" applyFont="1" applyFill="1" applyBorder="1" applyAlignment="1">
      <alignment horizontal="left"/>
    </xf>
    <xf numFmtId="0" fontId="3" fillId="2" borderId="17" xfId="1" applyNumberFormat="1" applyFont="1" applyFill="1" applyBorder="1" applyAlignment="1">
      <alignment horizontal="left"/>
    </xf>
    <xf numFmtId="164" fontId="3" fillId="2" borderId="18" xfId="1" applyNumberFormat="1" applyFont="1" applyFill="1" applyBorder="1" applyAlignment="1"/>
    <xf numFmtId="164" fontId="3" fillId="2" borderId="18" xfId="1" applyNumberFormat="1" applyFont="1" applyFill="1" applyBorder="1" applyAlignment="1">
      <alignment horizontal="right" vertical="center"/>
    </xf>
    <xf numFmtId="164" fontId="3" fillId="10" borderId="18" xfId="1" applyNumberFormat="1" applyFont="1" applyFill="1" applyBorder="1" applyAlignment="1">
      <alignment horizontal="center" vertical="center"/>
    </xf>
    <xf numFmtId="0" fontId="3" fillId="2" borderId="18" xfId="1" applyNumberFormat="1" applyFont="1" applyFill="1" applyBorder="1" applyAlignment="1">
      <alignment horizontal="center" vertical="center"/>
    </xf>
    <xf numFmtId="166" fontId="3" fillId="3" borderId="18" xfId="1" applyNumberFormat="1" applyFont="1" applyFill="1" applyBorder="1" applyAlignment="1">
      <alignment horizontal="left"/>
    </xf>
    <xf numFmtId="0" fontId="3" fillId="2" borderId="18" xfId="1" applyNumberFormat="1" applyFont="1" applyFill="1" applyBorder="1" applyAlignment="1">
      <alignment horizontal="left"/>
    </xf>
    <xf numFmtId="164" fontId="3" fillId="2" borderId="19" xfId="1" applyNumberFormat="1" applyFont="1" applyFill="1" applyBorder="1" applyAlignment="1"/>
    <xf numFmtId="164" fontId="3" fillId="2" borderId="19" xfId="1" applyNumberFormat="1" applyFont="1" applyFill="1" applyBorder="1" applyAlignment="1">
      <alignment horizontal="right" vertical="center"/>
    </xf>
    <xf numFmtId="164" fontId="3" fillId="10" borderId="19" xfId="1" applyNumberFormat="1" applyFont="1" applyFill="1" applyBorder="1" applyAlignment="1">
      <alignment horizontal="center" vertical="center"/>
    </xf>
    <xf numFmtId="0" fontId="3" fillId="2" borderId="19" xfId="1" applyNumberFormat="1" applyFont="1" applyFill="1" applyBorder="1" applyAlignment="1">
      <alignment horizontal="center" vertical="center"/>
    </xf>
    <xf numFmtId="166" fontId="3" fillId="3" borderId="19" xfId="1" applyNumberFormat="1" applyFont="1" applyFill="1" applyBorder="1" applyAlignment="1">
      <alignment horizontal="left"/>
    </xf>
    <xf numFmtId="0" fontId="3" fillId="2" borderId="19" xfId="1" applyNumberFormat="1" applyFont="1" applyFill="1" applyBorder="1" applyAlignment="1">
      <alignment horizontal="left"/>
    </xf>
    <xf numFmtId="164" fontId="3" fillId="3" borderId="16" xfId="1" applyNumberFormat="1" applyFont="1" applyFill="1" applyBorder="1" applyAlignment="1">
      <alignment horizontal="center" vertical="center"/>
    </xf>
    <xf numFmtId="164" fontId="3" fillId="3" borderId="17" xfId="1" applyNumberFormat="1" applyFont="1" applyFill="1" applyBorder="1" applyAlignment="1">
      <alignment horizontal="center" vertical="center"/>
    </xf>
    <xf numFmtId="167" fontId="3" fillId="3" borderId="8" xfId="1" applyNumberFormat="1" applyFont="1" applyFill="1" applyBorder="1" applyAlignment="1"/>
    <xf numFmtId="167" fontId="3" fillId="3" borderId="6" xfId="1" applyNumberFormat="1" applyFont="1" applyFill="1" applyBorder="1" applyAlignment="1"/>
    <xf numFmtId="167" fontId="3" fillId="3" borderId="1" xfId="1" applyNumberFormat="1" applyFont="1" applyFill="1" applyBorder="1" applyAlignment="1"/>
    <xf numFmtId="43" fontId="5" fillId="0" borderId="8" xfId="0" applyNumberFormat="1" applyFont="1" applyBorder="1" applyAlignment="1">
      <alignment horizontal="center"/>
    </xf>
    <xf numFmtId="43" fontId="5" fillId="0" borderId="6" xfId="0" applyNumberFormat="1" applyFont="1" applyBorder="1" applyAlignment="1">
      <alignment horizontal="center"/>
    </xf>
  </cellXfs>
  <cellStyles count="13">
    <cellStyle name="Euro" xfId="6"/>
    <cellStyle name="Migliaia (0)_AZIONI" xfId="7"/>
    <cellStyle name="Migliaia_AZIONI" xfId="8"/>
    <cellStyle name="Normal" xfId="0" builtinId="0"/>
    <cellStyle name="Normal 2" xfId="1"/>
    <cellStyle name="Normal 3" xfId="4"/>
    <cellStyle name="Normal_SwaptionATMVols" xfId="3"/>
    <cellStyle name="Normale_AZIONI" xfId="9"/>
    <cellStyle name="Percent 2" xfId="2"/>
    <cellStyle name="Percent 3" xfId="5"/>
    <cellStyle name="result" xfId="10"/>
    <cellStyle name="Valuta (0)_AZIONI" xfId="11"/>
    <cellStyle name="Valuta_AZIONI" xfId="1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UR_Market_LCH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Euribor"/>
      <sheetName val="VM"/>
      <sheetName val="IM"/>
      <sheetName val="REP00078"/>
      <sheetName val="REP00099"/>
      <sheetName val="REP00079"/>
      <sheetName val="REP00100"/>
      <sheetName val="REP00101"/>
    </sheetNames>
    <sheetDataSet>
      <sheetData sheetId="0"/>
      <sheetData sheetId="1"/>
      <sheetData sheetId="2"/>
      <sheetData sheetId="3"/>
      <sheetData sheetId="4"/>
      <sheetData sheetId="5"/>
      <sheetData sheetId="6">
        <row r="2">
          <cell r="A2" t="str">
            <v>AUD_AONIA_EOD</v>
          </cell>
          <cell r="C2">
            <v>42249</v>
          </cell>
          <cell r="E2">
            <v>1.99994520748366E-2</v>
          </cell>
        </row>
        <row r="3">
          <cell r="A3" t="str">
            <v>AUD_AONIA_EOD</v>
          </cell>
          <cell r="C3">
            <v>42255</v>
          </cell>
          <cell r="E3">
            <v>2.00063584461256E-2</v>
          </cell>
        </row>
        <row r="4">
          <cell r="A4" t="str">
            <v>AUD_AONIA_EOD</v>
          </cell>
          <cell r="C4">
            <v>42262</v>
          </cell>
          <cell r="E4">
            <v>1.9998880099596401E-2</v>
          </cell>
        </row>
        <row r="5">
          <cell r="A5" t="str">
            <v>AUD_AONIA_EOD</v>
          </cell>
          <cell r="C5">
            <v>42269</v>
          </cell>
          <cell r="E5">
            <v>1.9988812456450501E-2</v>
          </cell>
        </row>
        <row r="6">
          <cell r="A6" t="str">
            <v>AUD_AONIA_EOD</v>
          </cell>
          <cell r="C6">
            <v>42278</v>
          </cell>
          <cell r="E6">
            <v>1.9975868343834399E-2</v>
          </cell>
        </row>
        <row r="7">
          <cell r="A7" t="str">
            <v>AUD_AONIA_EOD</v>
          </cell>
          <cell r="C7">
            <v>42308</v>
          </cell>
          <cell r="E7">
            <v>1.971935048667E-2</v>
          </cell>
        </row>
        <row r="8">
          <cell r="A8" t="str">
            <v>AUD_AONIA_EOD</v>
          </cell>
          <cell r="C8">
            <v>42339</v>
          </cell>
          <cell r="E8">
            <v>1.9316451357854501E-2</v>
          </cell>
        </row>
        <row r="9">
          <cell r="A9" t="str">
            <v>AUD_AONIA_EOD</v>
          </cell>
          <cell r="C9">
            <v>42369</v>
          </cell>
          <cell r="E9">
            <v>1.8942906377408201E-2</v>
          </cell>
        </row>
        <row r="10">
          <cell r="A10" t="str">
            <v>AUD_AONIA_EOD</v>
          </cell>
          <cell r="C10">
            <v>42400</v>
          </cell>
          <cell r="E10">
            <v>1.8680049902357099E-2</v>
          </cell>
        </row>
        <row r="11">
          <cell r="A11" t="str">
            <v>AUD_AONIA_EOD</v>
          </cell>
          <cell r="C11">
            <v>42430</v>
          </cell>
          <cell r="E11">
            <v>1.8426669275531399E-2</v>
          </cell>
        </row>
        <row r="12">
          <cell r="A12" t="str">
            <v>AUD_AONIA_EOD</v>
          </cell>
          <cell r="C12">
            <v>42460</v>
          </cell>
          <cell r="E12">
            <v>1.82195036000391E-2</v>
          </cell>
        </row>
        <row r="13">
          <cell r="A13" t="str">
            <v>AUD_AONIA_EOD</v>
          </cell>
          <cell r="C13">
            <v>42491</v>
          </cell>
          <cell r="E13">
            <v>1.8007121212875201E-2</v>
          </cell>
        </row>
        <row r="14">
          <cell r="A14" t="str">
            <v>AUD_AONIA_EOD</v>
          </cell>
          <cell r="C14">
            <v>42521</v>
          </cell>
          <cell r="E14">
            <v>1.7801589870458601E-2</v>
          </cell>
        </row>
        <row r="15">
          <cell r="A15" t="str">
            <v>AUD_AONIA_EOD</v>
          </cell>
          <cell r="C15">
            <v>42552</v>
          </cell>
          <cell r="E15">
            <v>1.76592999868035E-2</v>
          </cell>
        </row>
        <row r="16">
          <cell r="A16" t="str">
            <v>AUD_AONIA_EOD</v>
          </cell>
          <cell r="C16">
            <v>42582</v>
          </cell>
          <cell r="E16">
            <v>1.75262781307753E-2</v>
          </cell>
        </row>
        <row r="17">
          <cell r="A17" t="str">
            <v>AUD_AONIA_EOD</v>
          </cell>
          <cell r="C17">
            <v>42613</v>
          </cell>
          <cell r="E17">
            <v>1.73888222128795E-2</v>
          </cell>
        </row>
        <row r="18">
          <cell r="A18" t="str">
            <v>AUD_AONIA_EOD</v>
          </cell>
          <cell r="C18">
            <v>42704</v>
          </cell>
          <cell r="E18">
            <v>1.7346319773627699E-2</v>
          </cell>
        </row>
        <row r="19">
          <cell r="A19" t="str">
            <v>AUD_AONIA_EOD</v>
          </cell>
          <cell r="C19">
            <v>42795</v>
          </cell>
          <cell r="E19">
            <v>1.73119296307962E-2</v>
          </cell>
        </row>
        <row r="20">
          <cell r="A20" t="str">
            <v>AUD_AONIA_EOD</v>
          </cell>
          <cell r="C20">
            <v>42886</v>
          </cell>
          <cell r="E20">
            <v>1.7444211872959199E-2</v>
          </cell>
        </row>
        <row r="21">
          <cell r="A21" t="str">
            <v>AUD_AONIA_EOD</v>
          </cell>
          <cell r="C21">
            <v>42978</v>
          </cell>
          <cell r="E21">
            <v>1.7579820032242399E-2</v>
          </cell>
        </row>
        <row r="22">
          <cell r="A22" t="str">
            <v>AUD_AONIA_EOD</v>
          </cell>
          <cell r="C22">
            <v>43343</v>
          </cell>
          <cell r="E22">
            <v>1.8418564940629E-2</v>
          </cell>
        </row>
        <row r="23">
          <cell r="A23" t="str">
            <v>AUD_AONIA_EOD</v>
          </cell>
          <cell r="C23">
            <v>43708</v>
          </cell>
          <cell r="E23">
            <v>1.9824577793329599E-2</v>
          </cell>
        </row>
        <row r="24">
          <cell r="A24" t="str">
            <v>AUD_AONIA_EOD</v>
          </cell>
          <cell r="C24">
            <v>44073</v>
          </cell>
          <cell r="E24">
            <v>2.1382006499715101E-2</v>
          </cell>
        </row>
        <row r="25">
          <cell r="A25" t="str">
            <v>AUD_BBSW_EOD</v>
          </cell>
          <cell r="C25">
            <v>42249</v>
          </cell>
          <cell r="E25">
            <v>1.99994520748366E-2</v>
          </cell>
        </row>
        <row r="26">
          <cell r="A26" t="str">
            <v>AUD_BBSW_EOD</v>
          </cell>
          <cell r="C26">
            <v>42255</v>
          </cell>
          <cell r="E26">
            <v>2.0099573877958601E-2</v>
          </cell>
        </row>
        <row r="27">
          <cell r="A27" t="str">
            <v>AUD_BBSW_EOD</v>
          </cell>
          <cell r="C27">
            <v>42278</v>
          </cell>
          <cell r="E27">
            <v>2.0312601689909199E-2</v>
          </cell>
        </row>
        <row r="28">
          <cell r="A28" t="str">
            <v>AUD_BBSW_EOD</v>
          </cell>
          <cell r="C28">
            <v>42308</v>
          </cell>
          <cell r="E28">
            <v>2.0590464053323099E-2</v>
          </cell>
        </row>
        <row r="29">
          <cell r="A29" t="str">
            <v>AUD_BBSW_EOD</v>
          </cell>
          <cell r="C29">
            <v>42339</v>
          </cell>
          <cell r="E29">
            <v>2.08775884955173E-2</v>
          </cell>
        </row>
        <row r="30">
          <cell r="A30" t="str">
            <v>AUD_BBSW_EOD</v>
          </cell>
          <cell r="C30">
            <v>42430</v>
          </cell>
          <cell r="E30">
            <v>2.02653903880212E-2</v>
          </cell>
        </row>
        <row r="31">
          <cell r="A31" t="str">
            <v>AUD_BBSW_EOD</v>
          </cell>
          <cell r="C31">
            <v>42521</v>
          </cell>
          <cell r="E31">
            <v>1.9676701312598601E-2</v>
          </cell>
        </row>
        <row r="32">
          <cell r="A32" t="str">
            <v>AUD_BBSW_EOD</v>
          </cell>
          <cell r="C32">
            <v>42613</v>
          </cell>
          <cell r="E32">
            <v>1.9305072302227898E-2</v>
          </cell>
        </row>
        <row r="33">
          <cell r="A33" t="str">
            <v>AUD_BBSW_EOD</v>
          </cell>
          <cell r="C33">
            <v>42795</v>
          </cell>
          <cell r="E33">
            <v>1.9118942444872201E-2</v>
          </cell>
        </row>
        <row r="34">
          <cell r="A34" t="str">
            <v>AUD_BBSW_EOD</v>
          </cell>
          <cell r="C34">
            <v>42978</v>
          </cell>
          <cell r="E34">
            <v>1.9455190403139599E-2</v>
          </cell>
        </row>
        <row r="35">
          <cell r="A35" t="str">
            <v>AUD_BBSW_EOD</v>
          </cell>
          <cell r="C35">
            <v>43343</v>
          </cell>
          <cell r="E35">
            <v>2.0461714409282902E-2</v>
          </cell>
        </row>
        <row r="36">
          <cell r="A36" t="str">
            <v>AUD_BBSW_EOD</v>
          </cell>
          <cell r="C36">
            <v>43708</v>
          </cell>
          <cell r="E36">
            <v>2.2897368336566502E-2</v>
          </cell>
        </row>
        <row r="37">
          <cell r="A37" t="str">
            <v>AUD_BBSW_EOD</v>
          </cell>
          <cell r="C37">
            <v>44073</v>
          </cell>
          <cell r="E37">
            <v>2.4405753321298199E-2</v>
          </cell>
        </row>
        <row r="38">
          <cell r="A38" t="str">
            <v>AUD_BBSW_EOD</v>
          </cell>
          <cell r="C38">
            <v>44438</v>
          </cell>
          <cell r="E38">
            <v>2.5891119379689801E-2</v>
          </cell>
        </row>
        <row r="39">
          <cell r="A39" t="str">
            <v>AUD_BBSW_EOD</v>
          </cell>
          <cell r="C39">
            <v>44803</v>
          </cell>
          <cell r="E39">
            <v>2.7376387119675001E-2</v>
          </cell>
        </row>
        <row r="40">
          <cell r="A40" t="str">
            <v>AUD_BBSW_EOD</v>
          </cell>
          <cell r="C40">
            <v>45168</v>
          </cell>
          <cell r="E40">
            <v>2.8404207273198999E-2</v>
          </cell>
        </row>
        <row r="41">
          <cell r="A41" t="str">
            <v>AUD_BBSW_EOD</v>
          </cell>
          <cell r="C41">
            <v>45533</v>
          </cell>
          <cell r="E41">
            <v>2.9429507054345799E-2</v>
          </cell>
        </row>
        <row r="42">
          <cell r="A42" t="str">
            <v>AUD_BBSW_EOD</v>
          </cell>
          <cell r="C42">
            <v>45898</v>
          </cell>
          <cell r="E42">
            <v>3.04548068354926E-2</v>
          </cell>
        </row>
        <row r="43">
          <cell r="A43" t="str">
            <v>AUD_BBSW_EOD</v>
          </cell>
          <cell r="C43">
            <v>46628</v>
          </cell>
          <cell r="E43">
            <v>3.2049232419588902E-2</v>
          </cell>
        </row>
        <row r="44">
          <cell r="A44" t="str">
            <v>AUD_BBSW_EOD</v>
          </cell>
          <cell r="C44">
            <v>47723</v>
          </cell>
          <cell r="E44">
            <v>3.3689890382280201E-2</v>
          </cell>
        </row>
        <row r="45">
          <cell r="A45" t="str">
            <v>AUD_BBSW_EOD</v>
          </cell>
          <cell r="C45">
            <v>49548</v>
          </cell>
          <cell r="E45">
            <v>3.52148127765625E-2</v>
          </cell>
        </row>
        <row r="46">
          <cell r="A46" t="str">
            <v>AUD_BBSW_EOD</v>
          </cell>
          <cell r="C46">
            <v>51373</v>
          </cell>
          <cell r="E46">
            <v>3.5365348963913301E-2</v>
          </cell>
        </row>
        <row r="47">
          <cell r="A47" t="str">
            <v>AUD_BBSW_EOD</v>
          </cell>
          <cell r="C47">
            <v>53198</v>
          </cell>
          <cell r="E47">
            <v>3.4952849082642901E-2</v>
          </cell>
        </row>
        <row r="48">
          <cell r="A48" t="str">
            <v>CAD_CDOR_EOD</v>
          </cell>
          <cell r="C48">
            <v>42249</v>
          </cell>
          <cell r="E48">
            <v>5.9559514060638502E-3</v>
          </cell>
        </row>
        <row r="49">
          <cell r="A49" t="str">
            <v>CAD_CDOR_EOD</v>
          </cell>
          <cell r="C49">
            <v>42255</v>
          </cell>
          <cell r="E49">
            <v>6.2626583742204497E-3</v>
          </cell>
        </row>
        <row r="50">
          <cell r="A50" t="str">
            <v>CAD_CDOR_EOD</v>
          </cell>
          <cell r="C50">
            <v>42278</v>
          </cell>
          <cell r="E50">
            <v>6.4259903829513099E-3</v>
          </cell>
        </row>
        <row r="51">
          <cell r="A51" t="str">
            <v>CAD_CDOR_EOD</v>
          </cell>
          <cell r="C51">
            <v>42308</v>
          </cell>
          <cell r="E51">
            <v>6.6390321334698302E-3</v>
          </cell>
        </row>
        <row r="52">
          <cell r="A52" t="str">
            <v>CAD_CDOR_EOD</v>
          </cell>
          <cell r="C52">
            <v>42339</v>
          </cell>
          <cell r="E52">
            <v>6.85917527567229E-3</v>
          </cell>
        </row>
        <row r="53">
          <cell r="A53" t="str">
            <v>CAD_CDOR_EOD</v>
          </cell>
          <cell r="C53">
            <v>42430</v>
          </cell>
          <cell r="E53">
            <v>6.6677521340828298E-3</v>
          </cell>
        </row>
        <row r="54">
          <cell r="A54" t="str">
            <v>CAD_CDOR_EOD</v>
          </cell>
          <cell r="C54">
            <v>42521</v>
          </cell>
          <cell r="E54">
            <v>6.4889493326523101E-3</v>
          </cell>
        </row>
        <row r="55">
          <cell r="A55" t="str">
            <v>CAD_CDOR_EOD</v>
          </cell>
          <cell r="C55">
            <v>42613</v>
          </cell>
          <cell r="E55">
            <v>6.4493039992350497E-3</v>
          </cell>
        </row>
        <row r="56">
          <cell r="A56" t="str">
            <v>CAD_CDOR_EOD</v>
          </cell>
          <cell r="C56">
            <v>42795</v>
          </cell>
          <cell r="E56">
            <v>6.78318392544912E-3</v>
          </cell>
        </row>
        <row r="57">
          <cell r="A57" t="str">
            <v>CAD_CDOR_EOD</v>
          </cell>
          <cell r="C57">
            <v>42978</v>
          </cell>
          <cell r="E57">
            <v>7.1628171760722004E-3</v>
          </cell>
        </row>
        <row r="58">
          <cell r="A58" t="str">
            <v>CAD_CDOR_EOD</v>
          </cell>
          <cell r="C58">
            <v>43343</v>
          </cell>
          <cell r="E58">
            <v>8.2947844374570007E-3</v>
          </cell>
        </row>
        <row r="59">
          <cell r="A59" t="str">
            <v>CAD_CDOR_EOD</v>
          </cell>
          <cell r="C59">
            <v>43708</v>
          </cell>
          <cell r="E59">
            <v>9.6284872846132703E-3</v>
          </cell>
        </row>
        <row r="60">
          <cell r="A60" t="str">
            <v>CAD_CDOR_EOD</v>
          </cell>
          <cell r="C60">
            <v>44073</v>
          </cell>
          <cell r="E60">
            <v>1.11886338463158E-2</v>
          </cell>
        </row>
        <row r="61">
          <cell r="A61" t="str">
            <v>CAD_CDOR_EOD</v>
          </cell>
          <cell r="C61">
            <v>44438</v>
          </cell>
          <cell r="E61">
            <v>1.2954899928024399E-2</v>
          </cell>
        </row>
        <row r="62">
          <cell r="A62" t="str">
            <v>CAD_CDOR_EOD</v>
          </cell>
          <cell r="C62">
            <v>44803</v>
          </cell>
          <cell r="E62">
            <v>1.4799024030973201E-2</v>
          </cell>
        </row>
        <row r="63">
          <cell r="A63" t="str">
            <v>CAD_CDOR_EOD</v>
          </cell>
          <cell r="C63">
            <v>45168</v>
          </cell>
          <cell r="E63">
            <v>1.6542794897254302E-2</v>
          </cell>
        </row>
        <row r="64">
          <cell r="A64" t="str">
            <v>CAD_CDOR_EOD</v>
          </cell>
          <cell r="C64">
            <v>45533</v>
          </cell>
          <cell r="E64">
            <v>1.81410438456042E-2</v>
          </cell>
        </row>
        <row r="65">
          <cell r="A65" t="str">
            <v>CAD_CDOR_EOD</v>
          </cell>
          <cell r="C65">
            <v>45898</v>
          </cell>
          <cell r="E65">
            <v>1.9562158916723901E-2</v>
          </cell>
        </row>
        <row r="66">
          <cell r="A66" t="str">
            <v>CAD_CDOR_EOD</v>
          </cell>
          <cell r="C66">
            <v>46628</v>
          </cell>
          <cell r="E66">
            <v>2.1960909999055998E-2</v>
          </cell>
        </row>
        <row r="67">
          <cell r="A67" t="str">
            <v>CAD_CDOR_EOD</v>
          </cell>
          <cell r="C67">
            <v>47723</v>
          </cell>
          <cell r="E67">
            <v>2.44722225020165E-2</v>
          </cell>
        </row>
        <row r="68">
          <cell r="A68" t="str">
            <v>CAD_CDOR_EOD</v>
          </cell>
          <cell r="C68">
            <v>49548</v>
          </cell>
          <cell r="E68">
            <v>2.60551150671368E-2</v>
          </cell>
        </row>
        <row r="69">
          <cell r="A69" t="str">
            <v>CAD_CDOR_EOD</v>
          </cell>
          <cell r="C69">
            <v>51373</v>
          </cell>
          <cell r="E69">
            <v>2.63156950987549E-2</v>
          </cell>
        </row>
        <row r="70">
          <cell r="A70" t="str">
            <v>CAD_CDOR_EOD</v>
          </cell>
          <cell r="C70">
            <v>53198</v>
          </cell>
          <cell r="E70">
            <v>2.6419384011062301E-2</v>
          </cell>
        </row>
        <row r="71">
          <cell r="A71" t="str">
            <v>CAD_CORRA_EOD</v>
          </cell>
          <cell r="C71">
            <v>42249</v>
          </cell>
          <cell r="E71">
            <v>5.9559514060638502E-3</v>
          </cell>
        </row>
        <row r="72">
          <cell r="A72" t="str">
            <v>CAD_CORRA_EOD</v>
          </cell>
          <cell r="C72">
            <v>42255</v>
          </cell>
          <cell r="E72">
            <v>5.3437978600288502E-3</v>
          </cell>
        </row>
        <row r="73">
          <cell r="A73" t="str">
            <v>CAD_CORRA_EOD</v>
          </cell>
          <cell r="C73">
            <v>42262</v>
          </cell>
          <cell r="E73">
            <v>5.08554447072407E-3</v>
          </cell>
        </row>
        <row r="74">
          <cell r="A74" t="str">
            <v>CAD_CORRA_EOD</v>
          </cell>
          <cell r="C74">
            <v>42269</v>
          </cell>
          <cell r="E74">
            <v>4.9032787060419702E-3</v>
          </cell>
        </row>
        <row r="75">
          <cell r="A75" t="str">
            <v>CAD_CORRA_EOD</v>
          </cell>
          <cell r="C75">
            <v>42278</v>
          </cell>
          <cell r="E75">
            <v>4.6689370085935501E-3</v>
          </cell>
        </row>
        <row r="76">
          <cell r="A76" t="str">
            <v>CAD_CORRA_EOD</v>
          </cell>
          <cell r="C76">
            <v>42308</v>
          </cell>
          <cell r="E76">
            <v>4.4867110214159896E-3</v>
          </cell>
        </row>
        <row r="77">
          <cell r="A77" t="str">
            <v>CAD_CORRA_EOD</v>
          </cell>
          <cell r="C77">
            <v>42339</v>
          </cell>
          <cell r="E77">
            <v>4.3290212976974203E-3</v>
          </cell>
        </row>
        <row r="78">
          <cell r="A78" t="str">
            <v>CAD_CORRA_EOD</v>
          </cell>
          <cell r="C78">
            <v>42369</v>
          </cell>
          <cell r="E78">
            <v>4.1812339565666899E-3</v>
          </cell>
        </row>
        <row r="79">
          <cell r="A79" t="str">
            <v>CAD_CORRA_EOD</v>
          </cell>
          <cell r="C79">
            <v>42400</v>
          </cell>
          <cell r="E79">
            <v>4.0568052055135299E-3</v>
          </cell>
        </row>
        <row r="80">
          <cell r="A80" t="str">
            <v>CAD_CORRA_EOD</v>
          </cell>
          <cell r="C80">
            <v>42430</v>
          </cell>
          <cell r="E80">
            <v>3.9379068031580996E-3</v>
          </cell>
        </row>
        <row r="81">
          <cell r="A81" t="str">
            <v>CAD_CORRA_EOD</v>
          </cell>
          <cell r="C81">
            <v>42460</v>
          </cell>
          <cell r="E81">
            <v>3.8562019512882201E-3</v>
          </cell>
        </row>
        <row r="82">
          <cell r="A82" t="str">
            <v>CAD_CORRA_EOD</v>
          </cell>
          <cell r="C82">
            <v>42491</v>
          </cell>
          <cell r="E82">
            <v>3.7911675480875599E-3</v>
          </cell>
        </row>
        <row r="83">
          <cell r="A83" t="str">
            <v>CAD_CORRA_EOD</v>
          </cell>
          <cell r="C83">
            <v>42521</v>
          </cell>
          <cell r="E83">
            <v>3.7489233007091702E-3</v>
          </cell>
        </row>
        <row r="84">
          <cell r="A84" t="str">
            <v>CAD_CORRA_EOD</v>
          </cell>
          <cell r="C84">
            <v>42552</v>
          </cell>
          <cell r="E84">
            <v>3.7238229199909002E-3</v>
          </cell>
        </row>
        <row r="85">
          <cell r="A85" t="str">
            <v>CAD_CORRA_EOD</v>
          </cell>
          <cell r="C85">
            <v>42582</v>
          </cell>
          <cell r="E85">
            <v>3.7111674028375199E-3</v>
          </cell>
        </row>
        <row r="86">
          <cell r="A86" t="str">
            <v>CAD_CORRA_EOD</v>
          </cell>
          <cell r="C86">
            <v>42613</v>
          </cell>
          <cell r="E86">
            <v>3.7046812397288301E-3</v>
          </cell>
        </row>
        <row r="87">
          <cell r="A87" t="str">
            <v>CAD_CORRA_EOD</v>
          </cell>
          <cell r="C87">
            <v>42704</v>
          </cell>
          <cell r="E87">
            <v>3.8235301390707999E-3</v>
          </cell>
        </row>
        <row r="88">
          <cell r="A88" t="str">
            <v>CAD_CORRA_EOD</v>
          </cell>
          <cell r="C88">
            <v>42795</v>
          </cell>
          <cell r="E88">
            <v>3.9454531333259204E-3</v>
          </cell>
        </row>
        <row r="89">
          <cell r="A89" t="str">
            <v>CAD_CORRA_EOD</v>
          </cell>
          <cell r="C89">
            <v>42886</v>
          </cell>
          <cell r="E89">
            <v>4.1692592381803398E-3</v>
          </cell>
        </row>
        <row r="90">
          <cell r="A90" t="str">
            <v>CAD_CORRA_EOD</v>
          </cell>
          <cell r="C90">
            <v>42978</v>
          </cell>
          <cell r="E90">
            <v>4.3966692252828702E-3</v>
          </cell>
        </row>
        <row r="91">
          <cell r="A91" t="str">
            <v>CAD_CORRA_EOD</v>
          </cell>
          <cell r="C91">
            <v>43343</v>
          </cell>
          <cell r="E91">
            <v>5.5506767947843903E-3</v>
          </cell>
        </row>
        <row r="92">
          <cell r="A92" t="str">
            <v>CAD_CORRA_EOD</v>
          </cell>
          <cell r="C92">
            <v>43708</v>
          </cell>
          <cell r="E92">
            <v>6.8474182891192703E-3</v>
          </cell>
        </row>
        <row r="93">
          <cell r="A93" t="str">
            <v>CAD_CORRA_EOD</v>
          </cell>
          <cell r="C93">
            <v>44073</v>
          </cell>
          <cell r="E93">
            <v>8.3636095830470596E-3</v>
          </cell>
        </row>
        <row r="94">
          <cell r="A94" t="str">
            <v>CHF_LIBOR_EOD</v>
          </cell>
          <cell r="C94">
            <v>42249</v>
          </cell>
          <cell r="E94">
            <v>-7.86786257617598E-3</v>
          </cell>
        </row>
        <row r="95">
          <cell r="A95" t="str">
            <v>CHF_LIBOR_EOD</v>
          </cell>
          <cell r="C95">
            <v>42255</v>
          </cell>
          <cell r="E95">
            <v>-8.0089847605462096E-3</v>
          </cell>
        </row>
        <row r="96">
          <cell r="A96" t="str">
            <v>CHF_LIBOR_EOD</v>
          </cell>
          <cell r="C96">
            <v>42278</v>
          </cell>
          <cell r="E96">
            <v>-7.9422072235666007E-3</v>
          </cell>
        </row>
        <row r="97">
          <cell r="A97" t="str">
            <v>CHF_LIBOR_EOD</v>
          </cell>
          <cell r="C97">
            <v>42308</v>
          </cell>
          <cell r="E97">
            <v>-7.7661694939688596E-3</v>
          </cell>
        </row>
        <row r="98">
          <cell r="A98" t="str">
            <v>CHF_LIBOR_EOD</v>
          </cell>
          <cell r="C98">
            <v>42339</v>
          </cell>
          <cell r="E98">
            <v>-7.5842638400512004E-3</v>
          </cell>
        </row>
        <row r="99">
          <cell r="A99" t="str">
            <v>CHF_LIBOR_EOD</v>
          </cell>
          <cell r="C99">
            <v>42430</v>
          </cell>
          <cell r="E99">
            <v>-7.5022595169940498E-3</v>
          </cell>
        </row>
        <row r="100">
          <cell r="A100" t="str">
            <v>CHF_LIBOR_EOD</v>
          </cell>
          <cell r="C100">
            <v>42521</v>
          </cell>
          <cell r="E100">
            <v>-7.5332913498434703E-3</v>
          </cell>
        </row>
        <row r="101">
          <cell r="A101" t="str">
            <v>CHF_LIBOR_EOD</v>
          </cell>
          <cell r="C101">
            <v>42613</v>
          </cell>
          <cell r="E101">
            <v>-7.5349578833414704E-3</v>
          </cell>
        </row>
        <row r="102">
          <cell r="A102" t="str">
            <v>CHF_LIBOR_EOD</v>
          </cell>
          <cell r="C102">
            <v>42795</v>
          </cell>
          <cell r="E102">
            <v>-6.9662760610463099E-3</v>
          </cell>
        </row>
        <row r="103">
          <cell r="A103" t="str">
            <v>CHF_LIBOR_EOD</v>
          </cell>
          <cell r="C103">
            <v>42978</v>
          </cell>
          <cell r="E103">
            <v>-6.3211955420245996E-3</v>
          </cell>
        </row>
        <row r="104">
          <cell r="A104" t="str">
            <v>CHF_LIBOR_EOD</v>
          </cell>
          <cell r="C104">
            <v>43343</v>
          </cell>
          <cell r="E104">
            <v>-5.4978733518663099E-3</v>
          </cell>
        </row>
        <row r="105">
          <cell r="A105" t="str">
            <v>CHF_LIBOR_EOD</v>
          </cell>
          <cell r="C105">
            <v>43708</v>
          </cell>
          <cell r="E105">
            <v>-4.3806426869261702E-3</v>
          </cell>
        </row>
        <row r="106">
          <cell r="A106" t="str">
            <v>CHF_LIBOR_EOD</v>
          </cell>
          <cell r="C106">
            <v>44073</v>
          </cell>
          <cell r="E106">
            <v>-3.0468373267236401E-3</v>
          </cell>
        </row>
        <row r="107">
          <cell r="A107" t="str">
            <v>CHF_LIBOR_EOD</v>
          </cell>
          <cell r="C107">
            <v>44438</v>
          </cell>
          <cell r="E107">
            <v>-1.61202355507853E-3</v>
          </cell>
        </row>
        <row r="108">
          <cell r="A108" t="str">
            <v>CHF_LIBOR_EOD</v>
          </cell>
          <cell r="C108">
            <v>44803</v>
          </cell>
          <cell r="E108">
            <v>-2.2697131095659001E-4</v>
          </cell>
        </row>
        <row r="109">
          <cell r="A109" t="str">
            <v>CHF_LIBOR_EOD</v>
          </cell>
          <cell r="C109">
            <v>45168</v>
          </cell>
          <cell r="E109">
            <v>1.00356197338416E-3</v>
          </cell>
        </row>
        <row r="110">
          <cell r="A110" t="str">
            <v>CHF_LIBOR_EOD</v>
          </cell>
          <cell r="C110">
            <v>45533</v>
          </cell>
          <cell r="E110">
            <v>2.0089736758068699E-3</v>
          </cell>
        </row>
        <row r="111">
          <cell r="A111" t="str">
            <v>CHF_LIBOR_EOD</v>
          </cell>
          <cell r="C111">
            <v>45898</v>
          </cell>
          <cell r="E111">
            <v>2.8763366795118801E-3</v>
          </cell>
        </row>
        <row r="112">
          <cell r="A112" t="str">
            <v>CHF_LIBOR_EOD</v>
          </cell>
          <cell r="C112">
            <v>46628</v>
          </cell>
          <cell r="E112">
            <v>4.2890398978387197E-3</v>
          </cell>
        </row>
        <row r="113">
          <cell r="A113" t="str">
            <v>CHF_LIBOR_EOD</v>
          </cell>
          <cell r="C113">
            <v>47723</v>
          </cell>
          <cell r="E113">
            <v>5.7195116311873698E-3</v>
          </cell>
        </row>
        <row r="114">
          <cell r="A114" t="str">
            <v>CHF_LIBOR_EOD</v>
          </cell>
          <cell r="C114">
            <v>49548</v>
          </cell>
          <cell r="E114">
            <v>7.1749105132232899E-3</v>
          </cell>
        </row>
        <row r="115">
          <cell r="A115" t="str">
            <v>CHF_LIBOR_EOD</v>
          </cell>
          <cell r="C115">
            <v>51373</v>
          </cell>
          <cell r="E115">
            <v>7.7920821814723203E-3</v>
          </cell>
        </row>
        <row r="116">
          <cell r="A116" t="str">
            <v>CHF_LIBOR_EOD</v>
          </cell>
          <cell r="C116">
            <v>53198</v>
          </cell>
          <cell r="E116">
            <v>8.0464749955670208E-3</v>
          </cell>
        </row>
        <row r="117">
          <cell r="A117" t="str">
            <v>CHF_TOIS_EOD</v>
          </cell>
          <cell r="C117">
            <v>42249</v>
          </cell>
          <cell r="E117">
            <v>-5.3229554799926601E-3</v>
          </cell>
        </row>
        <row r="118">
          <cell r="A118" t="str">
            <v>CHF_TOIS_EOD</v>
          </cell>
          <cell r="C118">
            <v>42255</v>
          </cell>
          <cell r="E118">
            <v>-5.3451303372358903E-3</v>
          </cell>
        </row>
        <row r="119">
          <cell r="A119" t="str">
            <v>CHF_TOIS_EOD</v>
          </cell>
          <cell r="C119">
            <v>42262</v>
          </cell>
          <cell r="E119">
            <v>-5.3584318224221801E-3</v>
          </cell>
        </row>
        <row r="120">
          <cell r="A120" t="str">
            <v>CHF_TOIS_EOD</v>
          </cell>
          <cell r="C120">
            <v>42269</v>
          </cell>
          <cell r="E120">
            <v>-5.37173330760847E-3</v>
          </cell>
        </row>
        <row r="121">
          <cell r="A121" t="str">
            <v>CHF_TOIS_EOD</v>
          </cell>
          <cell r="C121">
            <v>42278</v>
          </cell>
          <cell r="E121">
            <v>-5.3888352171336997E-3</v>
          </cell>
        </row>
        <row r="122">
          <cell r="A122" t="str">
            <v>CHF_TOIS_EOD</v>
          </cell>
          <cell r="C122">
            <v>42308</v>
          </cell>
          <cell r="E122">
            <v>-5.5399631759880299E-3</v>
          </cell>
        </row>
        <row r="123">
          <cell r="A123" t="str">
            <v>CHF_TOIS_EOD</v>
          </cell>
          <cell r="C123">
            <v>42339</v>
          </cell>
          <cell r="E123">
            <v>-5.5923202776024996E-3</v>
          </cell>
        </row>
        <row r="124">
          <cell r="A124" t="str">
            <v>CHF_TOIS_EOD</v>
          </cell>
          <cell r="C124">
            <v>42369</v>
          </cell>
          <cell r="E124">
            <v>-5.66147695314326E-3</v>
          </cell>
        </row>
        <row r="125">
          <cell r="A125" t="str">
            <v>CHF_TOIS_EOD</v>
          </cell>
          <cell r="C125">
            <v>42400</v>
          </cell>
          <cell r="E125">
            <v>-5.7299250687161398E-3</v>
          </cell>
        </row>
        <row r="126">
          <cell r="A126" t="str">
            <v>CHF_TOIS_EOD</v>
          </cell>
          <cell r="C126">
            <v>42430</v>
          </cell>
          <cell r="E126">
            <v>-5.7150401590413897E-3</v>
          </cell>
        </row>
        <row r="127">
          <cell r="A127" t="str">
            <v>CHF_TOIS_EOD</v>
          </cell>
          <cell r="C127">
            <v>42460</v>
          </cell>
          <cell r="E127">
            <v>-5.7200115324655097E-3</v>
          </cell>
        </row>
        <row r="128">
          <cell r="A128" t="str">
            <v>CHF_TOIS_EOD</v>
          </cell>
          <cell r="C128">
            <v>42491</v>
          </cell>
          <cell r="E128">
            <v>-5.7288148547540397E-3</v>
          </cell>
        </row>
        <row r="129">
          <cell r="A129" t="str">
            <v>CHF_TOIS_EOD</v>
          </cell>
          <cell r="C129">
            <v>42521</v>
          </cell>
          <cell r="E129">
            <v>-5.7427734035087902E-3</v>
          </cell>
        </row>
        <row r="130">
          <cell r="A130" t="str">
            <v>CHF_TOIS_EOD</v>
          </cell>
          <cell r="C130">
            <v>42552</v>
          </cell>
          <cell r="E130">
            <v>-5.7731653311385101E-3</v>
          </cell>
        </row>
        <row r="131">
          <cell r="A131" t="str">
            <v>CHF_TOIS_EOD</v>
          </cell>
          <cell r="C131">
            <v>42582</v>
          </cell>
          <cell r="E131">
            <v>-5.7477133207333199E-3</v>
          </cell>
        </row>
        <row r="132">
          <cell r="A132" t="str">
            <v>CHF_TOIS_EOD</v>
          </cell>
          <cell r="C132">
            <v>42613</v>
          </cell>
          <cell r="E132">
            <v>-5.84926542229189E-3</v>
          </cell>
        </row>
        <row r="133">
          <cell r="A133" t="str">
            <v>CHF_TOIS_EOD</v>
          </cell>
          <cell r="C133">
            <v>42704</v>
          </cell>
          <cell r="E133">
            <v>-5.8004992474710599E-3</v>
          </cell>
        </row>
        <row r="134">
          <cell r="A134" t="str">
            <v>CHF_TOIS_EOD</v>
          </cell>
          <cell r="C134">
            <v>42795</v>
          </cell>
          <cell r="E134">
            <v>-5.7766473106831001E-3</v>
          </cell>
        </row>
        <row r="135">
          <cell r="A135" t="str">
            <v>CHF_TOIS_EOD</v>
          </cell>
          <cell r="C135">
            <v>42886</v>
          </cell>
          <cell r="E135">
            <v>-5.6966646337412996E-3</v>
          </cell>
        </row>
        <row r="136">
          <cell r="A136" t="str">
            <v>CHF_TOIS_EOD</v>
          </cell>
          <cell r="C136">
            <v>42978</v>
          </cell>
          <cell r="E136">
            <v>-5.6788992576296002E-3</v>
          </cell>
        </row>
        <row r="137">
          <cell r="A137" t="str">
            <v>CHF_TOIS_EOD</v>
          </cell>
          <cell r="C137">
            <v>43343</v>
          </cell>
          <cell r="E137">
            <v>-5.1161571909710199E-3</v>
          </cell>
        </row>
        <row r="138">
          <cell r="A138" t="str">
            <v>CHF_TOIS_EOD</v>
          </cell>
          <cell r="C138">
            <v>43708</v>
          </cell>
          <cell r="E138">
            <v>-4.4587830085985698E-3</v>
          </cell>
        </row>
        <row r="139">
          <cell r="A139" t="str">
            <v>CHF_TOIS_EOD</v>
          </cell>
          <cell r="C139">
            <v>44073</v>
          </cell>
          <cell r="E139">
            <v>-3.5820539993913301E-3</v>
          </cell>
        </row>
        <row r="140">
          <cell r="A140" t="str">
            <v>CHF_TOIS_EOD</v>
          </cell>
          <cell r="C140">
            <v>44438</v>
          </cell>
          <cell r="E140">
            <v>-2.4640643039907E-3</v>
          </cell>
        </row>
        <row r="141">
          <cell r="A141" t="str">
            <v>CHF_TOIS_EOD</v>
          </cell>
          <cell r="C141">
            <v>44803</v>
          </cell>
          <cell r="E141">
            <v>-1.3257323154167301E-3</v>
          </cell>
        </row>
        <row r="142">
          <cell r="A142" t="str">
            <v>CHF_TOIS_EOD</v>
          </cell>
          <cell r="C142">
            <v>45168</v>
          </cell>
          <cell r="E142">
            <v>-2.488405516715E-4</v>
          </cell>
        </row>
        <row r="143">
          <cell r="A143" t="str">
            <v>CHF_TOIS_EOD</v>
          </cell>
          <cell r="C143">
            <v>45533</v>
          </cell>
          <cell r="E143">
            <v>6.7694516749776997E-4</v>
          </cell>
        </row>
        <row r="144">
          <cell r="A144" t="str">
            <v>CHF_TOIS_EOD</v>
          </cell>
          <cell r="C144">
            <v>45898</v>
          </cell>
          <cell r="E144">
            <v>1.50289283819176E-3</v>
          </cell>
        </row>
        <row r="145">
          <cell r="A145" t="str">
            <v>CHF_TOIS_EOD</v>
          </cell>
          <cell r="C145">
            <v>46628</v>
          </cell>
          <cell r="E145">
            <v>2.9829605368277101E-3</v>
          </cell>
        </row>
        <row r="146">
          <cell r="A146" t="str">
            <v>CHF_TOIS_EOD</v>
          </cell>
          <cell r="C146">
            <v>47723</v>
          </cell>
          <cell r="E146">
            <v>4.5301798906046296E-3</v>
          </cell>
        </row>
        <row r="147">
          <cell r="A147" t="str">
            <v>CHF_TOIS_EOD</v>
          </cell>
          <cell r="C147">
            <v>49548</v>
          </cell>
          <cell r="E147">
            <v>6.0952233583714197E-3</v>
          </cell>
        </row>
        <row r="148">
          <cell r="A148" t="str">
            <v>CHF_TOIS_EOD</v>
          </cell>
          <cell r="C148">
            <v>51373</v>
          </cell>
          <cell r="E148">
            <v>6.8365329925141301E-3</v>
          </cell>
        </row>
        <row r="149">
          <cell r="A149" t="str">
            <v>CHF_TOIS_EOD</v>
          </cell>
          <cell r="C149">
            <v>53198</v>
          </cell>
          <cell r="E149">
            <v>7.0854899007932E-3</v>
          </cell>
        </row>
        <row r="150">
          <cell r="A150" t="str">
            <v>CZK_PRIBOR_EOD</v>
          </cell>
          <cell r="C150">
            <v>42249</v>
          </cell>
          <cell r="E150">
            <v>1.4194416844029499E-3</v>
          </cell>
        </row>
        <row r="151">
          <cell r="A151" t="str">
            <v>CZK_PRIBOR_EOD</v>
          </cell>
          <cell r="C151">
            <v>42255</v>
          </cell>
          <cell r="E151">
            <v>1.47575805693709E-3</v>
          </cell>
        </row>
        <row r="152">
          <cell r="A152" t="str">
            <v>CZK_PRIBOR_EOD</v>
          </cell>
          <cell r="C152">
            <v>42278</v>
          </cell>
          <cell r="E152">
            <v>2.0731412320252E-3</v>
          </cell>
        </row>
        <row r="153">
          <cell r="A153" t="str">
            <v>CZK_PRIBOR_EOD</v>
          </cell>
          <cell r="C153">
            <v>42308</v>
          </cell>
          <cell r="E153">
            <v>2.3781125674742299E-3</v>
          </cell>
        </row>
        <row r="154">
          <cell r="A154" t="str">
            <v>CZK_PRIBOR_EOD</v>
          </cell>
          <cell r="C154">
            <v>42339</v>
          </cell>
          <cell r="E154">
            <v>3.0578431108939401E-3</v>
          </cell>
        </row>
        <row r="155">
          <cell r="A155" t="str">
            <v>CZK_PRIBOR_EOD</v>
          </cell>
          <cell r="C155">
            <v>42430</v>
          </cell>
          <cell r="E155">
            <v>3.1316680848854201E-3</v>
          </cell>
        </row>
        <row r="156">
          <cell r="A156" t="str">
            <v>CZK_PRIBOR_EOD</v>
          </cell>
          <cell r="C156">
            <v>42521</v>
          </cell>
          <cell r="E156">
            <v>2.9877766927934998E-3</v>
          </cell>
        </row>
        <row r="157">
          <cell r="A157" t="str">
            <v>CZK_PRIBOR_EOD</v>
          </cell>
          <cell r="C157">
            <v>42613</v>
          </cell>
          <cell r="E157">
            <v>2.86044791806201E-3</v>
          </cell>
        </row>
        <row r="158">
          <cell r="A158" t="str">
            <v>CZK_PRIBOR_EOD</v>
          </cell>
          <cell r="C158">
            <v>42795</v>
          </cell>
          <cell r="E158">
            <v>3.21081000824392E-3</v>
          </cell>
        </row>
        <row r="159">
          <cell r="A159" t="str">
            <v>CZK_PRIBOR_EOD</v>
          </cell>
          <cell r="C159">
            <v>42978</v>
          </cell>
          <cell r="E159">
            <v>3.5801616593628101E-3</v>
          </cell>
        </row>
        <row r="160">
          <cell r="A160" t="str">
            <v>CZK_PRIBOR_EOD</v>
          </cell>
          <cell r="C160">
            <v>43343</v>
          </cell>
          <cell r="E160">
            <v>4.3932626266113004E-3</v>
          </cell>
        </row>
        <row r="161">
          <cell r="A161" t="str">
            <v>CZK_PRIBOR_EOD</v>
          </cell>
          <cell r="C161">
            <v>43708</v>
          </cell>
          <cell r="E161">
            <v>5.5408855887004796E-3</v>
          </cell>
        </row>
        <row r="162">
          <cell r="A162" t="str">
            <v>CZK_PRIBOR_EOD</v>
          </cell>
          <cell r="C162">
            <v>44073</v>
          </cell>
          <cell r="E162">
            <v>6.7431854395249204E-3</v>
          </cell>
        </row>
        <row r="163">
          <cell r="A163" t="str">
            <v>CZK_PRIBOR_EOD</v>
          </cell>
          <cell r="C163">
            <v>44438</v>
          </cell>
          <cell r="E163">
            <v>7.8406181463607193E-3</v>
          </cell>
        </row>
        <row r="164">
          <cell r="A164" t="str">
            <v>CZK_PRIBOR_EOD</v>
          </cell>
          <cell r="C164">
            <v>44803</v>
          </cell>
          <cell r="E164">
            <v>8.8734978545083696E-3</v>
          </cell>
        </row>
        <row r="165">
          <cell r="A165" t="str">
            <v>CZK_PRIBOR_EOD</v>
          </cell>
          <cell r="C165">
            <v>45168</v>
          </cell>
          <cell r="E165">
            <v>9.9408807507237393E-3</v>
          </cell>
        </row>
        <row r="166">
          <cell r="A166" t="str">
            <v>CZK_PRIBOR_EOD</v>
          </cell>
          <cell r="C166">
            <v>45533</v>
          </cell>
          <cell r="E166">
            <v>1.1067101495042701E-2</v>
          </cell>
        </row>
        <row r="167">
          <cell r="A167" t="str">
            <v>CZK_PRIBOR_EOD</v>
          </cell>
          <cell r="C167">
            <v>45898</v>
          </cell>
          <cell r="E167">
            <v>1.19661063815324E-2</v>
          </cell>
        </row>
        <row r="168">
          <cell r="A168" t="str">
            <v>CZK_PRIBOR_EOD</v>
          </cell>
          <cell r="C168">
            <v>46628</v>
          </cell>
          <cell r="E168">
            <v>1.34582117107802E-2</v>
          </cell>
        </row>
        <row r="169">
          <cell r="A169" t="str">
            <v>CZK_PRIBOR_EOD</v>
          </cell>
          <cell r="C169">
            <v>47723</v>
          </cell>
          <cell r="E169">
            <v>1.5204820590343801E-2</v>
          </cell>
        </row>
        <row r="170">
          <cell r="A170" t="str">
            <v>CZK_PRIBOR_EOD</v>
          </cell>
          <cell r="C170">
            <v>49548</v>
          </cell>
          <cell r="E170">
            <v>1.6881714434105299E-2</v>
          </cell>
        </row>
        <row r="171">
          <cell r="A171" t="str">
            <v>CZK_PRIBOR_EOD</v>
          </cell>
          <cell r="C171">
            <v>51373</v>
          </cell>
          <cell r="E171">
            <v>1.6743538472467599E-2</v>
          </cell>
        </row>
        <row r="172">
          <cell r="A172" t="str">
            <v>CZK_PRIBOR_EOD</v>
          </cell>
          <cell r="C172">
            <v>53198</v>
          </cell>
          <cell r="E172">
            <v>1.6667872680056699E-2</v>
          </cell>
        </row>
        <row r="173">
          <cell r="A173" t="str">
            <v>DKK_CIBOR_EOD</v>
          </cell>
          <cell r="C173">
            <v>42249</v>
          </cell>
          <cell r="E173">
            <v>-4.1397318091262597E-3</v>
          </cell>
        </row>
        <row r="174">
          <cell r="A174" t="str">
            <v>DKK_CIBOR_EOD</v>
          </cell>
          <cell r="C174">
            <v>42255</v>
          </cell>
          <cell r="E174">
            <v>-2.8228566217397499E-3</v>
          </cell>
        </row>
        <row r="175">
          <cell r="A175" t="str">
            <v>DKK_CIBOR_EOD</v>
          </cell>
          <cell r="C175">
            <v>42278</v>
          </cell>
          <cell r="E175">
            <v>-2.6803461562624098E-3</v>
          </cell>
        </row>
        <row r="176">
          <cell r="A176" t="str">
            <v>DKK_CIBOR_EOD</v>
          </cell>
          <cell r="C176">
            <v>42308</v>
          </cell>
          <cell r="E176">
            <v>-1.86774539341075E-3</v>
          </cell>
        </row>
        <row r="177">
          <cell r="A177" t="str">
            <v>DKK_CIBOR_EOD</v>
          </cell>
          <cell r="C177">
            <v>42339</v>
          </cell>
          <cell r="E177">
            <v>-1.02805793846403E-3</v>
          </cell>
        </row>
        <row r="178">
          <cell r="A178" t="str">
            <v>DKK_CIBOR_EOD</v>
          </cell>
          <cell r="C178">
            <v>42430</v>
          </cell>
          <cell r="E178">
            <v>-1.6286602610187E-4</v>
          </cell>
        </row>
        <row r="179">
          <cell r="A179" t="str">
            <v>DKK_CIBOR_EOD</v>
          </cell>
          <cell r="C179">
            <v>42521</v>
          </cell>
          <cell r="E179">
            <v>2.2767704246869999E-4</v>
          </cell>
        </row>
        <row r="180">
          <cell r="A180" t="str">
            <v>DKK_CIBOR_EOD</v>
          </cell>
          <cell r="C180">
            <v>42613</v>
          </cell>
          <cell r="E180">
            <v>5.3094938171793001E-4</v>
          </cell>
        </row>
        <row r="181">
          <cell r="A181" t="str">
            <v>DKK_CIBOR_EOD</v>
          </cell>
          <cell r="C181">
            <v>42795</v>
          </cell>
          <cell r="E181">
            <v>1.0736378076502001E-3</v>
          </cell>
        </row>
        <row r="182">
          <cell r="A182" t="str">
            <v>DKK_CIBOR_EOD</v>
          </cell>
          <cell r="C182">
            <v>42978</v>
          </cell>
          <cell r="E182">
            <v>3.1724784986325002E-3</v>
          </cell>
        </row>
        <row r="183">
          <cell r="A183" t="str">
            <v>DKK_CIBOR_EOD</v>
          </cell>
          <cell r="C183">
            <v>43343</v>
          </cell>
          <cell r="E183">
            <v>4.4663167135458003E-3</v>
          </cell>
        </row>
        <row r="184">
          <cell r="A184" t="str">
            <v>DKK_CIBOR_EOD</v>
          </cell>
          <cell r="C184">
            <v>43708</v>
          </cell>
          <cell r="E184">
            <v>6.1028434597905799E-3</v>
          </cell>
        </row>
        <row r="185">
          <cell r="A185" t="str">
            <v>DKK_CIBOR_EOD</v>
          </cell>
          <cell r="C185">
            <v>44073</v>
          </cell>
          <cell r="E185">
            <v>7.7555802951795004E-3</v>
          </cell>
        </row>
        <row r="186">
          <cell r="A186" t="str">
            <v>DKK_CIBOR_EOD</v>
          </cell>
          <cell r="C186">
            <v>44438</v>
          </cell>
          <cell r="E186">
            <v>9.3035605929509806E-3</v>
          </cell>
        </row>
        <row r="187">
          <cell r="A187" t="str">
            <v>DKK_CIBOR_EOD</v>
          </cell>
          <cell r="C187">
            <v>44803</v>
          </cell>
          <cell r="E187">
            <v>1.08137638704734E-2</v>
          </cell>
        </row>
        <row r="188">
          <cell r="A188" t="str">
            <v>DKK_CIBOR_EOD</v>
          </cell>
          <cell r="C188">
            <v>45168</v>
          </cell>
          <cell r="E188">
            <v>1.2265061614306899E-2</v>
          </cell>
        </row>
        <row r="189">
          <cell r="A189" t="str">
            <v>DKK_CIBOR_EOD</v>
          </cell>
          <cell r="C189">
            <v>45533</v>
          </cell>
          <cell r="E189">
            <v>1.35933406796497E-2</v>
          </cell>
        </row>
        <row r="190">
          <cell r="A190" t="str">
            <v>DKK_CIBOR_EOD</v>
          </cell>
          <cell r="C190">
            <v>45898</v>
          </cell>
          <cell r="E190">
            <v>1.47510007127689E-2</v>
          </cell>
        </row>
        <row r="191">
          <cell r="A191" t="str">
            <v>DKK_CIBOR_EOD</v>
          </cell>
          <cell r="C191">
            <v>46628</v>
          </cell>
          <cell r="E191">
            <v>1.6568568638587699E-2</v>
          </cell>
        </row>
        <row r="192">
          <cell r="A192" t="str">
            <v>DKK_CIBOR_EOD</v>
          </cell>
          <cell r="C192">
            <v>47723</v>
          </cell>
          <cell r="E192">
            <v>1.84638494406081E-2</v>
          </cell>
        </row>
        <row r="193">
          <cell r="A193" t="str">
            <v>DKK_CIBOR_EOD</v>
          </cell>
          <cell r="C193">
            <v>49548</v>
          </cell>
          <cell r="E193">
            <v>1.9917811966398798E-2</v>
          </cell>
        </row>
        <row r="194">
          <cell r="A194" t="str">
            <v>DKK_CIBOR_EOD</v>
          </cell>
          <cell r="C194">
            <v>51373</v>
          </cell>
          <cell r="E194">
            <v>2.0058791159024598E-2</v>
          </cell>
        </row>
        <row r="195">
          <cell r="A195" t="str">
            <v>DKK_CIBOR_EOD</v>
          </cell>
          <cell r="C195">
            <v>53198</v>
          </cell>
          <cell r="E195">
            <v>1.99707026034339E-2</v>
          </cell>
        </row>
        <row r="196">
          <cell r="A196" t="str">
            <v>EUR_EONIA_EOD</v>
          </cell>
          <cell r="C196">
            <v>42249</v>
          </cell>
          <cell r="E196">
            <v>-1.2673633113434301E-3</v>
          </cell>
        </row>
        <row r="197">
          <cell r="A197" t="str">
            <v>EUR_EONIA_EOD</v>
          </cell>
          <cell r="C197">
            <v>42255</v>
          </cell>
          <cell r="E197">
            <v>-1.3068006433373501E-3</v>
          </cell>
        </row>
        <row r="198">
          <cell r="A198" t="str">
            <v>EUR_EONIA_EOD</v>
          </cell>
          <cell r="C198">
            <v>42262</v>
          </cell>
          <cell r="E198">
            <v>-1.30216747398697E-3</v>
          </cell>
        </row>
        <row r="199">
          <cell r="A199" t="str">
            <v>EUR_EONIA_EOD</v>
          </cell>
          <cell r="C199">
            <v>42269</v>
          </cell>
          <cell r="E199">
            <v>-1.2915357186985799E-3</v>
          </cell>
        </row>
        <row r="200">
          <cell r="A200" t="str">
            <v>EUR_EONIA_EOD</v>
          </cell>
          <cell r="C200">
            <v>42278</v>
          </cell>
          <cell r="E200">
            <v>-1.2707741099832199E-3</v>
          </cell>
        </row>
        <row r="201">
          <cell r="A201" t="str">
            <v>EUR_EONIA_EOD</v>
          </cell>
          <cell r="C201">
            <v>42308</v>
          </cell>
          <cell r="E201">
            <v>-1.30627699034693E-3</v>
          </cell>
        </row>
        <row r="202">
          <cell r="A202" t="str">
            <v>EUR_EONIA_EOD</v>
          </cell>
          <cell r="C202">
            <v>42339</v>
          </cell>
          <cell r="E202">
            <v>-1.32375756378599E-3</v>
          </cell>
        </row>
        <row r="203">
          <cell r="A203" t="str">
            <v>EUR_EONIA_EOD</v>
          </cell>
          <cell r="C203">
            <v>42369</v>
          </cell>
          <cell r="E203">
            <v>-1.30677398841517E-3</v>
          </cell>
        </row>
        <row r="204">
          <cell r="A204" t="str">
            <v>EUR_EONIA_EOD</v>
          </cell>
          <cell r="C204">
            <v>42400</v>
          </cell>
          <cell r="E204">
            <v>-1.3389380708056799E-3</v>
          </cell>
        </row>
        <row r="205">
          <cell r="A205" t="str">
            <v>EUR_EONIA_EOD</v>
          </cell>
          <cell r="C205">
            <v>42430</v>
          </cell>
          <cell r="E205">
            <v>-1.36636432413592E-3</v>
          </cell>
        </row>
        <row r="206">
          <cell r="A206" t="str">
            <v>EUR_EONIA_EOD</v>
          </cell>
          <cell r="C206">
            <v>42460</v>
          </cell>
          <cell r="E206">
            <v>-1.3793205634570699E-3</v>
          </cell>
        </row>
        <row r="207">
          <cell r="A207" t="str">
            <v>EUR_EONIA_EOD</v>
          </cell>
          <cell r="C207">
            <v>42491</v>
          </cell>
          <cell r="E207">
            <v>-1.3857947069159601E-3</v>
          </cell>
        </row>
        <row r="208">
          <cell r="A208" t="str">
            <v>EUR_EONIA_EOD</v>
          </cell>
          <cell r="C208">
            <v>42521</v>
          </cell>
          <cell r="E208">
            <v>-1.3977042062978699E-3</v>
          </cell>
        </row>
        <row r="209">
          <cell r="A209" t="str">
            <v>EUR_EONIA_EOD</v>
          </cell>
          <cell r="C209">
            <v>42552</v>
          </cell>
          <cell r="E209">
            <v>-1.40593540189844E-3</v>
          </cell>
        </row>
        <row r="210">
          <cell r="A210" t="str">
            <v>EUR_EONIA_EOD</v>
          </cell>
          <cell r="C210">
            <v>42582</v>
          </cell>
          <cell r="E210">
            <v>-1.4514878229549999E-3</v>
          </cell>
        </row>
        <row r="211">
          <cell r="A211" t="str">
            <v>EUR_EONIA_EOD</v>
          </cell>
          <cell r="C211">
            <v>42613</v>
          </cell>
          <cell r="E211">
            <v>-1.45663247652398E-3</v>
          </cell>
        </row>
        <row r="212">
          <cell r="A212" t="str">
            <v>EUR_EONIA_EOD</v>
          </cell>
          <cell r="C212">
            <v>42704</v>
          </cell>
          <cell r="E212">
            <v>-1.4598786963751799E-3</v>
          </cell>
        </row>
        <row r="213">
          <cell r="A213" t="str">
            <v>EUR_EONIA_EOD</v>
          </cell>
          <cell r="C213">
            <v>42795</v>
          </cell>
          <cell r="E213">
            <v>-1.4239264547882E-3</v>
          </cell>
        </row>
        <row r="214">
          <cell r="A214" t="str">
            <v>EUR_EONIA_EOD</v>
          </cell>
          <cell r="C214">
            <v>42886</v>
          </cell>
          <cell r="E214">
            <v>-1.33383832949195E-3</v>
          </cell>
        </row>
        <row r="215">
          <cell r="A215" t="str">
            <v>EUR_EONIA_EOD</v>
          </cell>
          <cell r="C215">
            <v>42978</v>
          </cell>
          <cell r="E215">
            <v>-1.1983936743259699E-3</v>
          </cell>
        </row>
        <row r="216">
          <cell r="A216" t="str">
            <v>EUR_EONIA_EOD</v>
          </cell>
          <cell r="C216">
            <v>43343</v>
          </cell>
          <cell r="E216">
            <v>-4.9640468401174003E-4</v>
          </cell>
        </row>
        <row r="217">
          <cell r="A217" t="str">
            <v>EUR_EONIA_EOD</v>
          </cell>
          <cell r="C217">
            <v>43708</v>
          </cell>
          <cell r="E217">
            <v>6.8124560405300003E-4</v>
          </cell>
        </row>
        <row r="218">
          <cell r="A218" t="str">
            <v>EUR_EONIA_EOD</v>
          </cell>
          <cell r="C218">
            <v>44073</v>
          </cell>
          <cell r="E218">
            <v>2.0601312340945699E-3</v>
          </cell>
        </row>
        <row r="219">
          <cell r="A219" t="str">
            <v>EUR_EONIA_EOD</v>
          </cell>
          <cell r="C219">
            <v>44438</v>
          </cell>
          <cell r="E219">
            <v>3.5558667453576402E-3</v>
          </cell>
        </row>
        <row r="220">
          <cell r="A220" t="str">
            <v>EUR_EONIA_EOD</v>
          </cell>
          <cell r="C220">
            <v>44803</v>
          </cell>
          <cell r="E220">
            <v>5.0732183829549603E-3</v>
          </cell>
        </row>
        <row r="221">
          <cell r="A221" t="str">
            <v>EUR_EONIA_EOD</v>
          </cell>
          <cell r="C221">
            <v>45168</v>
          </cell>
          <cell r="E221">
            <v>6.5390081618053198E-3</v>
          </cell>
        </row>
        <row r="222">
          <cell r="A222" t="str">
            <v>EUR_EONIA_EOD</v>
          </cell>
          <cell r="C222">
            <v>45533</v>
          </cell>
          <cell r="E222">
            <v>7.9018338525330602E-3</v>
          </cell>
        </row>
        <row r="223">
          <cell r="A223" t="str">
            <v>EUR_EONIA_EOD</v>
          </cell>
          <cell r="C223">
            <v>45898</v>
          </cell>
          <cell r="E223">
            <v>9.1144453128036602E-3</v>
          </cell>
        </row>
        <row r="224">
          <cell r="A224" t="str">
            <v>EUR_EONIA_EOD</v>
          </cell>
          <cell r="C224">
            <v>46628</v>
          </cell>
          <cell r="E224">
            <v>1.11075664462938E-2</v>
          </cell>
        </row>
        <row r="225">
          <cell r="A225" t="str">
            <v>EUR_EONIA_EOD</v>
          </cell>
          <cell r="C225">
            <v>47723</v>
          </cell>
          <cell r="E225">
            <v>1.3250128249896201E-2</v>
          </cell>
        </row>
        <row r="226">
          <cell r="A226" t="str">
            <v>EUR_EONIA_EOD</v>
          </cell>
          <cell r="C226">
            <v>49548</v>
          </cell>
          <cell r="E226">
            <v>1.50559852411516E-2</v>
          </cell>
        </row>
        <row r="227">
          <cell r="A227" t="str">
            <v>EUR_EONIA_EOD</v>
          </cell>
          <cell r="C227">
            <v>51373</v>
          </cell>
          <cell r="E227">
            <v>1.55698822591062E-2</v>
          </cell>
        </row>
        <row r="228">
          <cell r="A228" t="str">
            <v>EUR_EONIA_EOD</v>
          </cell>
          <cell r="C228">
            <v>53198</v>
          </cell>
          <cell r="E228">
            <v>1.57640039737444E-2</v>
          </cell>
        </row>
        <row r="229">
          <cell r="A229" t="str">
            <v>EUR_EONIA_EOD</v>
          </cell>
          <cell r="C229">
            <v>55023</v>
          </cell>
          <cell r="E229">
            <v>1.59209593580645E-2</v>
          </cell>
        </row>
        <row r="230">
          <cell r="A230" t="str">
            <v>EUR_EONIA_EOD</v>
          </cell>
          <cell r="C230">
            <v>56848</v>
          </cell>
          <cell r="E230">
            <v>1.6077698828977399E-2</v>
          </cell>
        </row>
        <row r="231">
          <cell r="A231" t="str">
            <v>EUR_EONIA_EOD</v>
          </cell>
          <cell r="C231">
            <v>58673</v>
          </cell>
          <cell r="E231">
            <v>1.5877317572390699E-2</v>
          </cell>
        </row>
        <row r="232">
          <cell r="A232" t="str">
            <v>EUR_EONIA_EOD</v>
          </cell>
          <cell r="C232">
            <v>60498</v>
          </cell>
          <cell r="E232">
            <v>1.5674572582362101E-2</v>
          </cell>
        </row>
        <row r="233">
          <cell r="A233" t="str">
            <v>EUR_EURIBOR_EOD</v>
          </cell>
          <cell r="C233">
            <v>42249</v>
          </cell>
          <cell r="E233">
            <v>-1.1152794816851599E-3</v>
          </cell>
        </row>
        <row r="234">
          <cell r="A234" t="str">
            <v>EUR_EURIBOR_EOD</v>
          </cell>
          <cell r="C234">
            <v>42255</v>
          </cell>
          <cell r="E234">
            <v>-1.30116936328498E-3</v>
          </cell>
        </row>
        <row r="235">
          <cell r="A235" t="str">
            <v>EUR_EURIBOR_EOD</v>
          </cell>
          <cell r="C235">
            <v>42278</v>
          </cell>
          <cell r="E235">
            <v>-1.18415372101807E-3</v>
          </cell>
        </row>
        <row r="236">
          <cell r="A236" t="str">
            <v>EUR_EURIBOR_EOD</v>
          </cell>
          <cell r="C236">
            <v>42308</v>
          </cell>
          <cell r="E236">
            <v>-9.1076572827997995E-4</v>
          </cell>
        </row>
        <row r="237">
          <cell r="A237" t="str">
            <v>EUR_EURIBOR_EOD</v>
          </cell>
          <cell r="C237">
            <v>42339</v>
          </cell>
          <cell r="E237">
            <v>-6.2826480245061996E-4</v>
          </cell>
        </row>
        <row r="238">
          <cell r="A238" t="str">
            <v>EUR_EURIBOR_EOD</v>
          </cell>
          <cell r="C238">
            <v>42430</v>
          </cell>
          <cell r="E238">
            <v>-4.4040078539912001E-4</v>
          </cell>
        </row>
        <row r="239">
          <cell r="A239" t="str">
            <v>EUR_EURIBOR_EOD</v>
          </cell>
          <cell r="C239">
            <v>42521</v>
          </cell>
          <cell r="E239">
            <v>-3.9942741562429003E-4</v>
          </cell>
        </row>
        <row r="240">
          <cell r="A240" t="str">
            <v>EUR_EURIBOR_EOD</v>
          </cell>
          <cell r="C240">
            <v>42613</v>
          </cell>
          <cell r="E240">
            <v>-3.6887413230971E-4</v>
          </cell>
        </row>
        <row r="241">
          <cell r="A241" t="str">
            <v>EUR_EURIBOR_EOD</v>
          </cell>
          <cell r="C241">
            <v>42795</v>
          </cell>
          <cell r="E241">
            <v>-2.3612445100962E-4</v>
          </cell>
        </row>
        <row r="242">
          <cell r="A242" t="str">
            <v>EUR_EURIBOR_EOD</v>
          </cell>
          <cell r="C242">
            <v>42978</v>
          </cell>
          <cell r="E242">
            <v>2.1909556782040002E-5</v>
          </cell>
        </row>
        <row r="243">
          <cell r="A243" t="str">
            <v>EUR_EURIBOR_EOD</v>
          </cell>
          <cell r="C243">
            <v>43343</v>
          </cell>
          <cell r="E243">
            <v>8.4929400917900001E-4</v>
          </cell>
        </row>
        <row r="244">
          <cell r="A244" t="str">
            <v>EUR_EURIBOR_EOD</v>
          </cell>
          <cell r="C244">
            <v>43708</v>
          </cell>
          <cell r="E244">
            <v>3.1022599183150599E-3</v>
          </cell>
        </row>
        <row r="245">
          <cell r="A245" t="str">
            <v>EUR_EURIBOR_EOD</v>
          </cell>
          <cell r="C245">
            <v>44073</v>
          </cell>
          <cell r="E245">
            <v>4.5399412004232297E-3</v>
          </cell>
        </row>
        <row r="246">
          <cell r="A246" t="str">
            <v>EUR_EURIBOR_EOD</v>
          </cell>
          <cell r="C246">
            <v>44438</v>
          </cell>
          <cell r="E246">
            <v>6.0263621944588201E-3</v>
          </cell>
        </row>
        <row r="247">
          <cell r="A247" t="str">
            <v>EUR_EURIBOR_EOD</v>
          </cell>
          <cell r="C247">
            <v>44803</v>
          </cell>
          <cell r="E247">
            <v>7.5037464664795299E-3</v>
          </cell>
        </row>
        <row r="248">
          <cell r="A248" t="str">
            <v>EUR_EURIBOR_EOD</v>
          </cell>
          <cell r="C248">
            <v>45168</v>
          </cell>
          <cell r="E248">
            <v>8.9208560534790107E-3</v>
          </cell>
        </row>
        <row r="249">
          <cell r="A249" t="str">
            <v>EUR_EURIBOR_EOD</v>
          </cell>
          <cell r="C249">
            <v>45533</v>
          </cell>
          <cell r="E249">
            <v>1.02153970567231E-2</v>
          </cell>
        </row>
        <row r="250">
          <cell r="A250" t="str">
            <v>EUR_EURIBOR_EOD</v>
          </cell>
          <cell r="C250">
            <v>45898</v>
          </cell>
          <cell r="E250">
            <v>1.1349570446114199E-2</v>
          </cell>
        </row>
        <row r="251">
          <cell r="A251" t="str">
            <v>EUR_EURIBOR_EOD</v>
          </cell>
          <cell r="C251">
            <v>46628</v>
          </cell>
          <cell r="E251">
            <v>1.3198953864858601E-2</v>
          </cell>
        </row>
        <row r="252">
          <cell r="A252" t="str">
            <v>EUR_EURIBOR_EOD</v>
          </cell>
          <cell r="C252">
            <v>47723</v>
          </cell>
          <cell r="E252">
            <v>1.50997667649345E-2</v>
          </cell>
        </row>
        <row r="253">
          <cell r="A253" t="str">
            <v>EUR_EURIBOR_EOD</v>
          </cell>
          <cell r="C253">
            <v>49548</v>
          </cell>
          <cell r="E253">
            <v>1.6592959143731701E-2</v>
          </cell>
        </row>
        <row r="254">
          <cell r="A254" t="str">
            <v>EUR_EURIBOR_EOD</v>
          </cell>
          <cell r="C254">
            <v>51373</v>
          </cell>
          <cell r="E254">
            <v>1.68460973505212E-2</v>
          </cell>
        </row>
        <row r="255">
          <cell r="A255" t="str">
            <v>EUR_EURIBOR_EOD</v>
          </cell>
          <cell r="C255">
            <v>53198</v>
          </cell>
          <cell r="E255">
            <v>1.68398172641613E-2</v>
          </cell>
        </row>
        <row r="256">
          <cell r="A256" t="str">
            <v>EUR_EURIBOR_EOD</v>
          </cell>
          <cell r="C256">
            <v>55023</v>
          </cell>
          <cell r="E256">
            <v>1.6858984153982501E-2</v>
          </cell>
        </row>
        <row r="257">
          <cell r="A257" t="str">
            <v>EUR_EURIBOR_EOD</v>
          </cell>
          <cell r="C257">
            <v>56848</v>
          </cell>
          <cell r="E257">
            <v>1.6878313006260099E-2</v>
          </cell>
        </row>
        <row r="258">
          <cell r="A258" t="str">
            <v>EUR_EURIBOR_EOD</v>
          </cell>
          <cell r="C258">
            <v>58673</v>
          </cell>
          <cell r="E258">
            <v>1.6573866564293702E-2</v>
          </cell>
        </row>
        <row r="259">
          <cell r="A259" t="str">
            <v>EUR_EURIBOR_EOD</v>
          </cell>
          <cell r="C259">
            <v>60498</v>
          </cell>
          <cell r="E259">
            <v>1.6267277097765299E-2</v>
          </cell>
        </row>
        <row r="260">
          <cell r="A260" t="str">
            <v>EUR_EURIBOR_EOD</v>
          </cell>
          <cell r="C260">
            <v>62323</v>
          </cell>
          <cell r="E260">
            <v>1.6096580246925701E-2</v>
          </cell>
        </row>
        <row r="261">
          <cell r="A261" t="str">
            <v>EUR_EURIBOR_EOD</v>
          </cell>
          <cell r="C261">
            <v>64148</v>
          </cell>
          <cell r="E261">
            <v>1.5927009577984E-2</v>
          </cell>
        </row>
        <row r="262">
          <cell r="A262" t="str">
            <v>GBP_LIBOR_EOD</v>
          </cell>
          <cell r="C262">
            <v>42249</v>
          </cell>
          <cell r="E262">
            <v>4.8124682740251102E-3</v>
          </cell>
        </row>
        <row r="263">
          <cell r="A263" t="str">
            <v>GBP_LIBOR_EOD</v>
          </cell>
          <cell r="C263">
            <v>42255</v>
          </cell>
          <cell r="E263">
            <v>4.8922704857341801E-3</v>
          </cell>
        </row>
        <row r="264">
          <cell r="A264" t="str">
            <v>GBP_LIBOR_EOD</v>
          </cell>
          <cell r="C264">
            <v>42278</v>
          </cell>
          <cell r="E264">
            <v>5.1146538152016504E-3</v>
          </cell>
        </row>
        <row r="265">
          <cell r="A265" t="str">
            <v>GBP_LIBOR_EOD</v>
          </cell>
          <cell r="C265">
            <v>42308</v>
          </cell>
          <cell r="E265">
            <v>5.4047190275505301E-3</v>
          </cell>
        </row>
        <row r="266">
          <cell r="A266" t="str">
            <v>GBP_LIBOR_EOD</v>
          </cell>
          <cell r="C266">
            <v>42339</v>
          </cell>
          <cell r="E266">
            <v>5.7044530803110399E-3</v>
          </cell>
        </row>
        <row r="267">
          <cell r="A267" t="str">
            <v>GBP_LIBOR_EOD</v>
          </cell>
          <cell r="C267">
            <v>42430</v>
          </cell>
          <cell r="E267">
            <v>6.1334652632765597E-3</v>
          </cell>
        </row>
        <row r="268">
          <cell r="A268" t="str">
            <v>GBP_LIBOR_EOD</v>
          </cell>
          <cell r="C268">
            <v>42521</v>
          </cell>
          <cell r="E268">
            <v>6.5803507726526402E-3</v>
          </cell>
        </row>
        <row r="269">
          <cell r="A269" t="str">
            <v>GBP_LIBOR_EOD</v>
          </cell>
          <cell r="C269">
            <v>42613</v>
          </cell>
          <cell r="E269">
            <v>7.0749759633455802E-3</v>
          </cell>
        </row>
        <row r="270">
          <cell r="A270" t="str">
            <v>GBP_LIBOR_EOD</v>
          </cell>
          <cell r="C270">
            <v>42795</v>
          </cell>
          <cell r="E270">
            <v>8.1588666984547392E-3</v>
          </cell>
        </row>
        <row r="271">
          <cell r="A271" t="str">
            <v>GBP_LIBOR_EOD</v>
          </cell>
          <cell r="C271">
            <v>42978</v>
          </cell>
          <cell r="E271">
            <v>9.3363491849230394E-3</v>
          </cell>
        </row>
        <row r="272">
          <cell r="A272" t="str">
            <v>GBP_LIBOR_EOD</v>
          </cell>
          <cell r="C272">
            <v>43343</v>
          </cell>
          <cell r="E272">
            <v>1.26311841954243E-2</v>
          </cell>
        </row>
        <row r="273">
          <cell r="A273" t="str">
            <v>GBP_LIBOR_EOD</v>
          </cell>
          <cell r="C273">
            <v>43708</v>
          </cell>
          <cell r="E273">
            <v>1.45315276098338E-2</v>
          </cell>
        </row>
        <row r="274">
          <cell r="A274" t="str">
            <v>GBP_LIBOR_EOD</v>
          </cell>
          <cell r="C274">
            <v>44073</v>
          </cell>
          <cell r="E274">
            <v>1.6099576764955499E-2</v>
          </cell>
        </row>
        <row r="275">
          <cell r="A275" t="str">
            <v>GBP_LIBOR_EOD</v>
          </cell>
          <cell r="C275">
            <v>44438</v>
          </cell>
          <cell r="E275">
            <v>1.73189786286214E-2</v>
          </cell>
        </row>
        <row r="276">
          <cell r="A276" t="str">
            <v>GBP_LIBOR_EOD</v>
          </cell>
          <cell r="C276">
            <v>44803</v>
          </cell>
          <cell r="E276">
            <v>1.82591690235284E-2</v>
          </cell>
        </row>
        <row r="277">
          <cell r="A277" t="str">
            <v>GBP_LIBOR_EOD</v>
          </cell>
          <cell r="C277">
            <v>45168</v>
          </cell>
          <cell r="E277">
            <v>1.9007177278079899E-2</v>
          </cell>
        </row>
        <row r="278">
          <cell r="A278" t="str">
            <v>GBP_LIBOR_EOD</v>
          </cell>
          <cell r="C278">
            <v>45533</v>
          </cell>
          <cell r="E278">
            <v>1.9630323419940698E-2</v>
          </cell>
        </row>
        <row r="279">
          <cell r="A279" t="str">
            <v>GBP_LIBOR_EOD</v>
          </cell>
          <cell r="C279">
            <v>45898</v>
          </cell>
          <cell r="E279">
            <v>2.0142742715950099E-2</v>
          </cell>
        </row>
        <row r="280">
          <cell r="A280" t="str">
            <v>GBP_LIBOR_EOD</v>
          </cell>
          <cell r="C280">
            <v>46628</v>
          </cell>
          <cell r="E280">
            <v>2.09992902359643E-2</v>
          </cell>
        </row>
        <row r="281">
          <cell r="A281" t="str">
            <v>GBP_LIBOR_EOD</v>
          </cell>
          <cell r="C281">
            <v>47723</v>
          </cell>
          <cell r="E281">
            <v>2.1847331974135999E-2</v>
          </cell>
        </row>
        <row r="282">
          <cell r="A282" t="str">
            <v>GBP_LIBOR_EOD</v>
          </cell>
          <cell r="C282">
            <v>49548</v>
          </cell>
          <cell r="E282">
            <v>2.2389516748775502E-2</v>
          </cell>
        </row>
        <row r="283">
          <cell r="A283" t="str">
            <v>GBP_LIBOR_EOD</v>
          </cell>
          <cell r="C283">
            <v>51373</v>
          </cell>
          <cell r="E283">
            <v>2.2221399881282002E-2</v>
          </cell>
        </row>
        <row r="284">
          <cell r="A284" t="str">
            <v>GBP_LIBOR_EOD</v>
          </cell>
          <cell r="C284">
            <v>53198</v>
          </cell>
          <cell r="E284">
            <v>2.2014151306135699E-2</v>
          </cell>
        </row>
        <row r="285">
          <cell r="A285" t="str">
            <v>GBP_LIBOR_EOD</v>
          </cell>
          <cell r="C285">
            <v>55023</v>
          </cell>
          <cell r="E285">
            <v>2.1601575107503299E-2</v>
          </cell>
        </row>
        <row r="286">
          <cell r="A286" t="str">
            <v>GBP_LIBOR_EOD</v>
          </cell>
          <cell r="C286">
            <v>56848</v>
          </cell>
          <cell r="E286">
            <v>2.11880956740996E-2</v>
          </cell>
        </row>
        <row r="287">
          <cell r="A287" t="str">
            <v>GBP_LIBOR_EOD</v>
          </cell>
          <cell r="C287">
            <v>58673</v>
          </cell>
          <cell r="E287">
            <v>2.0886362008392799E-2</v>
          </cell>
        </row>
        <row r="288">
          <cell r="A288" t="str">
            <v>GBP_LIBOR_EOD</v>
          </cell>
          <cell r="C288">
            <v>60498</v>
          </cell>
          <cell r="E288">
            <v>2.0585244021846801E-2</v>
          </cell>
        </row>
        <row r="289">
          <cell r="A289" t="str">
            <v>GBP_LIBOR_EOD</v>
          </cell>
          <cell r="C289">
            <v>62323</v>
          </cell>
          <cell r="E289">
            <v>2.05738850182304E-2</v>
          </cell>
        </row>
        <row r="290">
          <cell r="A290" t="str">
            <v>GBP_LIBOR_EOD</v>
          </cell>
          <cell r="C290">
            <v>64148</v>
          </cell>
          <cell r="E290">
            <v>2.05646048594143E-2</v>
          </cell>
        </row>
        <row r="291">
          <cell r="A291" t="str">
            <v>GBP_SONIA_EOD</v>
          </cell>
          <cell r="C291">
            <v>42249</v>
          </cell>
          <cell r="E291">
            <v>4.5859711900806998E-3</v>
          </cell>
        </row>
        <row r="292">
          <cell r="A292" t="str">
            <v>GBP_SONIA_EOD</v>
          </cell>
          <cell r="C292">
            <v>42255</v>
          </cell>
          <cell r="E292">
            <v>4.5997971078242496E-3</v>
          </cell>
        </row>
        <row r="293">
          <cell r="A293" t="str">
            <v>GBP_SONIA_EOD</v>
          </cell>
          <cell r="C293">
            <v>42262</v>
          </cell>
          <cell r="E293">
            <v>4.6005940630791803E-3</v>
          </cell>
        </row>
        <row r="294">
          <cell r="A294" t="str">
            <v>GBP_SONIA_EOD</v>
          </cell>
          <cell r="C294">
            <v>42269</v>
          </cell>
          <cell r="E294">
            <v>4.5986964738703702E-3</v>
          </cell>
        </row>
        <row r="295">
          <cell r="A295" t="str">
            <v>GBP_SONIA_EOD</v>
          </cell>
          <cell r="C295">
            <v>42278</v>
          </cell>
          <cell r="E295">
            <v>4.5962567163161903E-3</v>
          </cell>
        </row>
        <row r="296">
          <cell r="A296" t="str">
            <v>GBP_SONIA_EOD</v>
          </cell>
          <cell r="C296">
            <v>42308</v>
          </cell>
          <cell r="E296">
            <v>4.61182134371257E-3</v>
          </cell>
        </row>
        <row r="297">
          <cell r="A297" t="str">
            <v>GBP_SONIA_EOD</v>
          </cell>
          <cell r="C297">
            <v>42339</v>
          </cell>
          <cell r="E297">
            <v>4.6973733180199996E-3</v>
          </cell>
        </row>
        <row r="298">
          <cell r="A298" t="str">
            <v>GBP_SONIA_EOD</v>
          </cell>
          <cell r="C298">
            <v>42369</v>
          </cell>
          <cell r="E298">
            <v>4.7500934999078603E-3</v>
          </cell>
        </row>
        <row r="299">
          <cell r="A299" t="str">
            <v>GBP_SONIA_EOD</v>
          </cell>
          <cell r="C299">
            <v>42400</v>
          </cell>
          <cell r="E299">
            <v>4.8039230871125002E-3</v>
          </cell>
        </row>
        <row r="300">
          <cell r="A300" t="str">
            <v>GBP_SONIA_EOD</v>
          </cell>
          <cell r="C300">
            <v>42430</v>
          </cell>
          <cell r="E300">
            <v>4.9345492517148199E-3</v>
          </cell>
        </row>
        <row r="301">
          <cell r="A301" t="str">
            <v>GBP_SONIA_EOD</v>
          </cell>
          <cell r="C301">
            <v>42460</v>
          </cell>
          <cell r="E301">
            <v>5.04017430553301E-3</v>
          </cell>
        </row>
        <row r="302">
          <cell r="A302" t="str">
            <v>GBP_SONIA_EOD</v>
          </cell>
          <cell r="C302">
            <v>42491</v>
          </cell>
          <cell r="E302">
            <v>5.1151766915628104E-3</v>
          </cell>
        </row>
        <row r="303">
          <cell r="A303" t="str">
            <v>GBP_SONIA_EOD</v>
          </cell>
          <cell r="C303">
            <v>42521</v>
          </cell>
          <cell r="E303">
            <v>5.2591148682769404E-3</v>
          </cell>
        </row>
        <row r="304">
          <cell r="A304" t="str">
            <v>GBP_SONIA_EOD</v>
          </cell>
          <cell r="C304">
            <v>42552</v>
          </cell>
          <cell r="E304">
            <v>5.4018301807736199E-3</v>
          </cell>
        </row>
        <row r="305">
          <cell r="A305" t="str">
            <v>GBP_SONIA_EOD</v>
          </cell>
          <cell r="C305">
            <v>42582</v>
          </cell>
          <cell r="E305">
            <v>5.5266125172156802E-3</v>
          </cell>
        </row>
        <row r="306">
          <cell r="A306" t="str">
            <v>GBP_SONIA_EOD</v>
          </cell>
          <cell r="C306">
            <v>42613</v>
          </cell>
          <cell r="E306">
            <v>5.66648795242943E-3</v>
          </cell>
        </row>
        <row r="307">
          <cell r="A307" t="str">
            <v>GBP_SONIA_EOD</v>
          </cell>
          <cell r="C307">
            <v>42704</v>
          </cell>
          <cell r="E307">
            <v>6.0879492114271601E-3</v>
          </cell>
        </row>
        <row r="308">
          <cell r="A308" t="str">
            <v>GBP_SONIA_EOD</v>
          </cell>
          <cell r="C308">
            <v>42795</v>
          </cell>
          <cell r="E308">
            <v>6.5568478618891601E-3</v>
          </cell>
        </row>
        <row r="309">
          <cell r="A309" t="str">
            <v>GBP_SONIA_EOD</v>
          </cell>
          <cell r="C309">
            <v>42886</v>
          </cell>
          <cell r="E309">
            <v>7.07233978067668E-3</v>
          </cell>
        </row>
        <row r="310">
          <cell r="A310" t="str">
            <v>GBP_SONIA_EOD</v>
          </cell>
          <cell r="C310">
            <v>42978</v>
          </cell>
          <cell r="E310">
            <v>7.5921131737909202E-3</v>
          </cell>
        </row>
        <row r="311">
          <cell r="A311" t="str">
            <v>GBP_SONIA_EOD</v>
          </cell>
          <cell r="C311">
            <v>43343</v>
          </cell>
          <cell r="E311">
            <v>9.6125617149418301E-3</v>
          </cell>
        </row>
        <row r="312">
          <cell r="A312" t="str">
            <v>GBP_SONIA_EOD</v>
          </cell>
          <cell r="C312">
            <v>43708</v>
          </cell>
          <cell r="E312">
            <v>1.1386839690810099E-2</v>
          </cell>
        </row>
        <row r="313">
          <cell r="A313" t="str">
            <v>GBP_SONIA_EOD</v>
          </cell>
          <cell r="C313">
            <v>44073</v>
          </cell>
          <cell r="E313">
            <v>1.2868659003730999E-2</v>
          </cell>
        </row>
        <row r="314">
          <cell r="A314" t="str">
            <v>GBP_SONIA_EOD</v>
          </cell>
          <cell r="C314">
            <v>44438</v>
          </cell>
          <cell r="E314">
            <v>1.40075767063382E-2</v>
          </cell>
        </row>
        <row r="315">
          <cell r="A315" t="str">
            <v>GBP_SONIA_EOD</v>
          </cell>
          <cell r="C315">
            <v>44803</v>
          </cell>
          <cell r="E315">
            <v>1.4919078846596601E-2</v>
          </cell>
        </row>
        <row r="316">
          <cell r="A316" t="str">
            <v>GBP_SONIA_EOD</v>
          </cell>
          <cell r="C316">
            <v>45168</v>
          </cell>
          <cell r="E316">
            <v>1.5678194327779699E-2</v>
          </cell>
        </row>
        <row r="317">
          <cell r="A317" t="str">
            <v>GBP_SONIA_EOD</v>
          </cell>
          <cell r="C317">
            <v>45533</v>
          </cell>
          <cell r="E317">
            <v>1.63259220407257E-2</v>
          </cell>
        </row>
        <row r="318">
          <cell r="A318" t="str">
            <v>GBP_SONIA_EOD</v>
          </cell>
          <cell r="C318">
            <v>45898</v>
          </cell>
          <cell r="E318">
            <v>1.6877076750751799E-2</v>
          </cell>
        </row>
        <row r="319">
          <cell r="A319" t="str">
            <v>GBP_SONIA_EOD</v>
          </cell>
          <cell r="C319">
            <v>46628</v>
          </cell>
          <cell r="E319">
            <v>1.7880345217911001E-2</v>
          </cell>
        </row>
        <row r="320">
          <cell r="A320" t="str">
            <v>GBP_SONIA_EOD</v>
          </cell>
          <cell r="C320">
            <v>47723</v>
          </cell>
          <cell r="E320">
            <v>1.9033395984945099E-2</v>
          </cell>
        </row>
        <row r="321">
          <cell r="A321" t="str">
            <v>GBP_SONIA_EOD</v>
          </cell>
          <cell r="C321">
            <v>49548</v>
          </cell>
          <cell r="E321">
            <v>2.0026311572691999E-2</v>
          </cell>
        </row>
        <row r="322">
          <cell r="A322" t="str">
            <v>GBP_SONIA_EOD</v>
          </cell>
          <cell r="C322">
            <v>51373</v>
          </cell>
          <cell r="E322">
            <v>2.0147375823071099E-2</v>
          </cell>
        </row>
        <row r="323">
          <cell r="A323" t="str">
            <v>GBP_SONIA_EOD</v>
          </cell>
          <cell r="C323">
            <v>53198</v>
          </cell>
          <cell r="E323">
            <v>2.0173767040717099E-2</v>
          </cell>
        </row>
        <row r="324">
          <cell r="A324" t="str">
            <v>GBP_SONIA_EOD</v>
          </cell>
          <cell r="C324">
            <v>55023</v>
          </cell>
          <cell r="E324">
            <v>1.9898545857041299E-2</v>
          </cell>
        </row>
        <row r="325">
          <cell r="A325" t="str">
            <v>GBP_SONIA_EOD</v>
          </cell>
          <cell r="C325">
            <v>56848</v>
          </cell>
          <cell r="E325">
            <v>1.96219987083898E-2</v>
          </cell>
        </row>
        <row r="326">
          <cell r="A326" t="str">
            <v>GBP_SONIA_EOD</v>
          </cell>
          <cell r="C326">
            <v>58673</v>
          </cell>
          <cell r="E326">
            <v>1.9401754159665701E-2</v>
          </cell>
        </row>
        <row r="327">
          <cell r="A327" t="str">
            <v>GBP_SONIA_EOD</v>
          </cell>
          <cell r="C327">
            <v>60498</v>
          </cell>
          <cell r="E327">
            <v>1.9181819818103699E-2</v>
          </cell>
        </row>
        <row r="328">
          <cell r="A328" t="str">
            <v>GBP_SONIA_EOD</v>
          </cell>
          <cell r="C328">
            <v>62323</v>
          </cell>
          <cell r="E328">
            <v>1.92350051498337E-2</v>
          </cell>
        </row>
        <row r="329">
          <cell r="A329" t="str">
            <v>GBP_SONIA_EOD</v>
          </cell>
          <cell r="C329">
            <v>64148</v>
          </cell>
          <cell r="E329">
            <v>1.92901499494183E-2</v>
          </cell>
        </row>
        <row r="330">
          <cell r="A330" t="str">
            <v>HKD_HIBOR_EOD</v>
          </cell>
          <cell r="C330">
            <v>42249</v>
          </cell>
          <cell r="E330">
            <v>5.4809958851337998E-4</v>
          </cell>
        </row>
        <row r="331">
          <cell r="A331" t="str">
            <v>HKD_HIBOR_EOD</v>
          </cell>
          <cell r="C331">
            <v>42255</v>
          </cell>
          <cell r="E331">
            <v>1.07928882999143E-3</v>
          </cell>
        </row>
        <row r="332">
          <cell r="A332" t="str">
            <v>HKD_HIBOR_EOD</v>
          </cell>
          <cell r="C332">
            <v>42278</v>
          </cell>
          <cell r="E332">
            <v>2.5387572719139601E-3</v>
          </cell>
        </row>
        <row r="333">
          <cell r="A333" t="str">
            <v>HKD_HIBOR_EOD</v>
          </cell>
          <cell r="C333">
            <v>42308</v>
          </cell>
          <cell r="E333">
            <v>3.3008643275294E-3</v>
          </cell>
        </row>
        <row r="334">
          <cell r="A334" t="str">
            <v>HKD_HIBOR_EOD</v>
          </cell>
          <cell r="C334">
            <v>42339</v>
          </cell>
          <cell r="E334">
            <v>4.1045990864769701E-3</v>
          </cell>
        </row>
        <row r="335">
          <cell r="A335" t="str">
            <v>HKD_HIBOR_EOD</v>
          </cell>
          <cell r="C335">
            <v>42430</v>
          </cell>
          <cell r="E335">
            <v>5.6503328214979297E-3</v>
          </cell>
        </row>
        <row r="336">
          <cell r="A336" t="str">
            <v>HKD_HIBOR_EOD</v>
          </cell>
          <cell r="C336">
            <v>42521</v>
          </cell>
          <cell r="E336">
            <v>6.1349811826207001E-3</v>
          </cell>
        </row>
        <row r="337">
          <cell r="A337" t="str">
            <v>HKD_HIBOR_EOD</v>
          </cell>
          <cell r="C337">
            <v>42613</v>
          </cell>
          <cell r="E337">
            <v>6.6249553499096604E-3</v>
          </cell>
        </row>
        <row r="338">
          <cell r="A338" t="str">
            <v>HKD_HIBOR_EOD</v>
          </cell>
          <cell r="C338">
            <v>42795</v>
          </cell>
          <cell r="E338">
            <v>8.22470389148818E-3</v>
          </cell>
        </row>
        <row r="339">
          <cell r="A339" t="str">
            <v>HKD_HIBOR_EOD</v>
          </cell>
          <cell r="C339">
            <v>42978</v>
          </cell>
          <cell r="E339">
            <v>9.8367445576785506E-3</v>
          </cell>
        </row>
        <row r="340">
          <cell r="A340" t="str">
            <v>HKD_HIBOR_EOD</v>
          </cell>
          <cell r="C340">
            <v>43343</v>
          </cell>
          <cell r="E340">
            <v>1.25948280697958E-2</v>
          </cell>
        </row>
        <row r="341">
          <cell r="A341" t="str">
            <v>HKD_HIBOR_EOD</v>
          </cell>
          <cell r="C341">
            <v>43708</v>
          </cell>
          <cell r="E341">
            <v>1.49107028165595E-2</v>
          </cell>
        </row>
        <row r="342">
          <cell r="A342" t="str">
            <v>HKD_HIBOR_EOD</v>
          </cell>
          <cell r="C342">
            <v>44073</v>
          </cell>
          <cell r="E342">
            <v>1.66037306954455E-2</v>
          </cell>
        </row>
        <row r="343">
          <cell r="A343" t="str">
            <v>HKD_HIBOR_EOD</v>
          </cell>
          <cell r="C343">
            <v>44438</v>
          </cell>
          <cell r="E343">
            <v>1.7968189128580701E-2</v>
          </cell>
        </row>
        <row r="344">
          <cell r="A344" t="str">
            <v>HKD_HIBOR_EOD</v>
          </cell>
          <cell r="C344">
            <v>44803</v>
          </cell>
          <cell r="E344">
            <v>1.9330856058043799E-2</v>
          </cell>
        </row>
        <row r="345">
          <cell r="A345" t="str">
            <v>HKD_HIBOR_EOD</v>
          </cell>
          <cell r="C345">
            <v>45168</v>
          </cell>
          <cell r="E345">
            <v>2.0133345144408399E-2</v>
          </cell>
        </row>
        <row r="346">
          <cell r="A346" t="str">
            <v>HKD_HIBOR_EOD</v>
          </cell>
          <cell r="C346">
            <v>45533</v>
          </cell>
          <cell r="E346">
            <v>2.0932747851472099E-2</v>
          </cell>
        </row>
        <row r="347">
          <cell r="A347" t="str">
            <v>HKD_HIBOR_EOD</v>
          </cell>
          <cell r="C347">
            <v>45898</v>
          </cell>
          <cell r="E347">
            <v>2.17321505585358E-2</v>
          </cell>
        </row>
        <row r="348">
          <cell r="A348" t="str">
            <v>HUF_BUBOR_EOD</v>
          </cell>
          <cell r="C348">
            <v>42249</v>
          </cell>
          <cell r="E348">
            <v>9.9359758720760395E-3</v>
          </cell>
        </row>
        <row r="349">
          <cell r="A349" t="str">
            <v>HUF_BUBOR_EOD</v>
          </cell>
          <cell r="C349">
            <v>42255</v>
          </cell>
          <cell r="E349">
            <v>1.1906533094955001E-2</v>
          </cell>
        </row>
        <row r="350">
          <cell r="A350" t="str">
            <v>HUF_BUBOR_EOD</v>
          </cell>
          <cell r="C350">
            <v>42278</v>
          </cell>
          <cell r="E350">
            <v>1.33368040135731E-2</v>
          </cell>
        </row>
        <row r="351">
          <cell r="A351" t="str">
            <v>HUF_BUBOR_EOD</v>
          </cell>
          <cell r="C351">
            <v>42308</v>
          </cell>
          <cell r="E351">
            <v>1.3543527245965499E-2</v>
          </cell>
        </row>
        <row r="352">
          <cell r="A352" t="str">
            <v>HUF_BUBOR_EOD</v>
          </cell>
          <cell r="C352">
            <v>42339</v>
          </cell>
          <cell r="E352">
            <v>1.3674250188483001E-2</v>
          </cell>
        </row>
        <row r="353">
          <cell r="A353" t="str">
            <v>HUF_BUBOR_EOD</v>
          </cell>
          <cell r="C353">
            <v>42430</v>
          </cell>
          <cell r="E353">
            <v>1.3918207490124301E-2</v>
          </cell>
        </row>
        <row r="354">
          <cell r="A354" t="str">
            <v>HUF_BUBOR_EOD</v>
          </cell>
          <cell r="C354">
            <v>42521</v>
          </cell>
          <cell r="E354">
            <v>1.41167149191235E-2</v>
          </cell>
        </row>
        <row r="355">
          <cell r="A355" t="str">
            <v>HUF_BUBOR_EOD</v>
          </cell>
          <cell r="C355">
            <v>42613</v>
          </cell>
          <cell r="E355">
            <v>1.4352801102272701E-2</v>
          </cell>
        </row>
        <row r="356">
          <cell r="A356" t="str">
            <v>HUF_BUBOR_EOD</v>
          </cell>
          <cell r="C356">
            <v>42795</v>
          </cell>
          <cell r="E356">
            <v>1.49521581370867E-2</v>
          </cell>
        </row>
        <row r="357">
          <cell r="A357" t="str">
            <v>HUF_BUBOR_EOD</v>
          </cell>
          <cell r="C357">
            <v>42978</v>
          </cell>
          <cell r="E357">
            <v>1.55584977915533E-2</v>
          </cell>
        </row>
        <row r="358">
          <cell r="A358" t="str">
            <v>HUF_BUBOR_EOD</v>
          </cell>
          <cell r="C358">
            <v>43343</v>
          </cell>
          <cell r="E358">
            <v>1.7457738700014502E-2</v>
          </cell>
        </row>
        <row r="359">
          <cell r="A359" t="str">
            <v>HUF_BUBOR_EOD</v>
          </cell>
          <cell r="C359">
            <v>43708</v>
          </cell>
          <cell r="E359">
            <v>1.9875546244570198E-2</v>
          </cell>
        </row>
        <row r="360">
          <cell r="A360" t="str">
            <v>HUF_BUBOR_EOD</v>
          </cell>
          <cell r="C360">
            <v>44073</v>
          </cell>
          <cell r="E360">
            <v>2.2520895299616001E-2</v>
          </cell>
        </row>
        <row r="361">
          <cell r="A361" t="str">
            <v>HUF_BUBOR_EOD</v>
          </cell>
          <cell r="C361">
            <v>44438</v>
          </cell>
          <cell r="E361">
            <v>2.5005069769687801E-2</v>
          </cell>
        </row>
        <row r="362">
          <cell r="A362" t="str">
            <v>HUF_BUBOR_EOD</v>
          </cell>
          <cell r="C362">
            <v>44803</v>
          </cell>
          <cell r="E362">
            <v>2.7409340466030201E-2</v>
          </cell>
        </row>
        <row r="363">
          <cell r="A363" t="str">
            <v>HUF_BUBOR_EOD</v>
          </cell>
          <cell r="C363">
            <v>45168</v>
          </cell>
          <cell r="E363">
            <v>2.96631184585383E-2</v>
          </cell>
        </row>
        <row r="364">
          <cell r="A364" t="str">
            <v>HUF_BUBOR_EOD</v>
          </cell>
          <cell r="C364">
            <v>45533</v>
          </cell>
          <cell r="E364">
            <v>3.1508692847534603E-2</v>
          </cell>
        </row>
        <row r="365">
          <cell r="A365" t="str">
            <v>HUF_BUBOR_EOD</v>
          </cell>
          <cell r="C365">
            <v>45898</v>
          </cell>
          <cell r="E365">
            <v>3.2816161577679297E-2</v>
          </cell>
        </row>
        <row r="366">
          <cell r="A366" t="str">
            <v>JPY_LIBOR_EOD</v>
          </cell>
          <cell r="C366">
            <v>42249</v>
          </cell>
          <cell r="E366">
            <v>3.7655813912693001E-4</v>
          </cell>
        </row>
        <row r="367">
          <cell r="A367" t="str">
            <v>JPY_LIBOR_EOD</v>
          </cell>
          <cell r="C367">
            <v>42255</v>
          </cell>
          <cell r="E367">
            <v>4.2083028622562E-4</v>
          </cell>
        </row>
        <row r="368">
          <cell r="A368" t="str">
            <v>JPY_LIBOR_EOD</v>
          </cell>
          <cell r="C368">
            <v>42278</v>
          </cell>
          <cell r="E368">
            <v>5.4220863763594E-4</v>
          </cell>
        </row>
        <row r="369">
          <cell r="A369" t="str">
            <v>JPY_LIBOR_EOD</v>
          </cell>
          <cell r="C369">
            <v>42308</v>
          </cell>
          <cell r="E369">
            <v>7.6003126727112005E-4</v>
          </cell>
        </row>
        <row r="370">
          <cell r="A370" t="str">
            <v>JPY_LIBOR_EOD</v>
          </cell>
          <cell r="C370">
            <v>42339</v>
          </cell>
          <cell r="E370">
            <v>8.8670467449639004E-4</v>
          </cell>
        </row>
        <row r="371">
          <cell r="A371" t="str">
            <v>JPY_LIBOR_EOD</v>
          </cell>
          <cell r="C371">
            <v>42430</v>
          </cell>
          <cell r="E371">
            <v>1.3067339144824299E-3</v>
          </cell>
        </row>
        <row r="372">
          <cell r="A372" t="str">
            <v>JPY_LIBOR_EOD</v>
          </cell>
          <cell r="C372">
            <v>42521</v>
          </cell>
          <cell r="E372">
            <v>1.27765476797602E-3</v>
          </cell>
        </row>
        <row r="373">
          <cell r="A373" t="str">
            <v>JPY_LIBOR_EOD</v>
          </cell>
          <cell r="C373">
            <v>42613</v>
          </cell>
          <cell r="E373">
            <v>1.23800393359885E-3</v>
          </cell>
        </row>
        <row r="374">
          <cell r="A374" t="str">
            <v>JPY_LIBOR_EOD</v>
          </cell>
          <cell r="C374">
            <v>42795</v>
          </cell>
          <cell r="E374">
            <v>1.2195560846241999E-3</v>
          </cell>
        </row>
        <row r="375">
          <cell r="A375" t="str">
            <v>JPY_LIBOR_EOD</v>
          </cell>
          <cell r="C375">
            <v>42978</v>
          </cell>
          <cell r="E375">
            <v>1.2027108701878201E-3</v>
          </cell>
        </row>
        <row r="376">
          <cell r="A376" t="str">
            <v>JPY_LIBOR_EOD</v>
          </cell>
          <cell r="C376">
            <v>43343</v>
          </cell>
          <cell r="E376">
            <v>1.3417942552728199E-3</v>
          </cell>
        </row>
        <row r="377">
          <cell r="A377" t="str">
            <v>JPY_LIBOR_EOD</v>
          </cell>
          <cell r="C377">
            <v>43708</v>
          </cell>
          <cell r="E377">
            <v>1.6857036425550101E-3</v>
          </cell>
        </row>
        <row r="378">
          <cell r="A378" t="str">
            <v>JPY_LIBOR_EOD</v>
          </cell>
          <cell r="C378">
            <v>44073</v>
          </cell>
          <cell r="E378">
            <v>2.1871340991193198E-3</v>
          </cell>
        </row>
        <row r="379">
          <cell r="A379" t="str">
            <v>JPY_LIBOR_EOD</v>
          </cell>
          <cell r="C379">
            <v>44438</v>
          </cell>
          <cell r="E379">
            <v>2.7820516714338901E-3</v>
          </cell>
        </row>
        <row r="380">
          <cell r="A380" t="str">
            <v>JPY_LIBOR_EOD</v>
          </cell>
          <cell r="C380">
            <v>44803</v>
          </cell>
          <cell r="E380">
            <v>3.4370098936339498E-3</v>
          </cell>
        </row>
        <row r="381">
          <cell r="A381" t="str">
            <v>JPY_LIBOR_EOD</v>
          </cell>
          <cell r="C381">
            <v>45168</v>
          </cell>
          <cell r="E381">
            <v>4.1232465207432399E-3</v>
          </cell>
        </row>
        <row r="382">
          <cell r="A382" t="str">
            <v>JPY_LIBOR_EOD</v>
          </cell>
          <cell r="C382">
            <v>45533</v>
          </cell>
          <cell r="E382">
            <v>4.8221612282189604E-3</v>
          </cell>
        </row>
        <row r="383">
          <cell r="A383" t="str">
            <v>JPY_LIBOR_EOD</v>
          </cell>
          <cell r="C383">
            <v>45898</v>
          </cell>
          <cell r="E383">
            <v>5.5493855195596596E-3</v>
          </cell>
        </row>
        <row r="384">
          <cell r="A384" t="str">
            <v>JPY_LIBOR_EOD</v>
          </cell>
          <cell r="C384">
            <v>46628</v>
          </cell>
          <cell r="E384">
            <v>7.0404791444429E-3</v>
          </cell>
        </row>
        <row r="385">
          <cell r="A385" t="str">
            <v>JPY_LIBOR_EOD</v>
          </cell>
          <cell r="C385">
            <v>47723</v>
          </cell>
          <cell r="E385">
            <v>9.3033998653263492E-3</v>
          </cell>
        </row>
        <row r="386">
          <cell r="A386" t="str">
            <v>JPY_LIBOR_EOD</v>
          </cell>
          <cell r="C386">
            <v>49548</v>
          </cell>
          <cell r="E386">
            <v>1.23326559501529E-2</v>
          </cell>
        </row>
        <row r="387">
          <cell r="A387" t="str">
            <v>JPY_LIBOR_EOD</v>
          </cell>
          <cell r="C387">
            <v>51373</v>
          </cell>
          <cell r="E387">
            <v>1.4081429128564501E-2</v>
          </cell>
        </row>
        <row r="388">
          <cell r="A388" t="str">
            <v>JPY_LIBOR_EOD</v>
          </cell>
          <cell r="C388">
            <v>53198</v>
          </cell>
          <cell r="E388">
            <v>1.5061987848754999E-2</v>
          </cell>
        </row>
        <row r="389">
          <cell r="A389" t="str">
            <v>JPY_LIBOR_EOD</v>
          </cell>
          <cell r="C389">
            <v>56848</v>
          </cell>
          <cell r="E389">
            <v>1.6555196967415701E-2</v>
          </cell>
        </row>
        <row r="390">
          <cell r="A390" t="str">
            <v>JPY_TONA_EOD</v>
          </cell>
          <cell r="C390">
            <v>42249</v>
          </cell>
          <cell r="E390">
            <v>7.5999920875011E-4</v>
          </cell>
        </row>
        <row r="391">
          <cell r="A391" t="str">
            <v>JPY_TONA_EOD</v>
          </cell>
          <cell r="C391">
            <v>42255</v>
          </cell>
          <cell r="E391">
            <v>7.3357472216946005E-4</v>
          </cell>
        </row>
        <row r="392">
          <cell r="A392" t="str">
            <v>JPY_TONA_EOD</v>
          </cell>
          <cell r="C392">
            <v>42262</v>
          </cell>
          <cell r="E392">
            <v>7.3087664058255996E-4</v>
          </cell>
        </row>
        <row r="393">
          <cell r="A393" t="str">
            <v>JPY_TONA_EOD</v>
          </cell>
          <cell r="C393">
            <v>42269</v>
          </cell>
          <cell r="E393">
            <v>7.3069806223434995E-4</v>
          </cell>
        </row>
        <row r="394">
          <cell r="A394" t="str">
            <v>JPY_TONA_EOD</v>
          </cell>
          <cell r="C394">
            <v>42278</v>
          </cell>
          <cell r="E394">
            <v>7.3806555186343005E-4</v>
          </cell>
        </row>
        <row r="395">
          <cell r="A395" t="str">
            <v>JPY_TONA_EOD</v>
          </cell>
          <cell r="C395">
            <v>42308</v>
          </cell>
          <cell r="E395">
            <v>7.2831522597384E-4</v>
          </cell>
        </row>
        <row r="396">
          <cell r="A396" t="str">
            <v>JPY_TONA_EOD</v>
          </cell>
          <cell r="C396">
            <v>42339</v>
          </cell>
          <cell r="E396">
            <v>7.1432791194977997E-4</v>
          </cell>
        </row>
        <row r="397">
          <cell r="A397" t="str">
            <v>JPY_TONA_EOD</v>
          </cell>
          <cell r="C397">
            <v>42369</v>
          </cell>
          <cell r="E397">
            <v>6.9942996213705005E-4</v>
          </cell>
        </row>
        <row r="398">
          <cell r="A398" t="str">
            <v>JPY_TONA_EOD</v>
          </cell>
          <cell r="C398">
            <v>42400</v>
          </cell>
          <cell r="E398">
            <v>6.8684855413356E-4</v>
          </cell>
        </row>
        <row r="399">
          <cell r="A399" t="str">
            <v>JPY_TONA_EOD</v>
          </cell>
          <cell r="C399">
            <v>42430</v>
          </cell>
          <cell r="E399">
            <v>6.7649169032489998E-4</v>
          </cell>
        </row>
        <row r="400">
          <cell r="A400" t="str">
            <v>JPY_TONA_EOD</v>
          </cell>
          <cell r="C400">
            <v>42460</v>
          </cell>
          <cell r="E400">
            <v>6.8000710869696999E-4</v>
          </cell>
        </row>
        <row r="401">
          <cell r="A401" t="str">
            <v>JPY_TONA_EOD</v>
          </cell>
          <cell r="C401">
            <v>42491</v>
          </cell>
          <cell r="E401">
            <v>6.6704001158415999E-4</v>
          </cell>
        </row>
        <row r="402">
          <cell r="A402" t="str">
            <v>JPY_TONA_EOD</v>
          </cell>
          <cell r="C402">
            <v>42521</v>
          </cell>
          <cell r="E402">
            <v>6.5766048800715001E-4</v>
          </cell>
        </row>
        <row r="403">
          <cell r="A403" t="str">
            <v>JPY_TONA_EOD</v>
          </cell>
          <cell r="C403">
            <v>42552</v>
          </cell>
          <cell r="E403">
            <v>6.4445546289434996E-4</v>
          </cell>
        </row>
        <row r="404">
          <cell r="A404" t="str">
            <v>JPY_TONA_EOD</v>
          </cell>
          <cell r="C404">
            <v>42582</v>
          </cell>
          <cell r="E404">
            <v>6.5419764874112996E-4</v>
          </cell>
        </row>
        <row r="405">
          <cell r="A405" t="str">
            <v>JPY_TONA_EOD</v>
          </cell>
          <cell r="C405">
            <v>42613</v>
          </cell>
          <cell r="E405">
            <v>6.3322590065045001E-4</v>
          </cell>
        </row>
        <row r="406">
          <cell r="A406" t="str">
            <v>JPY_TONA_EOD</v>
          </cell>
          <cell r="C406">
            <v>42704</v>
          </cell>
          <cell r="E406">
            <v>6.0156682649890999E-4</v>
          </cell>
        </row>
        <row r="407">
          <cell r="A407" t="str">
            <v>JPY_TONA_EOD</v>
          </cell>
          <cell r="C407">
            <v>42795</v>
          </cell>
          <cell r="E407">
            <v>5.7226217931857001E-4</v>
          </cell>
        </row>
        <row r="408">
          <cell r="A408" t="str">
            <v>JPY_TONA_EOD</v>
          </cell>
          <cell r="C408">
            <v>42886</v>
          </cell>
          <cell r="E408">
            <v>5.5352570607185997E-4</v>
          </cell>
        </row>
        <row r="409">
          <cell r="A409" t="str">
            <v>JPY_TONA_EOD</v>
          </cell>
          <cell r="C409">
            <v>42978</v>
          </cell>
          <cell r="E409">
            <v>5.3482343431728995E-4</v>
          </cell>
        </row>
        <row r="410">
          <cell r="A410" t="str">
            <v>JPY_TONA_EOD</v>
          </cell>
          <cell r="C410">
            <v>43343</v>
          </cell>
          <cell r="E410">
            <v>5.8295571596474996E-4</v>
          </cell>
        </row>
        <row r="411">
          <cell r="A411" t="str">
            <v>JPY_TONA_EOD</v>
          </cell>
          <cell r="C411">
            <v>43708</v>
          </cell>
          <cell r="E411">
            <v>8.3647848677566002E-4</v>
          </cell>
        </row>
        <row r="412">
          <cell r="A412" t="str">
            <v>JPY_TONA_EOD</v>
          </cell>
          <cell r="C412">
            <v>44073</v>
          </cell>
          <cell r="E412">
            <v>1.24939444813443E-3</v>
          </cell>
        </row>
        <row r="413">
          <cell r="A413" t="str">
            <v>JPY_TONA_EOD</v>
          </cell>
          <cell r="C413">
            <v>44438</v>
          </cell>
          <cell r="E413">
            <v>1.7583178450232999E-3</v>
          </cell>
        </row>
        <row r="414">
          <cell r="A414" t="str">
            <v>JPY_TONA_EOD</v>
          </cell>
          <cell r="C414">
            <v>44803</v>
          </cell>
          <cell r="E414">
            <v>2.3295190690466902E-3</v>
          </cell>
        </row>
        <row r="415">
          <cell r="A415" t="str">
            <v>JPY_TONA_EOD</v>
          </cell>
          <cell r="C415">
            <v>45168</v>
          </cell>
          <cell r="E415">
            <v>2.9237785953647498E-3</v>
          </cell>
        </row>
        <row r="416">
          <cell r="A416" t="str">
            <v>JPY_TONA_EOD</v>
          </cell>
          <cell r="C416">
            <v>45533</v>
          </cell>
          <cell r="E416">
            <v>3.5414562732442399E-3</v>
          </cell>
        </row>
        <row r="417">
          <cell r="A417" t="str">
            <v>JPY_TONA_EOD</v>
          </cell>
          <cell r="C417">
            <v>45898</v>
          </cell>
          <cell r="E417">
            <v>4.19357057839415E-3</v>
          </cell>
        </row>
        <row r="418">
          <cell r="A418" t="str">
            <v>JPY_TONA_EOD</v>
          </cell>
          <cell r="C418">
            <v>46628</v>
          </cell>
          <cell r="E418">
            <v>5.5702078730469097E-3</v>
          </cell>
        </row>
        <row r="419">
          <cell r="A419" t="str">
            <v>JPY_TONA_EOD</v>
          </cell>
          <cell r="C419">
            <v>47723</v>
          </cell>
          <cell r="E419">
            <v>7.8119714342574503E-3</v>
          </cell>
        </row>
        <row r="420">
          <cell r="A420" t="str">
            <v>JPY_TONA_EOD</v>
          </cell>
          <cell r="C420">
            <v>49548</v>
          </cell>
          <cell r="E420">
            <v>1.0810446934125801E-2</v>
          </cell>
        </row>
        <row r="421">
          <cell r="A421" t="str">
            <v>JPY_TONA_EOD</v>
          </cell>
          <cell r="C421">
            <v>51373</v>
          </cell>
          <cell r="E421">
            <v>1.25413457192366E-2</v>
          </cell>
        </row>
        <row r="422">
          <cell r="A422" t="str">
            <v>JPY_TONA_EOD</v>
          </cell>
          <cell r="C422">
            <v>53198</v>
          </cell>
          <cell r="E422">
            <v>1.3509396247692099E-2</v>
          </cell>
        </row>
        <row r="423">
          <cell r="A423" t="str">
            <v>JPY_TONA_EOD</v>
          </cell>
          <cell r="C423">
            <v>55023</v>
          </cell>
          <cell r="E423">
            <v>1.42105046096233E-2</v>
          </cell>
        </row>
        <row r="424">
          <cell r="A424" t="str">
            <v>JPY_TONA_EOD</v>
          </cell>
          <cell r="C424">
            <v>56848</v>
          </cell>
          <cell r="E424">
            <v>1.4910017027563701E-2</v>
          </cell>
        </row>
        <row r="425">
          <cell r="A425" t="str">
            <v>JPY_TONA_EOD</v>
          </cell>
          <cell r="C425">
            <v>58673</v>
          </cell>
          <cell r="E425">
            <v>1.49146165612707E-2</v>
          </cell>
        </row>
        <row r="426">
          <cell r="A426" t="str">
            <v>JPY_TONA_EOD</v>
          </cell>
          <cell r="C426">
            <v>60498</v>
          </cell>
          <cell r="E426">
            <v>1.49146165612707E-2</v>
          </cell>
        </row>
        <row r="427">
          <cell r="A427" t="str">
            <v>MXN_TIIE_EOD</v>
          </cell>
          <cell r="C427">
            <v>42249</v>
          </cell>
          <cell r="E427">
            <v>3.5589567624426999E-2</v>
          </cell>
        </row>
        <row r="428">
          <cell r="A428" t="str">
            <v>MXN_TIIE_EOD</v>
          </cell>
          <cell r="C428">
            <v>42255</v>
          </cell>
          <cell r="E428">
            <v>3.5589567624426999E-2</v>
          </cell>
        </row>
        <row r="429">
          <cell r="A429" t="str">
            <v>MXN_TIIE_EOD</v>
          </cell>
          <cell r="C429">
            <v>42278</v>
          </cell>
          <cell r="E429">
            <v>3.5589567624426999E-2</v>
          </cell>
        </row>
        <row r="430">
          <cell r="A430" t="str">
            <v>MXN_TIIE_EOD</v>
          </cell>
          <cell r="C430">
            <v>42308</v>
          </cell>
          <cell r="E430">
            <v>3.5589567624426999E-2</v>
          </cell>
        </row>
        <row r="431">
          <cell r="A431" t="str">
            <v>MXN_TIIE_EOD</v>
          </cell>
          <cell r="C431">
            <v>42339</v>
          </cell>
          <cell r="E431">
            <v>3.5723040178119898E-2</v>
          </cell>
        </row>
        <row r="432">
          <cell r="A432" t="str">
            <v>MXN_TIIE_EOD</v>
          </cell>
          <cell r="C432">
            <v>42430</v>
          </cell>
          <cell r="E432">
            <v>3.7694284610751798E-2</v>
          </cell>
        </row>
        <row r="433">
          <cell r="A433" t="str">
            <v>MXN_TIIE_EOD</v>
          </cell>
          <cell r="C433">
            <v>42521</v>
          </cell>
          <cell r="E433">
            <v>3.92940181733255E-2</v>
          </cell>
        </row>
        <row r="434">
          <cell r="A434" t="str">
            <v>MXN_TIIE_EOD</v>
          </cell>
          <cell r="C434">
            <v>42613</v>
          </cell>
          <cell r="E434">
            <v>4.07212030820552E-2</v>
          </cell>
        </row>
        <row r="435">
          <cell r="A435" t="str">
            <v>MXN_TIIE_EOD</v>
          </cell>
          <cell r="C435">
            <v>42795</v>
          </cell>
          <cell r="E435">
            <v>4.30476199307245E-2</v>
          </cell>
        </row>
        <row r="436">
          <cell r="A436" t="str">
            <v>MXN_TIIE_EOD</v>
          </cell>
          <cell r="C436">
            <v>42978</v>
          </cell>
          <cell r="E436">
            <v>4.5385414882755298E-2</v>
          </cell>
        </row>
        <row r="437">
          <cell r="A437" t="str">
            <v>MXN_TIIE_EOD</v>
          </cell>
          <cell r="C437">
            <v>43343</v>
          </cell>
          <cell r="E437">
            <v>4.9537514490750202E-2</v>
          </cell>
        </row>
        <row r="438">
          <cell r="A438" t="str">
            <v>MXN_TIIE_EOD</v>
          </cell>
          <cell r="C438">
            <v>43708</v>
          </cell>
          <cell r="E438">
            <v>5.3519407181605201E-2</v>
          </cell>
        </row>
        <row r="439">
          <cell r="A439" t="str">
            <v>MXN_TIIE_EOD</v>
          </cell>
          <cell r="C439">
            <v>44073</v>
          </cell>
          <cell r="E439">
            <v>5.6844321843660797E-2</v>
          </cell>
        </row>
        <row r="440">
          <cell r="A440" t="str">
            <v>MXN_TIIE_EOD</v>
          </cell>
          <cell r="C440">
            <v>44438</v>
          </cell>
          <cell r="E440">
            <v>5.9502390742235699E-2</v>
          </cell>
        </row>
        <row r="441">
          <cell r="A441" t="str">
            <v>MXN_TIIE_EOD</v>
          </cell>
          <cell r="C441">
            <v>44803</v>
          </cell>
          <cell r="E441">
            <v>6.2142761063222599E-2</v>
          </cell>
        </row>
        <row r="442">
          <cell r="A442" t="str">
            <v>MXN_TIIE_EOD</v>
          </cell>
          <cell r="C442">
            <v>45168</v>
          </cell>
          <cell r="E442">
            <v>6.3724166491860898E-2</v>
          </cell>
        </row>
        <row r="443">
          <cell r="A443" t="str">
            <v>MXN_TIIE_EOD</v>
          </cell>
          <cell r="C443">
            <v>45533</v>
          </cell>
          <cell r="E443">
            <v>6.53055719204991E-2</v>
          </cell>
        </row>
        <row r="444">
          <cell r="A444" t="str">
            <v>MXN_TIIE_EOD</v>
          </cell>
          <cell r="C444">
            <v>45898</v>
          </cell>
          <cell r="E444">
            <v>6.6875674410377395E-2</v>
          </cell>
        </row>
        <row r="445">
          <cell r="A445" t="str">
            <v>MXN_TIIE_EOD</v>
          </cell>
          <cell r="C445">
            <v>46628</v>
          </cell>
          <cell r="E445">
            <v>6.9121691346010095E-2</v>
          </cell>
        </row>
        <row r="446">
          <cell r="A446" t="str">
            <v>MXN_TIIE_EOD</v>
          </cell>
          <cell r="C446">
            <v>47723</v>
          </cell>
          <cell r="E446">
            <v>7.2474972489075307E-2</v>
          </cell>
        </row>
        <row r="447">
          <cell r="A447" t="str">
            <v>MXN_TIIE_EOD</v>
          </cell>
          <cell r="C447">
            <v>49548</v>
          </cell>
          <cell r="E447">
            <v>7.6019601396489694E-2</v>
          </cell>
        </row>
        <row r="448">
          <cell r="A448" t="str">
            <v>NOK_NIBOR_EOD</v>
          </cell>
          <cell r="C448">
            <v>42249</v>
          </cell>
          <cell r="E448">
            <v>1.01387480735807E-2</v>
          </cell>
        </row>
        <row r="449">
          <cell r="A449" t="str">
            <v>NOK_NIBOR_EOD</v>
          </cell>
          <cell r="C449">
            <v>42255</v>
          </cell>
          <cell r="E449">
            <v>1.0870380230566501E-2</v>
          </cell>
        </row>
        <row r="450">
          <cell r="A450" t="str">
            <v>NOK_NIBOR_EOD</v>
          </cell>
          <cell r="C450">
            <v>42278</v>
          </cell>
          <cell r="E450">
            <v>1.11866443440837E-2</v>
          </cell>
        </row>
        <row r="451">
          <cell r="A451" t="str">
            <v>NOK_NIBOR_EOD</v>
          </cell>
          <cell r="C451">
            <v>42308</v>
          </cell>
          <cell r="E451">
            <v>1.1220374702275399E-2</v>
          </cell>
        </row>
        <row r="452">
          <cell r="A452" t="str">
            <v>NOK_NIBOR_EOD</v>
          </cell>
          <cell r="C452">
            <v>42339</v>
          </cell>
          <cell r="E452">
            <v>1.12552294057401E-2</v>
          </cell>
        </row>
        <row r="453">
          <cell r="A453" t="str">
            <v>NOK_NIBOR_EOD</v>
          </cell>
          <cell r="C453">
            <v>42430</v>
          </cell>
          <cell r="E453">
            <v>1.05958705211873E-2</v>
          </cell>
        </row>
        <row r="454">
          <cell r="A454" t="str">
            <v>NOK_NIBOR_EOD</v>
          </cell>
          <cell r="C454">
            <v>42521</v>
          </cell>
          <cell r="E454">
            <v>9.9999598544492502E-3</v>
          </cell>
        </row>
        <row r="455">
          <cell r="A455" t="str">
            <v>NOK_NIBOR_EOD</v>
          </cell>
          <cell r="C455">
            <v>42613</v>
          </cell>
          <cell r="E455">
            <v>9.6492441293448902E-3</v>
          </cell>
        </row>
        <row r="456">
          <cell r="A456" t="str">
            <v>NOK_NIBOR_EOD</v>
          </cell>
          <cell r="C456">
            <v>42795</v>
          </cell>
          <cell r="E456">
            <v>9.8904379885808007E-3</v>
          </cell>
        </row>
        <row r="457">
          <cell r="A457" t="str">
            <v>NOK_NIBOR_EOD</v>
          </cell>
          <cell r="C457">
            <v>42978</v>
          </cell>
          <cell r="E457">
            <v>1.0245016068583201E-2</v>
          </cell>
        </row>
        <row r="458">
          <cell r="A458" t="str">
            <v>NOK_NIBOR_EOD</v>
          </cell>
          <cell r="C458">
            <v>43343</v>
          </cell>
          <cell r="E458">
            <v>1.11801244775572E-2</v>
          </cell>
        </row>
        <row r="459">
          <cell r="A459" t="str">
            <v>NOK_NIBOR_EOD</v>
          </cell>
          <cell r="C459">
            <v>43708</v>
          </cell>
          <cell r="E459">
            <v>1.26943423269857E-2</v>
          </cell>
        </row>
        <row r="460">
          <cell r="A460" t="str">
            <v>NOK_NIBOR_EOD</v>
          </cell>
          <cell r="C460">
            <v>44073</v>
          </cell>
          <cell r="E460">
            <v>1.44028603798697E-2</v>
          </cell>
        </row>
        <row r="461">
          <cell r="A461" t="str">
            <v>NOK_NIBOR_EOD</v>
          </cell>
          <cell r="C461">
            <v>44438</v>
          </cell>
          <cell r="E461">
            <v>1.6141320308783499E-2</v>
          </cell>
        </row>
        <row r="462">
          <cell r="A462" t="str">
            <v>NOK_NIBOR_EOD</v>
          </cell>
          <cell r="C462">
            <v>44803</v>
          </cell>
          <cell r="E462">
            <v>1.7672809695130499E-2</v>
          </cell>
        </row>
        <row r="463">
          <cell r="A463" t="str">
            <v>NOK_NIBOR_EOD</v>
          </cell>
          <cell r="C463">
            <v>45168</v>
          </cell>
          <cell r="E463">
            <v>1.9024877567759502E-2</v>
          </cell>
        </row>
        <row r="464">
          <cell r="A464" t="str">
            <v>NOK_NIBOR_EOD</v>
          </cell>
          <cell r="C464">
            <v>45533</v>
          </cell>
          <cell r="E464">
            <v>2.01861243906385E-2</v>
          </cell>
        </row>
        <row r="465">
          <cell r="A465" t="str">
            <v>NOK_NIBOR_EOD</v>
          </cell>
          <cell r="C465">
            <v>45898</v>
          </cell>
          <cell r="E465">
            <v>2.11338400591248E-2</v>
          </cell>
        </row>
        <row r="466">
          <cell r="A466" t="str">
            <v>NOK_NIBOR_EOD</v>
          </cell>
          <cell r="C466">
            <v>46628</v>
          </cell>
          <cell r="E466">
            <v>2.2243950734083199E-2</v>
          </cell>
        </row>
        <row r="467">
          <cell r="A467" t="str">
            <v>NOK_NIBOR_EOD</v>
          </cell>
          <cell r="C467">
            <v>47723</v>
          </cell>
          <cell r="E467">
            <v>2.2929027020605001E-2</v>
          </cell>
        </row>
        <row r="468">
          <cell r="A468" t="str">
            <v>NOK_NIBOR_EOD</v>
          </cell>
          <cell r="C468">
            <v>49548</v>
          </cell>
          <cell r="E468">
            <v>2.37059413848013E-2</v>
          </cell>
        </row>
        <row r="469">
          <cell r="A469" t="str">
            <v>NOK_NIBOR_EOD</v>
          </cell>
          <cell r="C469">
            <v>51373</v>
          </cell>
          <cell r="E469">
            <v>2.3594134274346801E-2</v>
          </cell>
        </row>
        <row r="470">
          <cell r="A470" t="str">
            <v>NOK_NIBOR_EOD</v>
          </cell>
          <cell r="C470">
            <v>53198</v>
          </cell>
          <cell r="E470">
            <v>2.3519413225973802E-2</v>
          </cell>
        </row>
        <row r="471">
          <cell r="A471" t="str">
            <v>NZD_BKBM_EOD</v>
          </cell>
          <cell r="C471">
            <v>42249</v>
          </cell>
          <cell r="E471">
            <v>2.9998767190878399E-2</v>
          </cell>
        </row>
        <row r="472">
          <cell r="A472" t="str">
            <v>NZD_BKBM_EOD</v>
          </cell>
          <cell r="C472">
            <v>42255</v>
          </cell>
          <cell r="E472">
            <v>3.0012050930874602E-2</v>
          </cell>
        </row>
        <row r="473">
          <cell r="A473" t="str">
            <v>NZD_BKBM_EOD</v>
          </cell>
          <cell r="C473">
            <v>42278</v>
          </cell>
          <cell r="E473">
            <v>3.00628280080311E-2</v>
          </cell>
        </row>
        <row r="474">
          <cell r="A474" t="str">
            <v>NZD_BKBM_EOD</v>
          </cell>
          <cell r="C474">
            <v>42308</v>
          </cell>
          <cell r="E474">
            <v>2.9326189576972E-2</v>
          </cell>
        </row>
        <row r="475">
          <cell r="A475" t="str">
            <v>NZD_BKBM_EOD</v>
          </cell>
          <cell r="C475">
            <v>42339</v>
          </cell>
          <cell r="E475">
            <v>2.9076156548554399E-2</v>
          </cell>
        </row>
        <row r="476">
          <cell r="A476" t="str">
            <v>NZD_BKBM_EOD</v>
          </cell>
          <cell r="C476">
            <v>42430</v>
          </cell>
          <cell r="E476">
            <v>2.8397988547603999E-2</v>
          </cell>
        </row>
        <row r="477">
          <cell r="A477" t="str">
            <v>NZD_BKBM_EOD</v>
          </cell>
          <cell r="C477">
            <v>42521</v>
          </cell>
          <cell r="E477">
            <v>2.7798383985361601E-2</v>
          </cell>
        </row>
        <row r="478">
          <cell r="A478" t="str">
            <v>NZD_BKBM_EOD</v>
          </cell>
          <cell r="C478">
            <v>42613</v>
          </cell>
          <cell r="E478">
            <v>2.7192190361995699E-2</v>
          </cell>
        </row>
        <row r="479">
          <cell r="A479" t="str">
            <v>NZD_BKBM_EOD</v>
          </cell>
          <cell r="C479">
            <v>42795</v>
          </cell>
          <cell r="E479">
            <v>2.7346716118038E-2</v>
          </cell>
        </row>
        <row r="480">
          <cell r="A480" t="str">
            <v>NZD_BKBM_EOD</v>
          </cell>
          <cell r="C480">
            <v>42978</v>
          </cell>
          <cell r="E480">
            <v>2.7509611209426601E-2</v>
          </cell>
        </row>
        <row r="481">
          <cell r="A481" t="str">
            <v>NZD_BKBM_EOD</v>
          </cell>
          <cell r="C481">
            <v>43343</v>
          </cell>
          <cell r="E481">
            <v>2.8395474780150101E-2</v>
          </cell>
        </row>
        <row r="482">
          <cell r="A482" t="str">
            <v>NZD_BKBM_EOD</v>
          </cell>
          <cell r="C482">
            <v>43708</v>
          </cell>
          <cell r="E482">
            <v>2.9496472630228001E-2</v>
          </cell>
        </row>
        <row r="483">
          <cell r="A483" t="str">
            <v>NZD_BKBM_EOD</v>
          </cell>
          <cell r="C483">
            <v>44073</v>
          </cell>
          <cell r="E483">
            <v>3.07211217676653E-2</v>
          </cell>
        </row>
        <row r="484">
          <cell r="A484" t="str">
            <v>NZD_BKBM_EOD</v>
          </cell>
          <cell r="C484">
            <v>44438</v>
          </cell>
          <cell r="E484">
            <v>3.18723384066587E-2</v>
          </cell>
        </row>
        <row r="485">
          <cell r="A485" t="str">
            <v>NZD_BKBM_EOD</v>
          </cell>
          <cell r="C485">
            <v>44803</v>
          </cell>
          <cell r="E485">
            <v>3.3023146759040001E-2</v>
          </cell>
        </row>
        <row r="486">
          <cell r="A486" t="str">
            <v>NZD_BKBM_EOD</v>
          </cell>
          <cell r="C486">
            <v>45168</v>
          </cell>
          <cell r="E486">
            <v>3.3975376143771302E-2</v>
          </cell>
        </row>
        <row r="487">
          <cell r="A487" t="str">
            <v>NZD_BKBM_EOD</v>
          </cell>
          <cell r="C487">
            <v>45533</v>
          </cell>
          <cell r="E487">
            <v>3.4926511429507402E-2</v>
          </cell>
        </row>
        <row r="488">
          <cell r="A488" t="str">
            <v>NZD_BKBM_EOD</v>
          </cell>
          <cell r="C488">
            <v>45898</v>
          </cell>
          <cell r="E488">
            <v>3.5877646715243398E-2</v>
          </cell>
        </row>
        <row r="489">
          <cell r="A489" t="str">
            <v>NZD_BKBM_EOD</v>
          </cell>
          <cell r="C489">
            <v>46628</v>
          </cell>
          <cell r="E489">
            <v>3.7295569329138398E-2</v>
          </cell>
        </row>
        <row r="490">
          <cell r="A490" t="str">
            <v>NZD_BKBM_EOD</v>
          </cell>
          <cell r="C490">
            <v>47723</v>
          </cell>
          <cell r="E490">
            <v>3.8855366354095998E-2</v>
          </cell>
        </row>
        <row r="491">
          <cell r="A491" t="str">
            <v>NZD_BKBM_EOD</v>
          </cell>
          <cell r="C491">
            <v>49548</v>
          </cell>
          <cell r="E491">
            <v>4.0363335671875E-2</v>
          </cell>
        </row>
        <row r="492">
          <cell r="A492" t="str">
            <v>PLN_WIBOR_EOD</v>
          </cell>
          <cell r="C492">
            <v>42249</v>
          </cell>
          <cell r="E492">
            <v>1.49496938405125E-2</v>
          </cell>
        </row>
        <row r="493">
          <cell r="A493" t="str">
            <v>PLN_WIBOR_EOD</v>
          </cell>
          <cell r="C493">
            <v>42255</v>
          </cell>
          <cell r="E493">
            <v>1.5776208278222001E-2</v>
          </cell>
        </row>
        <row r="494">
          <cell r="A494" t="str">
            <v>PLN_WIBOR_EOD</v>
          </cell>
          <cell r="C494">
            <v>42278</v>
          </cell>
          <cell r="E494">
            <v>1.64292757964223E-2</v>
          </cell>
        </row>
        <row r="495">
          <cell r="A495" t="str">
            <v>PLN_WIBOR_EOD</v>
          </cell>
          <cell r="C495">
            <v>42308</v>
          </cell>
          <cell r="E495">
            <v>1.67947579249953E-2</v>
          </cell>
        </row>
        <row r="496">
          <cell r="A496" t="str">
            <v>PLN_WIBOR_EOD</v>
          </cell>
          <cell r="C496">
            <v>42339</v>
          </cell>
          <cell r="E496">
            <v>1.7097545683224701E-2</v>
          </cell>
        </row>
        <row r="497">
          <cell r="A497" t="str">
            <v>PLN_WIBOR_EOD</v>
          </cell>
          <cell r="C497">
            <v>42430</v>
          </cell>
          <cell r="E497">
            <v>1.6963810383226498E-2</v>
          </cell>
        </row>
        <row r="498">
          <cell r="A498" t="str">
            <v>PLN_WIBOR_EOD</v>
          </cell>
          <cell r="C498">
            <v>42521</v>
          </cell>
          <cell r="E498">
            <v>1.67177068037546E-2</v>
          </cell>
        </row>
        <row r="499">
          <cell r="A499" t="str">
            <v>PLN_WIBOR_EOD</v>
          </cell>
          <cell r="C499">
            <v>42613</v>
          </cell>
          <cell r="E499">
            <v>1.6559455851970599E-2</v>
          </cell>
        </row>
        <row r="500">
          <cell r="A500" t="str">
            <v>PLN_WIBOR_EOD</v>
          </cell>
          <cell r="C500">
            <v>42795</v>
          </cell>
          <cell r="E500">
            <v>1.7047501734906101E-2</v>
          </cell>
        </row>
        <row r="501">
          <cell r="A501" t="str">
            <v>PLN_WIBOR_EOD</v>
          </cell>
          <cell r="C501">
            <v>42978</v>
          </cell>
          <cell r="E501">
            <v>1.7560808304085899E-2</v>
          </cell>
        </row>
        <row r="502">
          <cell r="A502" t="str">
            <v>PLN_WIBOR_EOD</v>
          </cell>
          <cell r="C502">
            <v>43343</v>
          </cell>
          <cell r="E502">
            <v>1.8941093269407801E-2</v>
          </cell>
        </row>
        <row r="503">
          <cell r="A503" t="str">
            <v>PLN_WIBOR_EOD</v>
          </cell>
          <cell r="C503">
            <v>43708</v>
          </cell>
          <cell r="E503">
            <v>2.0629633722391301E-2</v>
          </cell>
        </row>
        <row r="504">
          <cell r="A504" t="str">
            <v>PLN_WIBOR_EOD</v>
          </cell>
          <cell r="C504">
            <v>44073</v>
          </cell>
          <cell r="E504">
            <v>2.2145285131866699E-2</v>
          </cell>
        </row>
        <row r="505">
          <cell r="A505" t="str">
            <v>PLN_WIBOR_EOD</v>
          </cell>
          <cell r="C505">
            <v>44438</v>
          </cell>
          <cell r="E505">
            <v>2.34451714665759E-2</v>
          </cell>
        </row>
        <row r="506">
          <cell r="A506" t="str">
            <v>PLN_WIBOR_EOD</v>
          </cell>
          <cell r="C506">
            <v>44803</v>
          </cell>
          <cell r="E506">
            <v>2.4615826853366499E-2</v>
          </cell>
        </row>
        <row r="507">
          <cell r="A507" t="str">
            <v>PLN_WIBOR_EOD</v>
          </cell>
          <cell r="C507">
            <v>45168</v>
          </cell>
          <cell r="E507">
            <v>2.5598212576113701E-2</v>
          </cell>
        </row>
        <row r="508">
          <cell r="A508" t="str">
            <v>PLN_WIBOR_EOD</v>
          </cell>
          <cell r="C508">
            <v>45533</v>
          </cell>
          <cell r="E508">
            <v>2.62945855426709E-2</v>
          </cell>
        </row>
        <row r="509">
          <cell r="A509" t="str">
            <v>PLN_WIBOR_EOD</v>
          </cell>
          <cell r="C509">
            <v>45898</v>
          </cell>
          <cell r="E509">
            <v>2.6928273717102099E-2</v>
          </cell>
        </row>
        <row r="510">
          <cell r="A510" t="str">
            <v>PLN_WIBOR_EOD</v>
          </cell>
          <cell r="C510">
            <v>46628</v>
          </cell>
          <cell r="E510">
            <v>2.7806258031327E-2</v>
          </cell>
        </row>
        <row r="511">
          <cell r="A511" t="str">
            <v>PLN_WIBOR_EOD</v>
          </cell>
          <cell r="C511">
            <v>47723</v>
          </cell>
          <cell r="E511">
            <v>2.8725370595191299E-2</v>
          </cell>
        </row>
        <row r="512">
          <cell r="A512" t="str">
            <v>PLN_WIBOR_EOD</v>
          </cell>
          <cell r="C512">
            <v>49548</v>
          </cell>
          <cell r="E512">
            <v>2.89706447297455E-2</v>
          </cell>
        </row>
        <row r="513">
          <cell r="A513" t="str">
            <v>PLN_WIBOR_EOD</v>
          </cell>
          <cell r="C513">
            <v>51373</v>
          </cell>
          <cell r="E513">
            <v>2.8478937088533701E-2</v>
          </cell>
        </row>
        <row r="514">
          <cell r="A514" t="str">
            <v>PLN_WIBOR_EOD</v>
          </cell>
          <cell r="C514">
            <v>53198</v>
          </cell>
          <cell r="E514">
            <v>2.77145773215174E-2</v>
          </cell>
        </row>
        <row r="515">
          <cell r="A515" t="str">
            <v>SEK_STIBOR_EOD</v>
          </cell>
          <cell r="C515">
            <v>42249</v>
          </cell>
          <cell r="E515">
            <v>-3.7108521968558599E-3</v>
          </cell>
        </row>
        <row r="516">
          <cell r="A516" t="str">
            <v>SEK_STIBOR_EOD</v>
          </cell>
          <cell r="C516">
            <v>42255</v>
          </cell>
          <cell r="E516">
            <v>-3.6207853474631798E-3</v>
          </cell>
        </row>
        <row r="517">
          <cell r="A517" t="str">
            <v>SEK_STIBOR_EOD</v>
          </cell>
          <cell r="C517">
            <v>42278</v>
          </cell>
          <cell r="E517">
            <v>-3.5116830288349698E-3</v>
          </cell>
        </row>
        <row r="518">
          <cell r="A518" t="str">
            <v>SEK_STIBOR_EOD</v>
          </cell>
          <cell r="C518">
            <v>42308</v>
          </cell>
          <cell r="E518">
            <v>-3.4072893447408001E-3</v>
          </cell>
        </row>
        <row r="519">
          <cell r="A519" t="str">
            <v>SEK_STIBOR_EOD</v>
          </cell>
          <cell r="C519">
            <v>42339</v>
          </cell>
          <cell r="E519">
            <v>-3.2994158711768299E-3</v>
          </cell>
        </row>
        <row r="520">
          <cell r="A520" t="str">
            <v>SEK_STIBOR_EOD</v>
          </cell>
          <cell r="C520">
            <v>42430</v>
          </cell>
          <cell r="E520">
            <v>-3.3406087691228402E-3</v>
          </cell>
        </row>
        <row r="521">
          <cell r="A521" t="str">
            <v>SEK_STIBOR_EOD</v>
          </cell>
          <cell r="C521">
            <v>42521</v>
          </cell>
          <cell r="E521">
            <v>-3.3532462992609401E-3</v>
          </cell>
        </row>
        <row r="522">
          <cell r="A522" t="str">
            <v>SEK_STIBOR_EOD</v>
          </cell>
          <cell r="C522">
            <v>42613</v>
          </cell>
          <cell r="E522">
            <v>-3.26006212622545E-3</v>
          </cell>
        </row>
        <row r="523">
          <cell r="A523" t="str">
            <v>SEK_STIBOR_EOD</v>
          </cell>
          <cell r="C523">
            <v>42795</v>
          </cell>
          <cell r="E523">
            <v>-2.8070722056167501E-3</v>
          </cell>
        </row>
        <row r="524">
          <cell r="A524" t="str">
            <v>SEK_STIBOR_EOD</v>
          </cell>
          <cell r="C524">
            <v>42978</v>
          </cell>
          <cell r="E524">
            <v>-2.0201326635262101E-3</v>
          </cell>
        </row>
        <row r="525">
          <cell r="A525" t="str">
            <v>SEK_STIBOR_EOD</v>
          </cell>
          <cell r="C525">
            <v>43343</v>
          </cell>
          <cell r="E525">
            <v>9.9359386436250006E-5</v>
          </cell>
        </row>
        <row r="526">
          <cell r="A526" t="str">
            <v>SEK_STIBOR_EOD</v>
          </cell>
          <cell r="C526">
            <v>43708</v>
          </cell>
          <cell r="E526">
            <v>2.5954488805179699E-3</v>
          </cell>
        </row>
        <row r="527">
          <cell r="A527" t="str">
            <v>SEK_STIBOR_EOD</v>
          </cell>
          <cell r="C527">
            <v>44073</v>
          </cell>
          <cell r="E527">
            <v>5.2159930402755697E-3</v>
          </cell>
        </row>
        <row r="528">
          <cell r="A528" t="str">
            <v>SEK_STIBOR_EOD</v>
          </cell>
          <cell r="C528">
            <v>44438</v>
          </cell>
          <cell r="E528">
            <v>7.6929951439044398E-3</v>
          </cell>
        </row>
        <row r="529">
          <cell r="A529" t="str">
            <v>SEK_STIBOR_EOD</v>
          </cell>
          <cell r="C529">
            <v>44803</v>
          </cell>
          <cell r="E529">
            <v>9.8334523485985106E-3</v>
          </cell>
        </row>
        <row r="530">
          <cell r="A530" t="str">
            <v>SEK_STIBOR_EOD</v>
          </cell>
          <cell r="C530">
            <v>45168</v>
          </cell>
          <cell r="E530">
            <v>1.1587759534923E-2</v>
          </cell>
        </row>
        <row r="531">
          <cell r="A531" t="str">
            <v>SEK_STIBOR_EOD</v>
          </cell>
          <cell r="C531">
            <v>45533</v>
          </cell>
          <cell r="E531">
            <v>1.3039485045996601E-2</v>
          </cell>
        </row>
        <row r="532">
          <cell r="A532" t="str">
            <v>SEK_STIBOR_EOD</v>
          </cell>
          <cell r="C532">
            <v>45898</v>
          </cell>
          <cell r="E532">
            <v>1.42274895916173E-2</v>
          </cell>
        </row>
        <row r="533">
          <cell r="A533" t="str">
            <v>SEK_STIBOR_EOD</v>
          </cell>
          <cell r="C533">
            <v>46628</v>
          </cell>
          <cell r="E533">
            <v>1.6215809330255699E-2</v>
          </cell>
        </row>
        <row r="534">
          <cell r="A534" t="str">
            <v>SEK_STIBOR_EOD</v>
          </cell>
          <cell r="C534">
            <v>47723</v>
          </cell>
          <cell r="E534">
            <v>1.8322234424438099E-2</v>
          </cell>
        </row>
        <row r="535">
          <cell r="A535" t="str">
            <v>SEK_STIBOR_EOD</v>
          </cell>
          <cell r="C535">
            <v>49548</v>
          </cell>
          <cell r="E535">
            <v>2.0310092890569301E-2</v>
          </cell>
        </row>
        <row r="536">
          <cell r="A536" t="str">
            <v>SEK_STIBOR_EOD</v>
          </cell>
          <cell r="C536">
            <v>51373</v>
          </cell>
          <cell r="E536">
            <v>2.1288395500464699E-2</v>
          </cell>
        </row>
        <row r="537">
          <cell r="A537" t="str">
            <v>SEK_STIBOR_EOD</v>
          </cell>
          <cell r="C537">
            <v>53198</v>
          </cell>
          <cell r="E537">
            <v>2.14966245703819E-2</v>
          </cell>
        </row>
        <row r="538">
          <cell r="A538" t="str">
            <v>SGD_SOR_EOD</v>
          </cell>
          <cell r="C538">
            <v>42249</v>
          </cell>
          <cell r="E538">
            <v>3.4871833418313601E-3</v>
          </cell>
        </row>
        <row r="539">
          <cell r="A539" t="str">
            <v>SGD_SOR_EOD</v>
          </cell>
          <cell r="C539">
            <v>42255</v>
          </cell>
          <cell r="E539">
            <v>4.7180538241316699E-3</v>
          </cell>
        </row>
        <row r="540">
          <cell r="A540" t="str">
            <v>SGD_SOR_EOD</v>
          </cell>
          <cell r="C540">
            <v>42278</v>
          </cell>
          <cell r="E540">
            <v>1.2223132025847201E-2</v>
          </cell>
        </row>
        <row r="541">
          <cell r="A541" t="str">
            <v>SGD_SOR_EOD</v>
          </cell>
          <cell r="C541">
            <v>42308</v>
          </cell>
          <cell r="E541">
            <v>1.43365979345027E-2</v>
          </cell>
        </row>
        <row r="542">
          <cell r="A542" t="str">
            <v>SGD_SOR_EOD</v>
          </cell>
          <cell r="C542">
            <v>42339</v>
          </cell>
          <cell r="E542">
            <v>1.50597683895569E-2</v>
          </cell>
        </row>
        <row r="543">
          <cell r="A543" t="str">
            <v>SGD_SOR_EOD</v>
          </cell>
          <cell r="C543">
            <v>42430</v>
          </cell>
          <cell r="E543">
            <v>1.6103923259984301E-2</v>
          </cell>
        </row>
        <row r="544">
          <cell r="A544" t="str">
            <v>SGD_SOR_EOD</v>
          </cell>
          <cell r="C544">
            <v>42521</v>
          </cell>
          <cell r="E544">
            <v>1.6405208106364099E-2</v>
          </cell>
        </row>
        <row r="545">
          <cell r="A545" t="str">
            <v>SGD_SOR_EOD</v>
          </cell>
          <cell r="C545">
            <v>42613</v>
          </cell>
          <cell r="E545">
            <v>1.66934445627335E-2</v>
          </cell>
        </row>
        <row r="546">
          <cell r="A546" t="str">
            <v>SGD_SOR_EOD</v>
          </cell>
          <cell r="C546">
            <v>42795</v>
          </cell>
          <cell r="E546">
            <v>1.8086795866719099E-2</v>
          </cell>
        </row>
        <row r="547">
          <cell r="A547" t="str">
            <v>SGD_SOR_EOD</v>
          </cell>
          <cell r="C547">
            <v>42978</v>
          </cell>
          <cell r="E547">
            <v>1.9511183375704799E-2</v>
          </cell>
        </row>
        <row r="548">
          <cell r="A548" t="str">
            <v>SGD_SOR_EOD</v>
          </cell>
          <cell r="C548">
            <v>43343</v>
          </cell>
          <cell r="E548">
            <v>2.1955366668416802E-2</v>
          </cell>
        </row>
        <row r="549">
          <cell r="A549" t="str">
            <v>SGD_SOR_EOD</v>
          </cell>
          <cell r="C549">
            <v>43708</v>
          </cell>
          <cell r="E549">
            <v>2.4232044859161101E-2</v>
          </cell>
        </row>
        <row r="550">
          <cell r="A550" t="str">
            <v>SGD_SOR_EOD</v>
          </cell>
          <cell r="C550">
            <v>44073</v>
          </cell>
          <cell r="E550">
            <v>2.5933095830415299E-2</v>
          </cell>
        </row>
        <row r="551">
          <cell r="A551" t="str">
            <v>SGD_SOR_EOD</v>
          </cell>
          <cell r="C551">
            <v>44438</v>
          </cell>
          <cell r="E551">
            <v>2.7216581319208399E-2</v>
          </cell>
        </row>
        <row r="552">
          <cell r="A552" t="str">
            <v>SGD_SOR_EOD</v>
          </cell>
          <cell r="C552">
            <v>44803</v>
          </cell>
          <cell r="E552">
            <v>2.8495492777050799E-2</v>
          </cell>
        </row>
        <row r="553">
          <cell r="A553" t="str">
            <v>SGD_SOR_EOD</v>
          </cell>
          <cell r="C553">
            <v>45168</v>
          </cell>
          <cell r="E553">
            <v>2.93166335703158E-2</v>
          </cell>
        </row>
        <row r="554">
          <cell r="A554" t="str">
            <v>SGD_SOR_EOD</v>
          </cell>
          <cell r="C554">
            <v>45533</v>
          </cell>
          <cell r="E554">
            <v>3.0130123600384501E-2</v>
          </cell>
        </row>
        <row r="555">
          <cell r="A555" t="str">
            <v>SGD_SOR_EOD</v>
          </cell>
          <cell r="C555">
            <v>45898</v>
          </cell>
          <cell r="E555">
            <v>3.0943613630453299E-2</v>
          </cell>
        </row>
        <row r="556">
          <cell r="A556" t="str">
            <v>USD_FEDFUND_EOD</v>
          </cell>
          <cell r="C556">
            <v>42249</v>
          </cell>
          <cell r="E556">
            <v>8.1111020988319002E-4</v>
          </cell>
        </row>
        <row r="557">
          <cell r="A557" t="str">
            <v>USD_FEDFUND_EOD</v>
          </cell>
          <cell r="C557">
            <v>42255</v>
          </cell>
          <cell r="E557">
            <v>1.2842441300840099E-3</v>
          </cell>
        </row>
        <row r="558">
          <cell r="A558" t="str">
            <v>USD_FEDFUND_EOD</v>
          </cell>
          <cell r="C558">
            <v>42262</v>
          </cell>
          <cell r="E558">
            <v>1.3805485251708999E-3</v>
          </cell>
        </row>
        <row r="559">
          <cell r="A559" t="str">
            <v>USD_FEDFUND_EOD</v>
          </cell>
          <cell r="C559">
            <v>42269</v>
          </cell>
          <cell r="E559">
            <v>1.53179097593176E-3</v>
          </cell>
        </row>
        <row r="560">
          <cell r="A560" t="str">
            <v>USD_FEDFUND_EOD</v>
          </cell>
          <cell r="C560">
            <v>42278</v>
          </cell>
          <cell r="E560">
            <v>1.69286962655844E-3</v>
          </cell>
        </row>
        <row r="561">
          <cell r="A561" t="str">
            <v>USD_FEDFUND_EOD</v>
          </cell>
          <cell r="C561">
            <v>42308</v>
          </cell>
          <cell r="E561">
            <v>1.91487986151849E-3</v>
          </cell>
        </row>
        <row r="562">
          <cell r="A562" t="str">
            <v>USD_FEDFUND_EOD</v>
          </cell>
          <cell r="C562">
            <v>42339</v>
          </cell>
          <cell r="E562">
            <v>2.1540216218511E-3</v>
          </cell>
        </row>
        <row r="563">
          <cell r="A563" t="str">
            <v>USD_FEDFUND_EOD</v>
          </cell>
          <cell r="C563">
            <v>42369</v>
          </cell>
          <cell r="E563">
            <v>2.34442442594947E-3</v>
          </cell>
        </row>
        <row r="564">
          <cell r="A564" t="str">
            <v>USD_FEDFUND_EOD</v>
          </cell>
          <cell r="C564">
            <v>42400</v>
          </cell>
          <cell r="E564">
            <v>2.53420491255751E-3</v>
          </cell>
        </row>
        <row r="565">
          <cell r="A565" t="str">
            <v>USD_FEDFUND_EOD</v>
          </cell>
          <cell r="C565">
            <v>42430</v>
          </cell>
          <cell r="E565">
            <v>2.6873275600446602E-3</v>
          </cell>
        </row>
        <row r="566">
          <cell r="A566" t="str">
            <v>USD_FEDFUND_EOD</v>
          </cell>
          <cell r="C566">
            <v>42460</v>
          </cell>
          <cell r="E566">
            <v>2.8294070563248401E-3</v>
          </cell>
        </row>
        <row r="567">
          <cell r="A567" t="str">
            <v>USD_FEDFUND_EOD</v>
          </cell>
          <cell r="C567">
            <v>42491</v>
          </cell>
          <cell r="E567">
            <v>3.0237199653691299E-3</v>
          </cell>
        </row>
        <row r="568">
          <cell r="A568" t="str">
            <v>USD_FEDFUND_EOD</v>
          </cell>
          <cell r="C568">
            <v>42521</v>
          </cell>
          <cell r="E568">
            <v>3.2048781567703198E-3</v>
          </cell>
        </row>
        <row r="569">
          <cell r="A569" t="str">
            <v>USD_FEDFUND_EOD</v>
          </cell>
          <cell r="C569">
            <v>42552</v>
          </cell>
          <cell r="E569">
            <v>3.3647268440859602E-3</v>
          </cell>
        </row>
        <row r="570">
          <cell r="A570" t="str">
            <v>USD_FEDFUND_EOD</v>
          </cell>
          <cell r="C570">
            <v>42582</v>
          </cell>
          <cell r="E570">
            <v>3.5643077299489499E-3</v>
          </cell>
        </row>
        <row r="571">
          <cell r="A571" t="str">
            <v>USD_FEDFUND_EOD</v>
          </cell>
          <cell r="C571">
            <v>42613</v>
          </cell>
          <cell r="E571">
            <v>3.7394587234063702E-3</v>
          </cell>
        </row>
        <row r="572">
          <cell r="A572" t="str">
            <v>USD_FEDFUND_EOD</v>
          </cell>
          <cell r="C572">
            <v>42704</v>
          </cell>
          <cell r="E572">
            <v>4.4114002033967797E-3</v>
          </cell>
        </row>
        <row r="573">
          <cell r="A573" t="str">
            <v>USD_FEDFUND_EOD</v>
          </cell>
          <cell r="C573">
            <v>42795</v>
          </cell>
          <cell r="E573">
            <v>5.09533783485378E-3</v>
          </cell>
        </row>
        <row r="574">
          <cell r="A574" t="str">
            <v>USD_FEDFUND_EOD</v>
          </cell>
          <cell r="C574">
            <v>42886</v>
          </cell>
          <cell r="E574">
            <v>5.8274043699745202E-3</v>
          </cell>
        </row>
        <row r="575">
          <cell r="A575" t="str">
            <v>USD_FEDFUND_EOD</v>
          </cell>
          <cell r="C575">
            <v>42978</v>
          </cell>
          <cell r="E575">
            <v>6.5686090258385401E-3</v>
          </cell>
        </row>
        <row r="576">
          <cell r="A576" t="str">
            <v>USD_FEDFUND_EOD</v>
          </cell>
          <cell r="C576">
            <v>43343</v>
          </cell>
          <cell r="E576">
            <v>9.3368926848476693E-3</v>
          </cell>
        </row>
        <row r="577">
          <cell r="A577" t="str">
            <v>USD_FEDFUND_EOD</v>
          </cell>
          <cell r="C577">
            <v>43708</v>
          </cell>
          <cell r="E577">
            <v>1.16956959205551E-2</v>
          </cell>
        </row>
        <row r="578">
          <cell r="A578" t="str">
            <v>USD_FEDFUND_EOD</v>
          </cell>
          <cell r="C578">
            <v>44073</v>
          </cell>
          <cell r="E578">
            <v>1.3738242216915299E-2</v>
          </cell>
        </row>
        <row r="579">
          <cell r="A579" t="str">
            <v>USD_FEDFUND_EOD</v>
          </cell>
          <cell r="C579">
            <v>44438</v>
          </cell>
          <cell r="E579">
            <v>1.5522463059290901E-2</v>
          </cell>
        </row>
        <row r="580">
          <cell r="A580" t="str">
            <v>USD_FEDFUND_EOD</v>
          </cell>
          <cell r="C580">
            <v>44803</v>
          </cell>
          <cell r="E580">
            <v>1.70375650542746E-2</v>
          </cell>
        </row>
        <row r="581">
          <cell r="A581" t="str">
            <v>USD_FEDFUND_EOD</v>
          </cell>
          <cell r="C581">
            <v>45168</v>
          </cell>
          <cell r="E581">
            <v>1.8276801473276399E-2</v>
          </cell>
        </row>
        <row r="582">
          <cell r="A582" t="str">
            <v>USD_FEDFUND_EOD</v>
          </cell>
          <cell r="C582">
            <v>45533</v>
          </cell>
          <cell r="E582">
            <v>1.9285680579425299E-2</v>
          </cell>
        </row>
        <row r="583">
          <cell r="A583" t="str">
            <v>USD_FEDFUND_EOD</v>
          </cell>
          <cell r="C583">
            <v>45898</v>
          </cell>
          <cell r="E583">
            <v>2.01060011133209E-2</v>
          </cell>
        </row>
        <row r="584">
          <cell r="A584" t="str">
            <v>USD_FEDFUND_EOD</v>
          </cell>
          <cell r="C584">
            <v>46628</v>
          </cell>
          <cell r="E584">
            <v>2.1484490566833998E-2</v>
          </cell>
        </row>
        <row r="585">
          <cell r="A585" t="str">
            <v>USD_FEDFUND_EOD</v>
          </cell>
          <cell r="C585">
            <v>47723</v>
          </cell>
          <cell r="E585">
            <v>2.2885003765616599E-2</v>
          </cell>
        </row>
        <row r="586">
          <cell r="A586" t="str">
            <v>USD_FEDFUND_EOD</v>
          </cell>
          <cell r="C586">
            <v>49548</v>
          </cell>
          <cell r="E586">
            <v>2.4089893077286099E-2</v>
          </cell>
        </row>
        <row r="587">
          <cell r="A587" t="str">
            <v>USD_FEDFUND_EOD</v>
          </cell>
          <cell r="C587">
            <v>51373</v>
          </cell>
          <cell r="E587">
            <v>2.4629120008513802E-2</v>
          </cell>
        </row>
        <row r="588">
          <cell r="A588" t="str">
            <v>USD_FEDFUND_EOD</v>
          </cell>
          <cell r="C588">
            <v>53198</v>
          </cell>
          <cell r="E588">
            <v>2.49892376958799E-2</v>
          </cell>
        </row>
        <row r="589">
          <cell r="A589" t="str">
            <v>USD_FEDFUND_EOD</v>
          </cell>
          <cell r="C589">
            <v>55023</v>
          </cell>
          <cell r="E589">
            <v>2.5131593395118699E-2</v>
          </cell>
        </row>
        <row r="590">
          <cell r="A590" t="str">
            <v>USD_FEDFUND_EOD</v>
          </cell>
          <cell r="C590">
            <v>56848</v>
          </cell>
          <cell r="E590">
            <v>2.52725141828198E-2</v>
          </cell>
        </row>
        <row r="591">
          <cell r="A591" t="str">
            <v>USD_FEDFUND_EOD</v>
          </cell>
          <cell r="C591">
            <v>58673</v>
          </cell>
          <cell r="E591">
            <v>2.50983061307875E-2</v>
          </cell>
        </row>
        <row r="592">
          <cell r="A592" t="str">
            <v>USD_FEDFUND_EOD</v>
          </cell>
          <cell r="C592">
            <v>60498</v>
          </cell>
          <cell r="E592">
            <v>2.4922012283897701E-2</v>
          </cell>
        </row>
        <row r="593">
          <cell r="A593" t="str">
            <v>USD_LIBOR_EOD</v>
          </cell>
          <cell r="C593">
            <v>42249</v>
          </cell>
          <cell r="E593">
            <v>1.3383308797532E-3</v>
          </cell>
        </row>
        <row r="594">
          <cell r="A594" t="str">
            <v>USD_LIBOR_EOD</v>
          </cell>
          <cell r="C594">
            <v>42255</v>
          </cell>
          <cell r="E594">
            <v>1.4622390087236301E-3</v>
          </cell>
        </row>
        <row r="595">
          <cell r="A595" t="str">
            <v>USD_LIBOR_EOD</v>
          </cell>
          <cell r="C595">
            <v>42278</v>
          </cell>
          <cell r="E595">
            <v>1.9122132033024099E-3</v>
          </cell>
        </row>
        <row r="596">
          <cell r="A596" t="str">
            <v>USD_LIBOR_EOD</v>
          </cell>
          <cell r="C596">
            <v>42308</v>
          </cell>
          <cell r="E596">
            <v>2.4842288361535E-3</v>
          </cell>
        </row>
        <row r="597">
          <cell r="A597" t="str">
            <v>USD_LIBOR_EOD</v>
          </cell>
          <cell r="C597">
            <v>42339</v>
          </cell>
          <cell r="E597">
            <v>3.0753116567662801E-3</v>
          </cell>
        </row>
        <row r="598">
          <cell r="A598" t="str">
            <v>USD_LIBOR_EOD</v>
          </cell>
          <cell r="C598">
            <v>42430</v>
          </cell>
          <cell r="E598">
            <v>3.8780251599185101E-3</v>
          </cell>
        </row>
        <row r="599">
          <cell r="A599" t="str">
            <v>USD_LIBOR_EOD</v>
          </cell>
          <cell r="C599">
            <v>42521</v>
          </cell>
          <cell r="E599">
            <v>4.5004280412520399E-3</v>
          </cell>
        </row>
        <row r="600">
          <cell r="A600" t="str">
            <v>USD_LIBOR_EOD</v>
          </cell>
          <cell r="C600">
            <v>42613</v>
          </cell>
          <cell r="E600">
            <v>5.1809614832900803E-3</v>
          </cell>
        </row>
        <row r="601">
          <cell r="A601" t="str">
            <v>USD_LIBOR_EOD</v>
          </cell>
          <cell r="C601">
            <v>42795</v>
          </cell>
          <cell r="E601">
            <v>6.7441664370131802E-3</v>
          </cell>
        </row>
        <row r="602">
          <cell r="A602" t="str">
            <v>USD_LIBOR_EOD</v>
          </cell>
          <cell r="C602">
            <v>42978</v>
          </cell>
          <cell r="E602">
            <v>8.40187726361292E-3</v>
          </cell>
        </row>
        <row r="603">
          <cell r="A603" t="str">
            <v>USD_LIBOR_EOD</v>
          </cell>
          <cell r="C603">
            <v>43343</v>
          </cell>
          <cell r="E603">
            <v>1.1421908707859699E-2</v>
          </cell>
        </row>
        <row r="604">
          <cell r="A604" t="str">
            <v>USD_LIBOR_EOD</v>
          </cell>
          <cell r="C604">
            <v>43708</v>
          </cell>
          <cell r="E604">
            <v>1.3852378657179899E-2</v>
          </cell>
        </row>
        <row r="605">
          <cell r="A605" t="str">
            <v>USD_LIBOR_EOD</v>
          </cell>
          <cell r="C605">
            <v>44073</v>
          </cell>
          <cell r="E605">
            <v>1.5974366658066601E-2</v>
          </cell>
        </row>
        <row r="606">
          <cell r="A606" t="str">
            <v>USD_LIBOR_EOD</v>
          </cell>
          <cell r="C606">
            <v>44438</v>
          </cell>
          <cell r="E606">
            <v>1.7781432538338599E-2</v>
          </cell>
        </row>
        <row r="607">
          <cell r="A607" t="str">
            <v>USD_LIBOR_EOD</v>
          </cell>
          <cell r="C607">
            <v>44803</v>
          </cell>
          <cell r="E607">
            <v>1.9319231699097699E-2</v>
          </cell>
        </row>
        <row r="608">
          <cell r="A608" t="str">
            <v>USD_LIBOR_EOD</v>
          </cell>
          <cell r="C608">
            <v>45168</v>
          </cell>
          <cell r="E608">
            <v>2.0575388619265399E-2</v>
          </cell>
        </row>
        <row r="609">
          <cell r="A609" t="str">
            <v>USD_LIBOR_EOD</v>
          </cell>
          <cell r="C609">
            <v>45533</v>
          </cell>
          <cell r="E609">
            <v>2.1601055549770799E-2</v>
          </cell>
        </row>
        <row r="610">
          <cell r="A610" t="str">
            <v>USD_LIBOR_EOD</v>
          </cell>
          <cell r="C610">
            <v>45898</v>
          </cell>
          <cell r="E610">
            <v>2.2437926105922799E-2</v>
          </cell>
        </row>
        <row r="611">
          <cell r="A611" t="str">
            <v>USD_LIBOR_EOD</v>
          </cell>
          <cell r="C611">
            <v>46628</v>
          </cell>
          <cell r="E611">
            <v>2.38505468814088E-2</v>
          </cell>
        </row>
        <row r="612">
          <cell r="A612" t="str">
            <v>USD_LIBOR_EOD</v>
          </cell>
          <cell r="C612">
            <v>47723</v>
          </cell>
          <cell r="E612">
            <v>2.5242042351125999E-2</v>
          </cell>
        </row>
        <row r="613">
          <cell r="A613" t="str">
            <v>USD_LIBOR_EOD</v>
          </cell>
          <cell r="C613">
            <v>49548</v>
          </cell>
          <cell r="E613">
            <v>2.6499988367444102E-2</v>
          </cell>
        </row>
        <row r="614">
          <cell r="A614" t="str">
            <v>USD_LIBOR_EOD</v>
          </cell>
          <cell r="C614">
            <v>51373</v>
          </cell>
          <cell r="E614">
            <v>2.7072119611761401E-2</v>
          </cell>
        </row>
        <row r="615">
          <cell r="A615" t="str">
            <v>USD_LIBOR_EOD</v>
          </cell>
          <cell r="C615">
            <v>53198</v>
          </cell>
          <cell r="E615">
            <v>2.7431579774560799E-2</v>
          </cell>
        </row>
        <row r="616">
          <cell r="A616" t="str">
            <v>USD_LIBOR_EOD</v>
          </cell>
          <cell r="C616">
            <v>55023</v>
          </cell>
          <cell r="E616">
            <v>2.7571301622760998E-2</v>
          </cell>
        </row>
        <row r="617">
          <cell r="A617" t="str">
            <v>USD_LIBOR_EOD</v>
          </cell>
          <cell r="C617">
            <v>56848</v>
          </cell>
          <cell r="E617">
            <v>2.77095766990345E-2</v>
          </cell>
        </row>
        <row r="618">
          <cell r="A618" t="str">
            <v>USD_LIBOR_EOD</v>
          </cell>
          <cell r="C618">
            <v>58673</v>
          </cell>
          <cell r="E618">
            <v>2.7518990854307299E-2</v>
          </cell>
        </row>
        <row r="619">
          <cell r="A619" t="str">
            <v>USD_LIBOR_EOD</v>
          </cell>
          <cell r="C619">
            <v>60498</v>
          </cell>
          <cell r="E619">
            <v>2.7326228323947401E-2</v>
          </cell>
        </row>
        <row r="620">
          <cell r="A620" t="str">
            <v>ZAR_JIBAR_EOD</v>
          </cell>
          <cell r="C620">
            <v>42249</v>
          </cell>
          <cell r="E620">
            <v>5.78954081431554E-2</v>
          </cell>
        </row>
        <row r="621">
          <cell r="A621" t="str">
            <v>ZAR_JIBAR_EOD</v>
          </cell>
          <cell r="C621">
            <v>42255</v>
          </cell>
          <cell r="E621">
            <v>5.8560207457823102E-2</v>
          </cell>
        </row>
        <row r="622">
          <cell r="A622" t="str">
            <v>ZAR_JIBAR_EOD</v>
          </cell>
          <cell r="C622">
            <v>42278</v>
          </cell>
          <cell r="E622">
            <v>6.10963416854267E-2</v>
          </cell>
        </row>
        <row r="623">
          <cell r="A623" t="str">
            <v>ZAR_JIBAR_EOD</v>
          </cell>
          <cell r="C623">
            <v>42308</v>
          </cell>
          <cell r="E623">
            <v>6.1768853819936097E-2</v>
          </cell>
        </row>
        <row r="624">
          <cell r="A624" t="str">
            <v>ZAR_JIBAR_EOD</v>
          </cell>
          <cell r="C624">
            <v>42339</v>
          </cell>
          <cell r="E624">
            <v>6.2510354780352204E-2</v>
          </cell>
        </row>
        <row r="625">
          <cell r="A625" t="str">
            <v>ZAR_JIBAR_EOD</v>
          </cell>
          <cell r="C625">
            <v>42430</v>
          </cell>
          <cell r="E625">
            <v>6.4075156452416099E-2</v>
          </cell>
        </row>
        <row r="626">
          <cell r="A626" t="str">
            <v>ZAR_JIBAR_EOD</v>
          </cell>
          <cell r="C626">
            <v>42521</v>
          </cell>
          <cell r="E626">
            <v>6.5214514798846504E-2</v>
          </cell>
        </row>
        <row r="627">
          <cell r="A627" t="str">
            <v>ZAR_JIBAR_EOD</v>
          </cell>
          <cell r="C627">
            <v>42613</v>
          </cell>
          <cell r="E627">
            <v>6.64891927935857E-2</v>
          </cell>
        </row>
        <row r="628">
          <cell r="A628" t="str">
            <v>ZAR_JIBAR_EOD</v>
          </cell>
          <cell r="C628">
            <v>42795</v>
          </cell>
          <cell r="E628">
            <v>6.85200679116824E-2</v>
          </cell>
        </row>
        <row r="629">
          <cell r="A629" t="str">
            <v>ZAR_JIBAR_EOD</v>
          </cell>
          <cell r="C629">
            <v>42978</v>
          </cell>
          <cell r="E629">
            <v>7.0559360517215799E-2</v>
          </cell>
        </row>
        <row r="630">
          <cell r="A630" t="str">
            <v>ZAR_JIBAR_EOD</v>
          </cell>
          <cell r="C630">
            <v>43343</v>
          </cell>
          <cell r="E630">
            <v>7.3926582066187393E-2</v>
          </cell>
        </row>
        <row r="631">
          <cell r="A631" t="str">
            <v>ZAR_JIBAR_EOD</v>
          </cell>
          <cell r="C631">
            <v>43708</v>
          </cell>
          <cell r="E631">
            <v>7.6484851950483199E-2</v>
          </cell>
        </row>
        <row r="632">
          <cell r="A632" t="str">
            <v>ZAR_JIBAR_EOD</v>
          </cell>
          <cell r="C632">
            <v>44073</v>
          </cell>
          <cell r="E632">
            <v>7.8521496417125899E-2</v>
          </cell>
        </row>
        <row r="633">
          <cell r="A633" t="str">
            <v>ZAR_JIBAR_EOD</v>
          </cell>
          <cell r="C633">
            <v>44438</v>
          </cell>
          <cell r="E633">
            <v>8.0143441849164707E-2</v>
          </cell>
        </row>
        <row r="634">
          <cell r="A634" t="str">
            <v>ZAR_JIBAR_EOD</v>
          </cell>
          <cell r="C634">
            <v>44803</v>
          </cell>
          <cell r="E634">
            <v>8.1464954540913806E-2</v>
          </cell>
        </row>
        <row r="635">
          <cell r="A635" t="str">
            <v>ZAR_JIBAR_EOD</v>
          </cell>
          <cell r="C635">
            <v>45168</v>
          </cell>
          <cell r="E635">
            <v>8.26365764029727E-2</v>
          </cell>
        </row>
        <row r="636">
          <cell r="A636" t="str">
            <v>ZAR_JIBAR_EOD</v>
          </cell>
          <cell r="C636">
            <v>45533</v>
          </cell>
          <cell r="E636">
            <v>8.3631781823055598E-2</v>
          </cell>
        </row>
        <row r="637">
          <cell r="A637" t="str">
            <v>ZAR_JIBAR_EOD</v>
          </cell>
          <cell r="C637">
            <v>45898</v>
          </cell>
          <cell r="E637">
            <v>8.4543352090259996E-2</v>
          </cell>
        </row>
        <row r="638">
          <cell r="A638" t="str">
            <v>ZAR_JIBAR_EOD</v>
          </cell>
          <cell r="C638">
            <v>46628</v>
          </cell>
          <cell r="E638">
            <v>8.6429322946858303E-2</v>
          </cell>
        </row>
        <row r="639">
          <cell r="A639" t="str">
            <v>ZAR_JIBAR_EOD</v>
          </cell>
          <cell r="C639">
            <v>47723</v>
          </cell>
          <cell r="E639">
            <v>8.8217382742230899E-2</v>
          </cell>
        </row>
        <row r="640">
          <cell r="A640" t="str">
            <v>ZAR_JIBAR_EOD</v>
          </cell>
          <cell r="C640">
            <v>49548</v>
          </cell>
          <cell r="E640">
            <v>8.8831693909805595E-2</v>
          </cell>
        </row>
        <row r="641">
          <cell r="A641" t="str">
            <v>ZAR_JIBAR_EOD</v>
          </cell>
          <cell r="C641">
            <v>51373</v>
          </cell>
          <cell r="E641">
            <v>8.7013750930647601E-2</v>
          </cell>
        </row>
        <row r="642">
          <cell r="A642" t="str">
            <v>ZAR_JIBAR_EOD</v>
          </cell>
          <cell r="C642">
            <v>53198</v>
          </cell>
          <cell r="E642">
            <v>8.3085388707763497E-2</v>
          </cell>
        </row>
      </sheetData>
      <sheetData sheetId="7">
        <row r="2">
          <cell r="A2" t="str">
            <v>AUD_AONIA_EOD</v>
          </cell>
          <cell r="C2">
            <v>42249</v>
          </cell>
          <cell r="E2">
            <v>1.99994520748366E-2</v>
          </cell>
        </row>
        <row r="3">
          <cell r="A3" t="str">
            <v>AUD_AONIA_EOD</v>
          </cell>
          <cell r="C3">
            <v>42256</v>
          </cell>
          <cell r="E3">
            <v>2.0007509508007101E-2</v>
          </cell>
        </row>
        <row r="4">
          <cell r="A4" t="str">
            <v>AUD_AONIA_EOD</v>
          </cell>
          <cell r="C4">
            <v>42279</v>
          </cell>
          <cell r="E4">
            <v>1.99744301090993E-2</v>
          </cell>
        </row>
        <row r="5">
          <cell r="A5" t="str">
            <v>AUD_AONIA_EOD</v>
          </cell>
          <cell r="C5">
            <v>42310</v>
          </cell>
          <cell r="E5">
            <v>1.9701758788571399E-2</v>
          </cell>
        </row>
        <row r="6">
          <cell r="A6" t="str">
            <v>AUD_AONIA_EOD</v>
          </cell>
          <cell r="C6">
            <v>42340</v>
          </cell>
          <cell r="E6">
            <v>1.9303164894726301E-2</v>
          </cell>
        </row>
        <row r="7">
          <cell r="A7" t="str">
            <v>AUD_AONIA_EOD</v>
          </cell>
          <cell r="C7">
            <v>42373</v>
          </cell>
          <cell r="E7">
            <v>1.8893215547433301E-2</v>
          </cell>
        </row>
        <row r="8">
          <cell r="A8" t="str">
            <v>AUD_AONIA_EOD</v>
          </cell>
          <cell r="C8">
            <v>42402</v>
          </cell>
          <cell r="E8">
            <v>1.8664259854573699E-2</v>
          </cell>
        </row>
        <row r="9">
          <cell r="A9" t="str">
            <v>AUD_AONIA_EOD</v>
          </cell>
          <cell r="C9">
            <v>42431</v>
          </cell>
          <cell r="E9">
            <v>1.8418183897708398E-2</v>
          </cell>
        </row>
        <row r="10">
          <cell r="A10" t="str">
            <v>AUD_AONIA_EOD</v>
          </cell>
          <cell r="C10">
            <v>42523</v>
          </cell>
          <cell r="E10">
            <v>1.7787887780964198E-2</v>
          </cell>
        </row>
        <row r="11">
          <cell r="A11" t="str">
            <v>AUD_AONIA_EOD</v>
          </cell>
          <cell r="C11">
            <v>42615</v>
          </cell>
          <cell r="E11">
            <v>1.7379954089144299E-2</v>
          </cell>
        </row>
        <row r="12">
          <cell r="A12" t="str">
            <v>AUD_AONIA_EOD</v>
          </cell>
          <cell r="C12">
            <v>42796</v>
          </cell>
          <cell r="E12">
            <v>1.7311551717138701E-2</v>
          </cell>
        </row>
        <row r="13">
          <cell r="A13" t="str">
            <v>AUD_AONIA_EOD</v>
          </cell>
          <cell r="C13">
            <v>42982</v>
          </cell>
          <cell r="E13">
            <v>1.7585716039167702E-2</v>
          </cell>
        </row>
        <row r="14">
          <cell r="A14" t="str">
            <v>AUD_AONIA_EOD</v>
          </cell>
          <cell r="C14">
            <v>43346</v>
          </cell>
          <cell r="E14">
            <v>1.8425486122635601E-2</v>
          </cell>
        </row>
        <row r="15">
          <cell r="A15" t="str">
            <v>AUD_AONIA_EOD</v>
          </cell>
          <cell r="C15">
            <v>43710</v>
          </cell>
          <cell r="E15">
            <v>1.98323075815654E-2</v>
          </cell>
        </row>
        <row r="16">
          <cell r="A16" t="str">
            <v>AUD_AONIA_EOD</v>
          </cell>
          <cell r="C16">
            <v>44076</v>
          </cell>
          <cell r="E16">
            <v>2.13948139287908E-2</v>
          </cell>
        </row>
        <row r="17">
          <cell r="A17" t="str">
            <v>AUD_AONIA_EOD</v>
          </cell>
          <cell r="C17">
            <v>44806</v>
          </cell>
          <cell r="E17">
            <v>2.4533441293031501E-2</v>
          </cell>
        </row>
        <row r="18">
          <cell r="A18" t="str">
            <v>AUD_AONIA_EOD</v>
          </cell>
          <cell r="C18">
            <v>45902</v>
          </cell>
          <cell r="E18">
            <v>2.7699392690162802E-2</v>
          </cell>
        </row>
        <row r="19">
          <cell r="A19" t="str">
            <v>AUD_AONIA_EOD</v>
          </cell>
          <cell r="C19">
            <v>46632</v>
          </cell>
          <cell r="E19">
            <v>2.9342039259888202E-2</v>
          </cell>
        </row>
        <row r="20">
          <cell r="A20" t="str">
            <v>AUD_AONIA_EOD</v>
          </cell>
          <cell r="C20">
            <v>47728</v>
          </cell>
          <cell r="E20">
            <v>3.10967124298938E-2</v>
          </cell>
        </row>
        <row r="21">
          <cell r="A21" t="str">
            <v>AUD_AONIA_EOD</v>
          </cell>
          <cell r="C21">
            <v>49555</v>
          </cell>
          <cell r="E21">
            <v>3.26778453214812E-2</v>
          </cell>
        </row>
        <row r="22">
          <cell r="A22" t="str">
            <v>AUD_AONIA_EOD</v>
          </cell>
          <cell r="C22">
            <v>51382</v>
          </cell>
          <cell r="E22">
            <v>3.29010602554951E-2</v>
          </cell>
        </row>
        <row r="23">
          <cell r="A23" t="str">
            <v>AUD_AONIA_EOD</v>
          </cell>
          <cell r="C23">
            <v>53209</v>
          </cell>
          <cell r="E23">
            <v>3.2617397180446102E-2</v>
          </cell>
        </row>
        <row r="24">
          <cell r="A24" t="str">
            <v>AUD_AONIA_EOD</v>
          </cell>
          <cell r="C24">
            <v>56859</v>
          </cell>
          <cell r="E24">
            <v>3.1495503093566898E-2</v>
          </cell>
        </row>
        <row r="25">
          <cell r="A25" t="str">
            <v>AUD_BBSW_3M_EOD</v>
          </cell>
          <cell r="C25">
            <v>42339</v>
          </cell>
          <cell r="E25">
            <v>2.1243643552508601E-2</v>
          </cell>
        </row>
        <row r="26">
          <cell r="A26" t="str">
            <v>AUD_BBSW_3M_EOD</v>
          </cell>
          <cell r="C26">
            <v>42348</v>
          </cell>
          <cell r="E26">
            <v>2.1062246301071501E-2</v>
          </cell>
        </row>
        <row r="27">
          <cell r="A27" t="str">
            <v>AUD_BBSW_3M_EOD</v>
          </cell>
          <cell r="C27">
            <v>42439</v>
          </cell>
          <cell r="E27">
            <v>2.0242084962392298E-2</v>
          </cell>
        </row>
        <row r="28">
          <cell r="A28" t="str">
            <v>AUD_BBSW_3M_EOD</v>
          </cell>
          <cell r="C28">
            <v>42530</v>
          </cell>
          <cell r="E28">
            <v>1.9656389718633E-2</v>
          </cell>
        </row>
        <row r="29">
          <cell r="A29" t="str">
            <v>AUD_BBSW_3M_EOD</v>
          </cell>
          <cell r="C29">
            <v>42621</v>
          </cell>
          <cell r="E29">
            <v>1.93018306463551E-2</v>
          </cell>
        </row>
        <row r="30">
          <cell r="A30" t="str">
            <v>AUD_BBSW_3M_EOD</v>
          </cell>
          <cell r="C30">
            <v>42712</v>
          </cell>
          <cell r="E30">
            <v>1.9138862782150799E-2</v>
          </cell>
        </row>
        <row r="31">
          <cell r="A31" t="str">
            <v>AUD_BBSW_3M_EOD</v>
          </cell>
          <cell r="C31">
            <v>42803</v>
          </cell>
          <cell r="E31">
            <v>1.91373787622439E-2</v>
          </cell>
        </row>
        <row r="32">
          <cell r="A32" t="str">
            <v>AUD_BBSW_3M_EOD</v>
          </cell>
          <cell r="C32">
            <v>42979</v>
          </cell>
          <cell r="E32">
            <v>1.9456458166378601E-2</v>
          </cell>
        </row>
        <row r="33">
          <cell r="A33" t="str">
            <v>AUD_BBSW_3M_EOD</v>
          </cell>
          <cell r="C33">
            <v>43346</v>
          </cell>
          <cell r="E33">
            <v>2.04672770779009E-2</v>
          </cell>
        </row>
        <row r="34">
          <cell r="A34" t="str">
            <v>AUD_BBSW_3M_EOD</v>
          </cell>
          <cell r="C34">
            <v>43710</v>
          </cell>
          <cell r="E34">
            <v>2.18723657523636E-2</v>
          </cell>
        </row>
        <row r="35">
          <cell r="A35" t="str">
            <v>AUD_BBSW_3M_EOD</v>
          </cell>
          <cell r="C35">
            <v>44075</v>
          </cell>
          <cell r="E35">
            <v>2.3434601666727398E-2</v>
          </cell>
        </row>
        <row r="36">
          <cell r="A36" t="str">
            <v>AUD_BBSW_3M_EOD</v>
          </cell>
          <cell r="C36">
            <v>44805</v>
          </cell>
          <cell r="E36">
            <v>2.6519285317043301E-2</v>
          </cell>
        </row>
        <row r="37">
          <cell r="A37" t="str">
            <v>AUD_BBSW_3M_EOD</v>
          </cell>
          <cell r="C37">
            <v>45901</v>
          </cell>
          <cell r="E37">
            <v>2.9712859608413099E-2</v>
          </cell>
        </row>
        <row r="38">
          <cell r="A38" t="str">
            <v>AUD_BBSW_3M_EOD</v>
          </cell>
          <cell r="C38">
            <v>46631</v>
          </cell>
          <cell r="E38">
            <v>3.13838109641656E-2</v>
          </cell>
        </row>
        <row r="39">
          <cell r="A39" t="str">
            <v>AUD_BBSW_3M_EOD</v>
          </cell>
          <cell r="C39">
            <v>47728</v>
          </cell>
          <cell r="E39">
            <v>3.31367264034216E-2</v>
          </cell>
        </row>
        <row r="40">
          <cell r="A40" t="str">
            <v>AUD_BBSW_3M_EOD</v>
          </cell>
          <cell r="C40">
            <v>49555</v>
          </cell>
          <cell r="E40">
            <v>3.4748896629857098E-2</v>
          </cell>
        </row>
        <row r="41">
          <cell r="A41" t="str">
            <v>AUD_BBSW_3M_EOD</v>
          </cell>
          <cell r="C41">
            <v>51382</v>
          </cell>
          <cell r="E41">
            <v>3.5006018497453502E-2</v>
          </cell>
        </row>
        <row r="42">
          <cell r="A42" t="str">
            <v>AUD_BBSW_3M_EOD</v>
          </cell>
          <cell r="C42">
            <v>53206</v>
          </cell>
          <cell r="E42">
            <v>3.4678758548633302E-2</v>
          </cell>
        </row>
        <row r="43">
          <cell r="A43" t="str">
            <v>AUD_BBSW_3M_EOD</v>
          </cell>
          <cell r="C43">
            <v>56858</v>
          </cell>
          <cell r="E43">
            <v>3.3556272440172903E-2</v>
          </cell>
        </row>
        <row r="44">
          <cell r="A44" t="str">
            <v>AUD_BBSW_6M_EOD</v>
          </cell>
          <cell r="C44">
            <v>42430</v>
          </cell>
          <cell r="E44">
            <v>2.1731828923236701E-2</v>
          </cell>
        </row>
        <row r="45">
          <cell r="A45" t="str">
            <v>AUD_BBSW_6M_EOD</v>
          </cell>
          <cell r="C45">
            <v>42614</v>
          </cell>
          <cell r="E45">
            <v>2.0644301713864398E-2</v>
          </cell>
        </row>
        <row r="46">
          <cell r="A46" t="str">
            <v>AUD_BBSW_6M_EOD</v>
          </cell>
          <cell r="C46">
            <v>42979</v>
          </cell>
          <cell r="E46">
            <v>2.0619054123177501E-2</v>
          </cell>
        </row>
        <row r="47">
          <cell r="A47" t="str">
            <v>AUD_BBSW_6M_EOD</v>
          </cell>
          <cell r="C47">
            <v>43346</v>
          </cell>
          <cell r="E47">
            <v>2.1549348779971202E-2</v>
          </cell>
        </row>
        <row r="48">
          <cell r="A48" t="str">
            <v>AUD_BBSW_6M_EOD</v>
          </cell>
          <cell r="C48">
            <v>43710</v>
          </cell>
          <cell r="E48">
            <v>2.2857802396551101E-2</v>
          </cell>
        </row>
        <row r="49">
          <cell r="A49" t="str">
            <v>AUD_BBSW_6M_EOD</v>
          </cell>
          <cell r="C49">
            <v>44075</v>
          </cell>
          <cell r="E49">
            <v>2.4359583326777599E-2</v>
          </cell>
        </row>
        <row r="50">
          <cell r="A50" t="str">
            <v>AUD_BBSW_6M_EOD</v>
          </cell>
          <cell r="C50">
            <v>44805</v>
          </cell>
          <cell r="E50">
            <v>2.73201665745849E-2</v>
          </cell>
        </row>
        <row r="51">
          <cell r="A51" t="str">
            <v>AUD_BBSW_6M_EOD</v>
          </cell>
          <cell r="C51">
            <v>45901</v>
          </cell>
          <cell r="E51">
            <v>3.0384207366950002E-2</v>
          </cell>
        </row>
        <row r="52">
          <cell r="A52" t="str">
            <v>AUD_BBSW_6M_EOD</v>
          </cell>
          <cell r="C52">
            <v>46631</v>
          </cell>
          <cell r="E52">
            <v>3.1965077625240403E-2</v>
          </cell>
        </row>
        <row r="53">
          <cell r="A53" t="str">
            <v>AUD_BBSW_6M_EOD</v>
          </cell>
          <cell r="C53">
            <v>47728</v>
          </cell>
          <cell r="E53">
            <v>3.3593963069068297E-2</v>
          </cell>
        </row>
        <row r="54">
          <cell r="A54" t="str">
            <v>AUD_BBSW_6M_EOD</v>
          </cell>
          <cell r="C54">
            <v>49555</v>
          </cell>
          <cell r="E54">
            <v>3.5105167093918498E-2</v>
          </cell>
        </row>
        <row r="55">
          <cell r="A55" t="str">
            <v>AUD_BBSW_6M_EOD</v>
          </cell>
          <cell r="C55">
            <v>51382</v>
          </cell>
          <cell r="E55">
            <v>3.5262703094437901E-2</v>
          </cell>
        </row>
        <row r="56">
          <cell r="A56" t="str">
            <v>AUD_BBSW_6M_EOD</v>
          </cell>
          <cell r="C56">
            <v>53206</v>
          </cell>
          <cell r="E56">
            <v>3.4872481037897599E-2</v>
          </cell>
        </row>
        <row r="57">
          <cell r="A57" t="str">
            <v>AUD_BBSW_6M_EOD</v>
          </cell>
          <cell r="C57">
            <v>56858</v>
          </cell>
          <cell r="E57">
            <v>3.3784737535503602E-2</v>
          </cell>
        </row>
        <row r="58">
          <cell r="A58" t="str">
            <v>AUD_BBSW_EOD</v>
          </cell>
          <cell r="C58">
            <v>42249</v>
          </cell>
          <cell r="E58">
            <v>1.99994520748366E-2</v>
          </cell>
        </row>
        <row r="59">
          <cell r="A59" t="str">
            <v>AUD_BBSW_EOD</v>
          </cell>
          <cell r="C59">
            <v>42255</v>
          </cell>
          <cell r="E59">
            <v>2.0099573877958601E-2</v>
          </cell>
        </row>
        <row r="60">
          <cell r="A60" t="str">
            <v>AUD_BBSW_EOD</v>
          </cell>
          <cell r="C60">
            <v>42348</v>
          </cell>
          <cell r="E60">
            <v>2.0960947204541499E-2</v>
          </cell>
        </row>
        <row r="61">
          <cell r="A61" t="str">
            <v>AUD_BBSW_EOD</v>
          </cell>
          <cell r="C61">
            <v>42439</v>
          </cell>
          <cell r="E61">
            <v>2.0189048786207999E-2</v>
          </cell>
        </row>
        <row r="62">
          <cell r="A62" t="str">
            <v>AUD_BBSW_EOD</v>
          </cell>
          <cell r="C62">
            <v>42530</v>
          </cell>
          <cell r="E62">
            <v>1.9620468053299998E-2</v>
          </cell>
        </row>
        <row r="63">
          <cell r="A63" t="str">
            <v>AUD_BBSW_EOD</v>
          </cell>
          <cell r="C63">
            <v>42621</v>
          </cell>
          <cell r="E63">
            <v>1.9274672711763099E-2</v>
          </cell>
        </row>
        <row r="64">
          <cell r="A64" t="str">
            <v>AUD_BBSW_EOD</v>
          </cell>
          <cell r="C64">
            <v>42712</v>
          </cell>
          <cell r="E64">
            <v>1.9117031080334201E-2</v>
          </cell>
        </row>
        <row r="65">
          <cell r="A65" t="str">
            <v>AUD_BBSW_EOD</v>
          </cell>
          <cell r="C65">
            <v>42803</v>
          </cell>
          <cell r="E65">
            <v>1.9119126672779499E-2</v>
          </cell>
        </row>
        <row r="66">
          <cell r="A66" t="str">
            <v>AUD_BBSW_EOD</v>
          </cell>
          <cell r="C66">
            <v>42979</v>
          </cell>
          <cell r="E66">
            <v>1.9457110767313102E-2</v>
          </cell>
        </row>
        <row r="67">
          <cell r="A67" t="str">
            <v>AUD_BBSW_EOD</v>
          </cell>
          <cell r="C67">
            <v>43346</v>
          </cell>
          <cell r="E67">
            <v>2.0469994109628901E-2</v>
          </cell>
        </row>
        <row r="68">
          <cell r="A68" t="str">
            <v>AUD_BBSW_EOD</v>
          </cell>
          <cell r="C68">
            <v>43710</v>
          </cell>
          <cell r="E68">
            <v>2.29107792438977E-2</v>
          </cell>
        </row>
        <row r="69">
          <cell r="A69" t="str">
            <v>AUD_BBSW_EOD</v>
          </cell>
          <cell r="C69">
            <v>44075</v>
          </cell>
          <cell r="E69">
            <v>2.4413990093074499E-2</v>
          </cell>
        </row>
        <row r="70">
          <cell r="A70" t="str">
            <v>AUD_BBSW_EOD</v>
          </cell>
          <cell r="C70">
            <v>44805</v>
          </cell>
          <cell r="E70">
            <v>2.7384525573044698E-2</v>
          </cell>
        </row>
        <row r="71">
          <cell r="A71" t="str">
            <v>AUD_BBSW_EOD</v>
          </cell>
          <cell r="C71">
            <v>45901</v>
          </cell>
          <cell r="E71">
            <v>3.04632339569815E-2</v>
          </cell>
        </row>
        <row r="72">
          <cell r="A72" t="str">
            <v>AUD_BBSW_EOD</v>
          </cell>
          <cell r="C72">
            <v>46631</v>
          </cell>
          <cell r="E72">
            <v>3.2055777117508899E-2</v>
          </cell>
        </row>
        <row r="73">
          <cell r="A73" t="str">
            <v>AUD_BBSW_EOD</v>
          </cell>
          <cell r="C73">
            <v>47728</v>
          </cell>
          <cell r="E73">
            <v>3.3697372585873499E-2</v>
          </cell>
        </row>
        <row r="74">
          <cell r="A74" t="str">
            <v>AUD_BBSW_EOD</v>
          </cell>
          <cell r="C74">
            <v>49555</v>
          </cell>
          <cell r="E74">
            <v>3.5220649084988197E-2</v>
          </cell>
        </row>
        <row r="75">
          <cell r="A75" t="str">
            <v>AUD_BBSW_EOD</v>
          </cell>
          <cell r="C75">
            <v>51382</v>
          </cell>
          <cell r="E75">
            <v>3.5366065299947597E-2</v>
          </cell>
        </row>
        <row r="76">
          <cell r="A76" t="str">
            <v>AUD_BBSW_EOD</v>
          </cell>
          <cell r="C76">
            <v>53206</v>
          </cell>
          <cell r="E76">
            <v>3.4951028746883897E-2</v>
          </cell>
        </row>
        <row r="77">
          <cell r="A77" t="str">
            <v>AUD_BBSW_EOD</v>
          </cell>
          <cell r="C77">
            <v>56858</v>
          </cell>
          <cell r="E77">
            <v>3.3804004151686502E-2</v>
          </cell>
        </row>
        <row r="78">
          <cell r="A78" t="str">
            <v>CAD_CDOR_1M_EOD</v>
          </cell>
          <cell r="C78">
            <v>42278</v>
          </cell>
          <cell r="E78">
            <v>7.4377261214683098E-3</v>
          </cell>
        </row>
        <row r="79">
          <cell r="A79" t="str">
            <v>CAD_CDOR_1M_EOD</v>
          </cell>
          <cell r="C79">
            <v>42310</v>
          </cell>
          <cell r="E79">
            <v>7.1456616014023196E-3</v>
          </cell>
        </row>
        <row r="80">
          <cell r="A80" t="str">
            <v>CAD_CDOR_1M_EOD</v>
          </cell>
          <cell r="C80">
            <v>42339</v>
          </cell>
          <cell r="E80">
            <v>6.8945956554461703E-3</v>
          </cell>
        </row>
        <row r="81">
          <cell r="A81" t="str">
            <v>CAD_CDOR_1M_EOD</v>
          </cell>
          <cell r="C81">
            <v>42430</v>
          </cell>
          <cell r="E81">
            <v>6.3132526157385497E-3</v>
          </cell>
        </row>
        <row r="82">
          <cell r="A82" t="str">
            <v>CAD_CDOR_1M_EOD</v>
          </cell>
          <cell r="C82">
            <v>42522</v>
          </cell>
          <cell r="E82">
            <v>6.17640149280985E-3</v>
          </cell>
        </row>
        <row r="83">
          <cell r="A83" t="str">
            <v>CAD_CDOR_1M_EOD</v>
          </cell>
          <cell r="C83">
            <v>42614</v>
          </cell>
          <cell r="E83">
            <v>6.7788533528777301E-3</v>
          </cell>
        </row>
        <row r="84">
          <cell r="A84" t="str">
            <v>CAD_CDOR_1M_EOD</v>
          </cell>
          <cell r="C84">
            <v>42979</v>
          </cell>
          <cell r="E84">
            <v>6.68298429599025E-3</v>
          </cell>
        </row>
        <row r="85">
          <cell r="A85" t="str">
            <v>CAD_CDOR_1M_EOD</v>
          </cell>
          <cell r="C85">
            <v>43347</v>
          </cell>
          <cell r="E85">
            <v>7.8017980621845799E-3</v>
          </cell>
        </row>
        <row r="86">
          <cell r="A86" t="str">
            <v>CAD_CDOR_1M_EOD</v>
          </cell>
          <cell r="C86">
            <v>43711</v>
          </cell>
          <cell r="E86">
            <v>9.0496935773774507E-3</v>
          </cell>
        </row>
        <row r="87">
          <cell r="A87" t="str">
            <v>CAD_CDOR_1M_EOD</v>
          </cell>
          <cell r="C87">
            <v>44075</v>
          </cell>
          <cell r="E87">
            <v>1.05350100653234E-2</v>
          </cell>
        </row>
        <row r="88">
          <cell r="A88" t="str">
            <v>CAD_CDOR_1M_EOD</v>
          </cell>
          <cell r="C88">
            <v>44440</v>
          </cell>
          <cell r="E88">
            <v>1.2320705227900901E-2</v>
          </cell>
        </row>
        <row r="89">
          <cell r="A89" t="str">
            <v>CAD_CDOR_1M_EOD</v>
          </cell>
          <cell r="C89">
            <v>44805</v>
          </cell>
          <cell r="E89">
            <v>1.41711548862757E-2</v>
          </cell>
        </row>
        <row r="90">
          <cell r="A90" t="str">
            <v>CAD_CDOR_1M_EOD</v>
          </cell>
          <cell r="C90">
            <v>45170</v>
          </cell>
          <cell r="E90">
            <v>1.5908851149422601E-2</v>
          </cell>
        </row>
        <row r="91">
          <cell r="A91" t="str">
            <v>CAD_CDOR_1M_EOD</v>
          </cell>
          <cell r="C91">
            <v>45538</v>
          </cell>
          <cell r="E91">
            <v>1.7531385223262402E-2</v>
          </cell>
        </row>
        <row r="92">
          <cell r="A92" t="str">
            <v>CAD_CDOR_1M_EOD</v>
          </cell>
          <cell r="C92">
            <v>45902</v>
          </cell>
          <cell r="E92">
            <v>1.89679877257302E-2</v>
          </cell>
        </row>
        <row r="93">
          <cell r="A93" t="str">
            <v>CAD_CDOR_1M_EOD</v>
          </cell>
          <cell r="C93">
            <v>46631</v>
          </cell>
          <cell r="E93">
            <v>2.1382796124105301E-2</v>
          </cell>
        </row>
        <row r="94">
          <cell r="A94" t="str">
            <v>CAD_CDOR_1M_EOD</v>
          </cell>
          <cell r="C94">
            <v>47729</v>
          </cell>
          <cell r="E94">
            <v>2.3937959883821198E-2</v>
          </cell>
        </row>
        <row r="95">
          <cell r="A95" t="str">
            <v>CAD_CDOR_1M_EOD</v>
          </cell>
          <cell r="C95">
            <v>49556</v>
          </cell>
          <cell r="E95">
            <v>2.5637415665012198E-2</v>
          </cell>
        </row>
        <row r="96">
          <cell r="A96" t="str">
            <v>CAD_CDOR_1M_EOD</v>
          </cell>
          <cell r="C96">
            <v>51383</v>
          </cell>
          <cell r="E96">
            <v>2.5930227189564201E-2</v>
          </cell>
        </row>
        <row r="97">
          <cell r="A97" t="str">
            <v>CAD_CDOR_1M_EOD</v>
          </cell>
          <cell r="C97">
            <v>53206</v>
          </cell>
          <cell r="E97">
            <v>2.6162851470992801E-2</v>
          </cell>
        </row>
        <row r="98">
          <cell r="A98" t="str">
            <v>CAD_CDOR_3M_EOD</v>
          </cell>
          <cell r="C98">
            <v>42339</v>
          </cell>
          <cell r="E98">
            <v>7.4331082777186596E-3</v>
          </cell>
        </row>
        <row r="99">
          <cell r="A99" t="str">
            <v>CAD_CDOR_3M_EOD</v>
          </cell>
          <cell r="C99">
            <v>42352</v>
          </cell>
          <cell r="E99">
            <v>7.0924735617384996E-3</v>
          </cell>
        </row>
        <row r="100">
          <cell r="A100" t="str">
            <v>CAD_CDOR_3M_EOD</v>
          </cell>
          <cell r="C100">
            <v>42443</v>
          </cell>
          <cell r="E100">
            <v>6.6956513653953203E-3</v>
          </cell>
        </row>
        <row r="101">
          <cell r="A101" t="str">
            <v>CAD_CDOR_3M_EOD</v>
          </cell>
          <cell r="C101">
            <v>42534</v>
          </cell>
          <cell r="E101">
            <v>6.5182960918305803E-3</v>
          </cell>
        </row>
        <row r="102">
          <cell r="A102" t="str">
            <v>CAD_CDOR_3M_EOD</v>
          </cell>
          <cell r="C102">
            <v>42632</v>
          </cell>
          <cell r="E102">
            <v>6.4832227834941102E-3</v>
          </cell>
        </row>
        <row r="103">
          <cell r="A103" t="str">
            <v>CAD_CDOR_3M_EOD</v>
          </cell>
          <cell r="C103">
            <v>42979</v>
          </cell>
          <cell r="E103">
            <v>7.1637015380994198E-3</v>
          </cell>
        </row>
        <row r="104">
          <cell r="A104" t="str">
            <v>CAD_CDOR_3M_EOD</v>
          </cell>
          <cell r="C104">
            <v>43347</v>
          </cell>
          <cell r="E104">
            <v>8.3031475702910508E-3</v>
          </cell>
        </row>
        <row r="105">
          <cell r="A105" t="str">
            <v>CAD_CDOR_3M_EOD</v>
          </cell>
          <cell r="C105">
            <v>43711</v>
          </cell>
          <cell r="E105">
            <v>9.6297541934498403E-3</v>
          </cell>
        </row>
        <row r="106">
          <cell r="A106" t="str">
            <v>CAD_CDOR_3M_EOD</v>
          </cell>
          <cell r="C106">
            <v>44075</v>
          </cell>
          <cell r="E106">
            <v>1.11798419327419E-2</v>
          </cell>
        </row>
        <row r="107">
          <cell r="A107" t="str">
            <v>CAD_CDOR_3M_EOD</v>
          </cell>
          <cell r="C107">
            <v>44440</v>
          </cell>
          <cell r="E107">
            <v>1.2937434542096799E-2</v>
          </cell>
        </row>
        <row r="108">
          <cell r="A108" t="str">
            <v>CAD_CDOR_3M_EOD</v>
          </cell>
          <cell r="C108">
            <v>44805</v>
          </cell>
          <cell r="E108">
            <v>1.47696851481007E-2</v>
          </cell>
        </row>
        <row r="109">
          <cell r="A109" t="str">
            <v>CAD_CDOR_3M_EOD</v>
          </cell>
          <cell r="C109">
            <v>45170</v>
          </cell>
          <cell r="E109">
            <v>1.64982752341181E-2</v>
          </cell>
        </row>
        <row r="110">
          <cell r="A110" t="str">
            <v>CAD_CDOR_3M_EOD</v>
          </cell>
          <cell r="C110">
            <v>45538</v>
          </cell>
          <cell r="E110">
            <v>1.80935800440119E-2</v>
          </cell>
        </row>
        <row r="111">
          <cell r="A111" t="str">
            <v>CAD_CDOR_3M_EOD</v>
          </cell>
          <cell r="C111">
            <v>45902</v>
          </cell>
          <cell r="E111">
            <v>1.94953772471449E-2</v>
          </cell>
        </row>
        <row r="112">
          <cell r="A112" t="str">
            <v>CAD_CDOR_3M_EOD</v>
          </cell>
          <cell r="C112">
            <v>46631</v>
          </cell>
          <cell r="E112">
            <v>2.1865978688637398E-2</v>
          </cell>
        </row>
        <row r="113">
          <cell r="A113" t="str">
            <v>CAD_CDOR_3M_EOD</v>
          </cell>
          <cell r="C113">
            <v>47729</v>
          </cell>
          <cell r="E113">
            <v>2.4353431730515102E-2</v>
          </cell>
        </row>
        <row r="114">
          <cell r="A114" t="str">
            <v>CAD_CDOR_3M_EOD</v>
          </cell>
          <cell r="C114">
            <v>49556</v>
          </cell>
          <cell r="E114">
            <v>2.59186055432786E-2</v>
          </cell>
        </row>
        <row r="115">
          <cell r="A115" t="str">
            <v>CAD_CDOR_3M_EOD</v>
          </cell>
          <cell r="C115">
            <v>51383</v>
          </cell>
          <cell r="E115">
            <v>2.6186435350294301E-2</v>
          </cell>
        </row>
        <row r="116">
          <cell r="A116" t="str">
            <v>CAD_CDOR_3M_EOD</v>
          </cell>
          <cell r="C116">
            <v>53206</v>
          </cell>
          <cell r="E116">
            <v>2.62996111796958E-2</v>
          </cell>
        </row>
        <row r="117">
          <cell r="A117" t="str">
            <v>CAD_CDOR_EOD</v>
          </cell>
          <cell r="C117">
            <v>42249</v>
          </cell>
          <cell r="E117">
            <v>5.9559514060638502E-3</v>
          </cell>
        </row>
        <row r="118">
          <cell r="A118" t="str">
            <v>CAD_CDOR_EOD</v>
          </cell>
          <cell r="C118">
            <v>42255</v>
          </cell>
          <cell r="E118">
            <v>6.2626583742204497E-3</v>
          </cell>
        </row>
        <row r="119">
          <cell r="A119" t="str">
            <v>CAD_CDOR_EOD</v>
          </cell>
          <cell r="C119">
            <v>42352</v>
          </cell>
          <cell r="E119">
            <v>6.9514933675636397E-3</v>
          </cell>
        </row>
        <row r="120">
          <cell r="A120" t="str">
            <v>CAD_CDOR_EOD</v>
          </cell>
          <cell r="C120">
            <v>42443</v>
          </cell>
          <cell r="E120">
            <v>6.6204619285027003E-3</v>
          </cell>
        </row>
        <row r="121">
          <cell r="A121" t="str">
            <v>CAD_CDOR_EOD</v>
          </cell>
          <cell r="C121">
            <v>42534</v>
          </cell>
          <cell r="E121">
            <v>6.4670305666772497E-3</v>
          </cell>
        </row>
        <row r="122">
          <cell r="A122" t="str">
            <v>CAD_CDOR_EOD</v>
          </cell>
          <cell r="C122">
            <v>42632</v>
          </cell>
          <cell r="E122">
            <v>6.4450406475717297E-3</v>
          </cell>
        </row>
        <row r="123">
          <cell r="A123" t="str">
            <v>CAD_CDOR_EOD</v>
          </cell>
          <cell r="C123">
            <v>42979</v>
          </cell>
          <cell r="E123">
            <v>7.1648916747094797E-3</v>
          </cell>
        </row>
        <row r="124">
          <cell r="A124" t="str">
            <v>CAD_CDOR_EOD</v>
          </cell>
          <cell r="C124">
            <v>43347</v>
          </cell>
          <cell r="E124">
            <v>8.3072008414432404E-3</v>
          </cell>
        </row>
        <row r="125">
          <cell r="A125" t="str">
            <v>CAD_CDOR_EOD</v>
          </cell>
          <cell r="C125">
            <v>43711</v>
          </cell>
          <cell r="E125">
            <v>9.6394675043626008E-3</v>
          </cell>
        </row>
        <row r="126">
          <cell r="A126" t="str">
            <v>CAD_CDOR_EOD</v>
          </cell>
          <cell r="C126">
            <v>44075</v>
          </cell>
          <cell r="E126">
            <v>1.11971927763819E-2</v>
          </cell>
        </row>
        <row r="127">
          <cell r="A127" t="str">
            <v>CAD_CDOR_EOD</v>
          </cell>
          <cell r="C127">
            <v>44440</v>
          </cell>
          <cell r="E127">
            <v>1.2964584264948099E-2</v>
          </cell>
        </row>
        <row r="128">
          <cell r="A128" t="str">
            <v>CAD_CDOR_EOD</v>
          </cell>
          <cell r="C128">
            <v>44805</v>
          </cell>
          <cell r="E128">
            <v>1.48091311371221E-2</v>
          </cell>
        </row>
        <row r="129">
          <cell r="A129" t="str">
            <v>CAD_CDOR_EOD</v>
          </cell>
          <cell r="C129">
            <v>45170</v>
          </cell>
          <cell r="E129">
            <v>1.65523467637014E-2</v>
          </cell>
        </row>
        <row r="130">
          <cell r="A130" t="str">
            <v>CAD_CDOR_EOD</v>
          </cell>
          <cell r="C130">
            <v>45538</v>
          </cell>
          <cell r="E130">
            <v>1.8162926725520299E-2</v>
          </cell>
        </row>
        <row r="131">
          <cell r="A131" t="str">
            <v>CAD_CDOR_EOD</v>
          </cell>
          <cell r="C131">
            <v>45902</v>
          </cell>
          <cell r="E131">
            <v>1.9577705941070601E-2</v>
          </cell>
        </row>
        <row r="132">
          <cell r="A132" t="str">
            <v>CAD_CDOR_EOD</v>
          </cell>
          <cell r="C132">
            <v>46631</v>
          </cell>
          <cell r="E132">
            <v>2.1970757949708899E-2</v>
          </cell>
        </row>
        <row r="133">
          <cell r="A133" t="str">
            <v>CAD_CDOR_EOD</v>
          </cell>
          <cell r="C133">
            <v>47729</v>
          </cell>
          <cell r="E133">
            <v>2.4485966812743499E-2</v>
          </cell>
        </row>
        <row r="134">
          <cell r="A134" t="str">
            <v>CAD_CDOR_EOD</v>
          </cell>
          <cell r="C134">
            <v>49556</v>
          </cell>
          <cell r="E134">
            <v>2.6062016213940099E-2</v>
          </cell>
        </row>
        <row r="135">
          <cell r="A135" t="str">
            <v>CAD_CDOR_EOD</v>
          </cell>
          <cell r="C135">
            <v>51383</v>
          </cell>
          <cell r="E135">
            <v>2.6317091240113302E-2</v>
          </cell>
        </row>
        <row r="136">
          <cell r="A136" t="str">
            <v>CAD_CDOR_EOD</v>
          </cell>
          <cell r="C136">
            <v>53206</v>
          </cell>
          <cell r="E136">
            <v>2.6419834888289698E-2</v>
          </cell>
        </row>
        <row r="137">
          <cell r="A137" t="str">
            <v>CAD_CORRA_EOD</v>
          </cell>
          <cell r="C137">
            <v>42249</v>
          </cell>
          <cell r="E137">
            <v>5.9559514060638502E-3</v>
          </cell>
        </row>
        <row r="138">
          <cell r="A138" t="str">
            <v>CAD_CORRA_EOD</v>
          </cell>
          <cell r="C138">
            <v>42256</v>
          </cell>
          <cell r="E138">
            <v>5.2417722690230196E-3</v>
          </cell>
        </row>
        <row r="139">
          <cell r="A139" t="str">
            <v>CAD_CORRA_EOD</v>
          </cell>
          <cell r="C139">
            <v>42279</v>
          </cell>
          <cell r="E139">
            <v>4.6428990422103999E-3</v>
          </cell>
        </row>
        <row r="140">
          <cell r="A140" t="str">
            <v>CAD_CORRA_EOD</v>
          </cell>
          <cell r="C140">
            <v>42310</v>
          </cell>
          <cell r="E140">
            <v>4.4759394337750003E-3</v>
          </cell>
        </row>
        <row r="141">
          <cell r="A141" t="str">
            <v>CAD_CORRA_EOD</v>
          </cell>
          <cell r="C141">
            <v>42340</v>
          </cell>
          <cell r="E141">
            <v>4.3239551550740603E-3</v>
          </cell>
        </row>
        <row r="142">
          <cell r="A142" t="str">
            <v>CAD_CORRA_EOD</v>
          </cell>
          <cell r="C142">
            <v>42373</v>
          </cell>
          <cell r="E142">
            <v>4.1615482740139402E-3</v>
          </cell>
        </row>
        <row r="143">
          <cell r="A143" t="str">
            <v>CAD_CORRA_EOD</v>
          </cell>
          <cell r="C143">
            <v>42402</v>
          </cell>
          <cell r="E143">
            <v>4.0490464596986903E-3</v>
          </cell>
        </row>
        <row r="144">
          <cell r="A144" t="str">
            <v>CAD_CORRA_EOD</v>
          </cell>
          <cell r="C144">
            <v>42431</v>
          </cell>
          <cell r="E144">
            <v>3.9339375297102203E-3</v>
          </cell>
        </row>
        <row r="145">
          <cell r="A145" t="str">
            <v>CAD_CORRA_EOD</v>
          </cell>
          <cell r="C145">
            <v>42464</v>
          </cell>
          <cell r="E145">
            <v>3.8454798025403599E-3</v>
          </cell>
        </row>
        <row r="146">
          <cell r="A146" t="str">
            <v>CAD_CORRA_EOD</v>
          </cell>
          <cell r="C146">
            <v>42492</v>
          </cell>
          <cell r="E146">
            <v>3.7891559831078202E-3</v>
          </cell>
        </row>
        <row r="147">
          <cell r="A147" t="str">
            <v>CAD_CORRA_EOD</v>
          </cell>
          <cell r="C147">
            <v>42523</v>
          </cell>
          <cell r="E147">
            <v>3.74614863295754E-3</v>
          </cell>
        </row>
        <row r="148">
          <cell r="A148" t="str">
            <v>CAD_CORRA_EOD</v>
          </cell>
          <cell r="C148">
            <v>42555</v>
          </cell>
          <cell r="E148">
            <v>3.72151336347711E-3</v>
          </cell>
        </row>
        <row r="149">
          <cell r="A149" t="str">
            <v>CAD_CORRA_EOD</v>
          </cell>
          <cell r="C149">
            <v>42584</v>
          </cell>
          <cell r="E149">
            <v>3.7104010353827301E-3</v>
          </cell>
        </row>
        <row r="150">
          <cell r="A150" t="str">
            <v>CAD_CORRA_EOD</v>
          </cell>
          <cell r="C150">
            <v>42615</v>
          </cell>
          <cell r="E150">
            <v>3.70428677106304E-3</v>
          </cell>
        </row>
        <row r="151">
          <cell r="A151" t="str">
            <v>CAD_CORRA_EOD</v>
          </cell>
          <cell r="C151">
            <v>42796</v>
          </cell>
          <cell r="E151">
            <v>3.9467929464496003E-3</v>
          </cell>
        </row>
        <row r="152">
          <cell r="A152" t="str">
            <v>CAD_CORRA_EOD</v>
          </cell>
          <cell r="C152">
            <v>42983</v>
          </cell>
          <cell r="E152">
            <v>4.4090284637123599E-3</v>
          </cell>
        </row>
        <row r="153">
          <cell r="A153" t="str">
            <v>CAD_CORRA_EOD</v>
          </cell>
          <cell r="C153">
            <v>43347</v>
          </cell>
          <cell r="E153">
            <v>5.5633617762407498E-3</v>
          </cell>
        </row>
        <row r="154">
          <cell r="A154" t="str">
            <v>CAD_CORRA_EOD</v>
          </cell>
          <cell r="C154">
            <v>43711</v>
          </cell>
          <cell r="E154">
            <v>6.8580891188661803E-3</v>
          </cell>
        </row>
        <row r="155">
          <cell r="A155" t="str">
            <v>CAD_CORRA_EOD</v>
          </cell>
          <cell r="C155">
            <v>44076</v>
          </cell>
          <cell r="E155">
            <v>8.3760862719767393E-3</v>
          </cell>
        </row>
        <row r="156">
          <cell r="A156" t="str">
            <v>CAD_CORRA_EOD</v>
          </cell>
          <cell r="C156">
            <v>44806</v>
          </cell>
          <cell r="E156">
            <v>1.1986349509806E-2</v>
          </cell>
        </row>
        <row r="157">
          <cell r="A157" t="str">
            <v>CAD_CORRA_EOD</v>
          </cell>
          <cell r="C157">
            <v>45902</v>
          </cell>
          <cell r="E157">
            <v>1.6721487377680901E-2</v>
          </cell>
        </row>
        <row r="158">
          <cell r="A158" t="str">
            <v>CAD_CORRA_EOD</v>
          </cell>
          <cell r="C158">
            <v>46632</v>
          </cell>
          <cell r="E158">
            <v>1.9182328704847401E-2</v>
          </cell>
        </row>
        <row r="159">
          <cell r="A159" t="str">
            <v>CAD_CORRA_EOD</v>
          </cell>
          <cell r="C159">
            <v>47729</v>
          </cell>
          <cell r="E159">
            <v>2.16195168539631E-2</v>
          </cell>
        </row>
        <row r="160">
          <cell r="A160" t="str">
            <v>CAD_CORRA_EOD</v>
          </cell>
          <cell r="C160">
            <v>49556</v>
          </cell>
          <cell r="E160">
            <v>2.3214048280118801E-2</v>
          </cell>
        </row>
        <row r="161">
          <cell r="A161" t="str">
            <v>CAD_CORRA_EOD</v>
          </cell>
          <cell r="C161">
            <v>53210</v>
          </cell>
          <cell r="E161">
            <v>2.3639637179275801E-2</v>
          </cell>
        </row>
        <row r="162">
          <cell r="A162" t="str">
            <v>CHF_LIBOR_12M_EOD</v>
          </cell>
          <cell r="C162">
            <v>42618</v>
          </cell>
          <cell r="E162">
            <v>-5.7042884408374803E-3</v>
          </cell>
        </row>
        <row r="163">
          <cell r="A163" t="str">
            <v>CHF_LIBOR_12M_EOD</v>
          </cell>
          <cell r="C163">
            <v>42982</v>
          </cell>
          <cell r="E163">
            <v>-5.0737568442869498E-3</v>
          </cell>
        </row>
        <row r="164">
          <cell r="A164" t="str">
            <v>CHF_LIBOR_12M_EOD</v>
          </cell>
          <cell r="C164">
            <v>43346</v>
          </cell>
          <cell r="E164">
            <v>-4.2112398192286401E-3</v>
          </cell>
        </row>
        <row r="165">
          <cell r="A165" t="str">
            <v>CHF_LIBOR_12M_EOD</v>
          </cell>
          <cell r="C165">
            <v>43711</v>
          </cell>
          <cell r="E165">
            <v>-3.0692403518600801E-3</v>
          </cell>
        </row>
        <row r="166">
          <cell r="A166" t="str">
            <v>CHF_LIBOR_12M_EOD</v>
          </cell>
          <cell r="C166">
            <v>44077</v>
          </cell>
          <cell r="E166">
            <v>-1.7110398941126001E-3</v>
          </cell>
        </row>
        <row r="167">
          <cell r="A167" t="str">
            <v>CHF_LIBOR_12M_EOD</v>
          </cell>
          <cell r="C167">
            <v>44442</v>
          </cell>
          <cell r="E167">
            <v>-3.0696937788254002E-4</v>
          </cell>
        </row>
        <row r="168">
          <cell r="A168" t="str">
            <v>CHF_LIBOR_12M_EOD</v>
          </cell>
          <cell r="C168">
            <v>44809</v>
          </cell>
          <cell r="E168">
            <v>1.0518549611893901E-3</v>
          </cell>
        </row>
        <row r="169">
          <cell r="A169" t="str">
            <v>CHF_LIBOR_12M_EOD</v>
          </cell>
          <cell r="C169">
            <v>45173</v>
          </cell>
          <cell r="E169">
            <v>2.2433977643007801E-3</v>
          </cell>
        </row>
        <row r="170">
          <cell r="A170" t="str">
            <v>CHF_LIBOR_12M_EOD</v>
          </cell>
          <cell r="C170">
            <v>45538</v>
          </cell>
          <cell r="E170">
            <v>3.2638803286616199E-3</v>
          </cell>
        </row>
        <row r="171">
          <cell r="A171" t="str">
            <v>CHF_LIBOR_12M_EOD</v>
          </cell>
          <cell r="C171">
            <v>45903</v>
          </cell>
          <cell r="E171">
            <v>4.0982958700199103E-3</v>
          </cell>
        </row>
        <row r="172">
          <cell r="A172" t="str">
            <v>CHF_LIBOR_12M_EOD</v>
          </cell>
          <cell r="C172">
            <v>46633</v>
          </cell>
          <cell r="E172">
            <v>5.5259856518664599E-3</v>
          </cell>
        </row>
        <row r="173">
          <cell r="A173" t="str">
            <v>CHF_LIBOR_12M_EOD</v>
          </cell>
          <cell r="C173">
            <v>47729</v>
          </cell>
          <cell r="E173">
            <v>6.9740206785813899E-3</v>
          </cell>
        </row>
        <row r="174">
          <cell r="A174" t="str">
            <v>CHF_LIBOR_12M_EOD</v>
          </cell>
          <cell r="C174">
            <v>49555</v>
          </cell>
          <cell r="E174">
            <v>8.4232409530464302E-3</v>
          </cell>
        </row>
        <row r="175">
          <cell r="A175" t="str">
            <v>CHF_LIBOR_12M_EOD</v>
          </cell>
          <cell r="C175">
            <v>51382</v>
          </cell>
          <cell r="E175">
            <v>9.0401561047358508E-3</v>
          </cell>
        </row>
        <row r="176">
          <cell r="A176" t="str">
            <v>CHF_LIBOR_12M_EOD</v>
          </cell>
          <cell r="C176">
            <v>53209</v>
          </cell>
          <cell r="E176">
            <v>9.2965224574546902E-3</v>
          </cell>
        </row>
        <row r="177">
          <cell r="A177" t="str">
            <v>CHF_LIBOR_12M_EOD</v>
          </cell>
          <cell r="C177">
            <v>56860</v>
          </cell>
          <cell r="E177">
            <v>9.9121605411053894E-3</v>
          </cell>
        </row>
        <row r="178">
          <cell r="A178" t="str">
            <v>CHF_LIBOR_3M_EOD</v>
          </cell>
          <cell r="C178">
            <v>42341</v>
          </cell>
          <cell r="E178">
            <v>-7.3472807782197103E-3</v>
          </cell>
        </row>
        <row r="179">
          <cell r="A179" t="str">
            <v>CHF_LIBOR_3M_EOD</v>
          </cell>
          <cell r="C179">
            <v>42354</v>
          </cell>
          <cell r="E179">
            <v>-7.3996017709860099E-3</v>
          </cell>
        </row>
        <row r="180">
          <cell r="A180" t="str">
            <v>CHF_LIBOR_3M_EOD</v>
          </cell>
          <cell r="C180">
            <v>42445</v>
          </cell>
          <cell r="E180">
            <v>-7.4514456856607401E-3</v>
          </cell>
        </row>
        <row r="181">
          <cell r="A181" t="str">
            <v>CHF_LIBOR_3M_EOD</v>
          </cell>
          <cell r="C181">
            <v>42536</v>
          </cell>
          <cell r="E181">
            <v>-7.5036116932333903E-3</v>
          </cell>
        </row>
        <row r="182">
          <cell r="A182" t="str">
            <v>CHF_LIBOR_3M_EOD</v>
          </cell>
          <cell r="C182">
            <v>42634</v>
          </cell>
          <cell r="E182">
            <v>-7.5072665910552701E-3</v>
          </cell>
        </row>
        <row r="183">
          <cell r="A183" t="str">
            <v>CHF_LIBOR_3M_EOD</v>
          </cell>
          <cell r="C183">
            <v>42982</v>
          </cell>
          <cell r="E183">
            <v>-7.2538393043682396E-3</v>
          </cell>
        </row>
        <row r="184">
          <cell r="A184" t="str">
            <v>CHF_LIBOR_3M_EOD</v>
          </cell>
          <cell r="C184">
            <v>43346</v>
          </cell>
          <cell r="E184">
            <v>-6.5657174209110504E-3</v>
          </cell>
        </row>
        <row r="185">
          <cell r="A185" t="str">
            <v>CHF_LIBOR_3M_EOD</v>
          </cell>
          <cell r="C185">
            <v>43711</v>
          </cell>
          <cell r="E185">
            <v>-5.5228113365364496E-3</v>
          </cell>
        </row>
        <row r="186">
          <cell r="A186" t="str">
            <v>CHF_LIBOR_3M_EOD</v>
          </cell>
          <cell r="C186">
            <v>44077</v>
          </cell>
          <cell r="E186">
            <v>-4.2357390256022196E-3</v>
          </cell>
        </row>
        <row r="187">
          <cell r="A187" t="str">
            <v>CHF_LIBOR_3M_EOD</v>
          </cell>
          <cell r="C187">
            <v>44442</v>
          </cell>
          <cell r="E187">
            <v>-2.85403318272389E-3</v>
          </cell>
        </row>
        <row r="188">
          <cell r="A188" t="str">
            <v>CHF_LIBOR_3M_EOD</v>
          </cell>
          <cell r="C188">
            <v>44809</v>
          </cell>
          <cell r="E188">
            <v>-1.4923674606741699E-3</v>
          </cell>
        </row>
        <row r="189">
          <cell r="A189" t="str">
            <v>CHF_LIBOR_3M_EOD</v>
          </cell>
          <cell r="C189">
            <v>45173</v>
          </cell>
          <cell r="E189">
            <v>-2.7312118975850001E-4</v>
          </cell>
        </row>
        <row r="190">
          <cell r="A190" t="str">
            <v>CHF_LIBOR_3M_EOD</v>
          </cell>
          <cell r="C190">
            <v>45538</v>
          </cell>
          <cell r="E190">
            <v>7.5009123178469998E-4</v>
          </cell>
        </row>
        <row r="191">
          <cell r="A191" t="str">
            <v>CHF_LIBOR_3M_EOD</v>
          </cell>
          <cell r="C191">
            <v>45903</v>
          </cell>
          <cell r="E191">
            <v>1.6368255029875101E-3</v>
          </cell>
        </row>
        <row r="192">
          <cell r="A192" t="str">
            <v>CHF_LIBOR_3M_EOD</v>
          </cell>
          <cell r="C192">
            <v>46633</v>
          </cell>
          <cell r="E192">
            <v>3.1436867370956299E-3</v>
          </cell>
        </row>
        <row r="193">
          <cell r="A193" t="str">
            <v>CHF_LIBOR_3M_EOD</v>
          </cell>
          <cell r="C193">
            <v>47729</v>
          </cell>
          <cell r="E193">
            <v>4.7499298964727996E-3</v>
          </cell>
        </row>
        <row r="194">
          <cell r="A194" t="str">
            <v>CHF_LIBOR_3M_EOD</v>
          </cell>
          <cell r="C194">
            <v>49555</v>
          </cell>
          <cell r="E194">
            <v>6.4120977268286904E-3</v>
          </cell>
        </row>
        <row r="195">
          <cell r="A195" t="str">
            <v>CHF_LIBOR_3M_EOD</v>
          </cell>
          <cell r="C195">
            <v>51382</v>
          </cell>
          <cell r="E195">
            <v>7.1350869443452302E-3</v>
          </cell>
        </row>
        <row r="196">
          <cell r="A196" t="str">
            <v>CHF_LIBOR_3M_EOD</v>
          </cell>
          <cell r="C196">
            <v>53209</v>
          </cell>
          <cell r="E196">
            <v>7.4717039055048097E-3</v>
          </cell>
        </row>
        <row r="197">
          <cell r="A197" t="str">
            <v>CHF_LIBOR_3M_EOD</v>
          </cell>
          <cell r="C197">
            <v>56860</v>
          </cell>
          <cell r="E197">
            <v>7.4297897421056903E-3</v>
          </cell>
        </row>
        <row r="198">
          <cell r="A198" t="str">
            <v>CHF_LIBOR_6M_EOD</v>
          </cell>
          <cell r="C198">
            <v>42432</v>
          </cell>
          <cell r="E198">
            <v>-6.8452802016115604E-3</v>
          </cell>
        </row>
        <row r="199">
          <cell r="A199" t="str">
            <v>CHF_LIBOR_6M_EOD</v>
          </cell>
          <cell r="C199">
            <v>42618</v>
          </cell>
          <cell r="E199">
            <v>-6.7078347256213098E-3</v>
          </cell>
        </row>
        <row r="200">
          <cell r="A200" t="str">
            <v>CHF_LIBOR_6M_EOD</v>
          </cell>
          <cell r="C200">
            <v>42797</v>
          </cell>
          <cell r="E200">
            <v>-6.5473405258792703E-3</v>
          </cell>
        </row>
        <row r="201">
          <cell r="A201" t="str">
            <v>CHF_LIBOR_6M_EOD</v>
          </cell>
          <cell r="C201">
            <v>42982</v>
          </cell>
          <cell r="E201">
            <v>-6.30262680479436E-3</v>
          </cell>
        </row>
        <row r="202">
          <cell r="A202" t="str">
            <v>CHF_LIBOR_6M_EOD</v>
          </cell>
          <cell r="C202">
            <v>43346</v>
          </cell>
          <cell r="E202">
            <v>-5.4908220483768201E-3</v>
          </cell>
        </row>
        <row r="203">
          <cell r="A203" t="str">
            <v>CHF_LIBOR_6M_EOD</v>
          </cell>
          <cell r="C203">
            <v>43711</v>
          </cell>
          <cell r="E203">
            <v>-4.3737453098460803E-3</v>
          </cell>
        </row>
        <row r="204">
          <cell r="A204" t="str">
            <v>CHF_LIBOR_6M_EOD</v>
          </cell>
          <cell r="C204">
            <v>44077</v>
          </cell>
          <cell r="E204">
            <v>-3.03770577017007E-3</v>
          </cell>
        </row>
        <row r="205">
          <cell r="A205" t="str">
            <v>CHF_LIBOR_6M_EOD</v>
          </cell>
          <cell r="C205">
            <v>44442</v>
          </cell>
          <cell r="E205">
            <v>-1.6067141831758299E-3</v>
          </cell>
        </row>
        <row r="206">
          <cell r="A206" t="str">
            <v>CHF_LIBOR_6M_EOD</v>
          </cell>
          <cell r="C206">
            <v>44809</v>
          </cell>
          <cell r="E206">
            <v>-2.2078731611553001E-4</v>
          </cell>
        </row>
        <row r="207">
          <cell r="A207" t="str">
            <v>CHF_LIBOR_6M_EOD</v>
          </cell>
          <cell r="C207">
            <v>45173</v>
          </cell>
          <cell r="E207">
            <v>9.969785756344799E-4</v>
          </cell>
        </row>
        <row r="208">
          <cell r="A208" t="str">
            <v>CHF_LIBOR_6M_EOD</v>
          </cell>
          <cell r="C208">
            <v>45538</v>
          </cell>
          <cell r="E208">
            <v>1.9943660721131202E-3</v>
          </cell>
        </row>
        <row r="209">
          <cell r="A209" t="str">
            <v>CHF_LIBOR_6M_EOD</v>
          </cell>
          <cell r="C209">
            <v>45903</v>
          </cell>
          <cell r="E209">
            <v>2.8553206297904001E-3</v>
          </cell>
        </row>
        <row r="210">
          <cell r="A210" t="str">
            <v>CHF_LIBOR_6M_EOD</v>
          </cell>
          <cell r="C210">
            <v>46633</v>
          </cell>
          <cell r="E210">
            <v>4.2592386943655003E-3</v>
          </cell>
        </row>
        <row r="211">
          <cell r="A211" t="str">
            <v>CHF_LIBOR_6M_EOD</v>
          </cell>
          <cell r="C211">
            <v>47729</v>
          </cell>
          <cell r="E211">
            <v>5.6838492205581702E-3</v>
          </cell>
        </row>
        <row r="212">
          <cell r="A212" t="str">
            <v>CHF_LIBOR_6M_EOD</v>
          </cell>
          <cell r="C212">
            <v>49555</v>
          </cell>
          <cell r="E212">
            <v>7.1356121181913304E-3</v>
          </cell>
        </row>
        <row r="213">
          <cell r="A213" t="str">
            <v>CHF_LIBOR_6M_EOD</v>
          </cell>
          <cell r="C213">
            <v>51382</v>
          </cell>
          <cell r="E213">
            <v>7.7533761176277402E-3</v>
          </cell>
        </row>
        <row r="214">
          <cell r="A214" t="str">
            <v>CHF_LIBOR_6M_EOD</v>
          </cell>
          <cell r="C214">
            <v>53209</v>
          </cell>
          <cell r="E214">
            <v>8.0101946181043993E-3</v>
          </cell>
        </row>
        <row r="215">
          <cell r="A215" t="str">
            <v>CHF_LIBOR_6M_EOD</v>
          </cell>
          <cell r="C215">
            <v>56860</v>
          </cell>
          <cell r="E215">
            <v>7.9763457538514094E-3</v>
          </cell>
        </row>
        <row r="216">
          <cell r="A216" t="str">
            <v>CHF_LIBOR_EOD</v>
          </cell>
          <cell r="C216">
            <v>42249</v>
          </cell>
          <cell r="E216">
            <v>-7.86786257617598E-3</v>
          </cell>
        </row>
        <row r="217">
          <cell r="A217" t="str">
            <v>CHF_LIBOR_EOD</v>
          </cell>
          <cell r="C217">
            <v>42250</v>
          </cell>
          <cell r="E217">
            <v>-7.8678625761991802E-3</v>
          </cell>
        </row>
        <row r="218">
          <cell r="A218" t="str">
            <v>CHF_LIBOR_EOD</v>
          </cell>
          <cell r="C218">
            <v>42257</v>
          </cell>
          <cell r="E218">
            <v>-8.0654336342850207E-3</v>
          </cell>
        </row>
        <row r="219">
          <cell r="A219" t="str">
            <v>CHF_LIBOR_EOD</v>
          </cell>
          <cell r="C219">
            <v>42354</v>
          </cell>
          <cell r="E219">
            <v>-7.4962449752523303E-3</v>
          </cell>
        </row>
        <row r="220">
          <cell r="A220" t="str">
            <v>CHF_LIBOR_EOD</v>
          </cell>
          <cell r="C220">
            <v>42445</v>
          </cell>
          <cell r="E220">
            <v>-7.5034465976009596E-3</v>
          </cell>
        </row>
        <row r="221">
          <cell r="A221" t="str">
            <v>CHF_LIBOR_EOD</v>
          </cell>
          <cell r="C221">
            <v>42536</v>
          </cell>
          <cell r="E221">
            <v>-7.5391817614702799E-3</v>
          </cell>
        </row>
        <row r="222">
          <cell r="A222" t="str">
            <v>CHF_LIBOR_EOD</v>
          </cell>
          <cell r="C222">
            <v>42634</v>
          </cell>
          <cell r="E222">
            <v>-7.5338059165790698E-3</v>
          </cell>
        </row>
        <row r="223">
          <cell r="A223" t="str">
            <v>CHF_LIBOR_EOD</v>
          </cell>
          <cell r="C223">
            <v>42982</v>
          </cell>
          <cell r="E223">
            <v>-6.3070954213902504E-3</v>
          </cell>
        </row>
        <row r="224">
          <cell r="A224" t="str">
            <v>CHF_LIBOR_EOD</v>
          </cell>
          <cell r="C224">
            <v>43346</v>
          </cell>
          <cell r="E224">
            <v>-5.49114851472345E-3</v>
          </cell>
        </row>
        <row r="225">
          <cell r="A225" t="str">
            <v>CHF_LIBOR_EOD</v>
          </cell>
          <cell r="C225">
            <v>43711</v>
          </cell>
          <cell r="E225">
            <v>-4.3714395999554703E-3</v>
          </cell>
        </row>
        <row r="226">
          <cell r="A226" t="str">
            <v>CHF_LIBOR_EOD</v>
          </cell>
          <cell r="C226">
            <v>44077</v>
          </cell>
          <cell r="E226">
            <v>-3.0322008375166598E-3</v>
          </cell>
        </row>
        <row r="227">
          <cell r="A227" t="str">
            <v>CHF_LIBOR_EOD</v>
          </cell>
          <cell r="C227">
            <v>44442</v>
          </cell>
          <cell r="E227">
            <v>-1.5962875187080199E-3</v>
          </cell>
        </row>
        <row r="228">
          <cell r="A228" t="str">
            <v>CHF_LIBOR_EOD</v>
          </cell>
          <cell r="C228">
            <v>44809</v>
          </cell>
          <cell r="E228">
            <v>-2.0421259282221E-4</v>
          </cell>
        </row>
        <row r="229">
          <cell r="A229" t="str">
            <v>CHF_LIBOR_EOD</v>
          </cell>
          <cell r="C229">
            <v>45173</v>
          </cell>
          <cell r="E229">
            <v>1.02038334617255E-3</v>
          </cell>
        </row>
        <row r="230">
          <cell r="A230" t="str">
            <v>CHF_LIBOR_EOD</v>
          </cell>
          <cell r="C230">
            <v>45538</v>
          </cell>
          <cell r="E230">
            <v>2.02270409705179E-3</v>
          </cell>
        </row>
        <row r="231">
          <cell r="A231" t="str">
            <v>CHF_LIBOR_EOD</v>
          </cell>
          <cell r="C231">
            <v>45903</v>
          </cell>
          <cell r="E231">
            <v>2.8881926876016002E-3</v>
          </cell>
        </row>
        <row r="232">
          <cell r="A232" t="str">
            <v>CHF_LIBOR_EOD</v>
          </cell>
          <cell r="C232">
            <v>46633</v>
          </cell>
          <cell r="E232">
            <v>4.2987009130817299E-3</v>
          </cell>
        </row>
        <row r="233">
          <cell r="A233" t="str">
            <v>CHF_LIBOR_EOD</v>
          </cell>
          <cell r="C233">
            <v>47729</v>
          </cell>
          <cell r="E233">
            <v>5.7273326076173097E-3</v>
          </cell>
        </row>
        <row r="234">
          <cell r="A234" t="str">
            <v>CHF_LIBOR_EOD</v>
          </cell>
          <cell r="C234">
            <v>49555</v>
          </cell>
          <cell r="E234">
            <v>7.1804811813592096E-3</v>
          </cell>
        </row>
        <row r="235">
          <cell r="A235" t="str">
            <v>CHF_LIBOR_EOD</v>
          </cell>
          <cell r="C235">
            <v>51382</v>
          </cell>
          <cell r="E235">
            <v>7.7951099091956499E-3</v>
          </cell>
        </row>
        <row r="236">
          <cell r="A236" t="str">
            <v>CHF_LIBOR_EOD</v>
          </cell>
          <cell r="C236">
            <v>53209</v>
          </cell>
          <cell r="E236">
            <v>8.0479975814426192E-3</v>
          </cell>
        </row>
        <row r="237">
          <cell r="A237" t="str">
            <v>CHF_LIBOR_EOD</v>
          </cell>
          <cell r="C237">
            <v>56860</v>
          </cell>
          <cell r="E237">
            <v>8.0041458152344206E-3</v>
          </cell>
        </row>
        <row r="238">
          <cell r="A238" t="str">
            <v>CHF_TOIS_EOD</v>
          </cell>
          <cell r="C238">
            <v>42249</v>
          </cell>
          <cell r="E238">
            <v>-5.3229554799926601E-3</v>
          </cell>
        </row>
        <row r="239">
          <cell r="A239" t="str">
            <v>CHF_TOIS_EOD</v>
          </cell>
          <cell r="C239">
            <v>42250</v>
          </cell>
          <cell r="E239">
            <v>-5.3356292763885298E-3</v>
          </cell>
        </row>
        <row r="240">
          <cell r="A240" t="str">
            <v>CHF_TOIS_EOD</v>
          </cell>
          <cell r="C240">
            <v>42282</v>
          </cell>
          <cell r="E240">
            <v>-5.3964360658115803E-3</v>
          </cell>
        </row>
        <row r="241">
          <cell r="A241" t="str">
            <v>CHF_TOIS_EOD</v>
          </cell>
          <cell r="C241">
            <v>42311</v>
          </cell>
          <cell r="E241">
            <v>-5.5565239963930096E-3</v>
          </cell>
        </row>
        <row r="242">
          <cell r="A242" t="str">
            <v>CHF_TOIS_EOD</v>
          </cell>
          <cell r="C242">
            <v>42341</v>
          </cell>
          <cell r="E242">
            <v>-5.5948771548317497E-3</v>
          </cell>
        </row>
        <row r="243">
          <cell r="A243" t="str">
            <v>CHF_TOIS_EOD</v>
          </cell>
          <cell r="C243">
            <v>42373</v>
          </cell>
          <cell r="E243">
            <v>-5.6709912100449001E-3</v>
          </cell>
        </row>
        <row r="244">
          <cell r="A244" t="str">
            <v>CHF_TOIS_EOD</v>
          </cell>
          <cell r="C244">
            <v>42403</v>
          </cell>
          <cell r="E244">
            <v>-5.7364732752351703E-3</v>
          </cell>
        </row>
        <row r="245">
          <cell r="A245" t="str">
            <v>CHF_TOIS_EOD</v>
          </cell>
          <cell r="C245">
            <v>42432</v>
          </cell>
          <cell r="E245">
            <v>-5.7134525208048098E-3</v>
          </cell>
        </row>
        <row r="246">
          <cell r="A246" t="str">
            <v>CHF_TOIS_EOD</v>
          </cell>
          <cell r="C246">
            <v>42464</v>
          </cell>
          <cell r="E246">
            <v>-5.7209485341313199E-3</v>
          </cell>
        </row>
        <row r="247">
          <cell r="A247" t="str">
            <v>CHF_TOIS_EOD</v>
          </cell>
          <cell r="C247">
            <v>42493</v>
          </cell>
          <cell r="E247">
            <v>-5.7293975451705396E-3</v>
          </cell>
        </row>
        <row r="248">
          <cell r="A248" t="str">
            <v>CHF_TOIS_EOD</v>
          </cell>
          <cell r="C248">
            <v>42524</v>
          </cell>
          <cell r="E248">
            <v>-5.7442065311878801E-3</v>
          </cell>
        </row>
        <row r="249">
          <cell r="A249" t="str">
            <v>CHF_TOIS_EOD</v>
          </cell>
          <cell r="C249">
            <v>42555</v>
          </cell>
          <cell r="E249">
            <v>-5.7762680597046503E-3</v>
          </cell>
        </row>
        <row r="250">
          <cell r="A250" t="str">
            <v>CHF_TOIS_EOD</v>
          </cell>
          <cell r="C250">
            <v>42585</v>
          </cell>
          <cell r="E250">
            <v>-5.7445405719587297E-3</v>
          </cell>
        </row>
        <row r="251">
          <cell r="A251" t="str">
            <v>CHF_TOIS_EOD</v>
          </cell>
          <cell r="C251">
            <v>42618</v>
          </cell>
          <cell r="E251">
            <v>-5.8679662884228096E-3</v>
          </cell>
        </row>
        <row r="252">
          <cell r="A252" t="str">
            <v>CHF_TOIS_EOD</v>
          </cell>
          <cell r="C252">
            <v>42709</v>
          </cell>
          <cell r="E252">
            <v>-5.7965767450901496E-3</v>
          </cell>
        </row>
        <row r="253">
          <cell r="A253" t="str">
            <v>CHF_TOIS_EOD</v>
          </cell>
          <cell r="C253">
            <v>42797</v>
          </cell>
          <cell r="E253">
            <v>-5.7761838354643304E-3</v>
          </cell>
        </row>
        <row r="254">
          <cell r="A254" t="str">
            <v>CHF_TOIS_EOD</v>
          </cell>
          <cell r="C254">
            <v>42892</v>
          </cell>
          <cell r="E254">
            <v>-5.6913037886813199E-3</v>
          </cell>
        </row>
        <row r="255">
          <cell r="A255" t="str">
            <v>CHF_TOIS_EOD</v>
          </cell>
          <cell r="C255">
            <v>42982</v>
          </cell>
          <cell r="E255">
            <v>-5.6783223026969703E-3</v>
          </cell>
        </row>
        <row r="256">
          <cell r="A256" t="str">
            <v>CHF_TOIS_EOD</v>
          </cell>
          <cell r="C256">
            <v>43346</v>
          </cell>
          <cell r="E256">
            <v>-5.1114854587406104E-3</v>
          </cell>
        </row>
        <row r="257">
          <cell r="A257" t="str">
            <v>CHF_TOIS_EOD</v>
          </cell>
          <cell r="C257">
            <v>43711</v>
          </cell>
          <cell r="E257">
            <v>-4.4533738722714296E-3</v>
          </cell>
        </row>
        <row r="258">
          <cell r="A258" t="str">
            <v>CHF_TOIS_EOD</v>
          </cell>
          <cell r="C258">
            <v>44077</v>
          </cell>
          <cell r="E258">
            <v>-3.5724261554921002E-3</v>
          </cell>
        </row>
        <row r="259">
          <cell r="A259" t="str">
            <v>CHF_TOIS_EOD</v>
          </cell>
          <cell r="C259">
            <v>44442</v>
          </cell>
          <cell r="E259">
            <v>-2.4517832862455298E-3</v>
          </cell>
        </row>
        <row r="260">
          <cell r="A260" t="str">
            <v>CHF_TOIS_EOD</v>
          </cell>
          <cell r="C260">
            <v>44809</v>
          </cell>
          <cell r="E260">
            <v>-1.3070167868156899E-3</v>
          </cell>
        </row>
        <row r="261">
          <cell r="A261" t="str">
            <v>CHF_TOIS_EOD</v>
          </cell>
          <cell r="C261">
            <v>45173</v>
          </cell>
          <cell r="E261">
            <v>-2.3410272109846E-4</v>
          </cell>
        </row>
        <row r="262">
          <cell r="A262" t="str">
            <v>CHF_TOIS_EOD</v>
          </cell>
          <cell r="C262">
            <v>45538</v>
          </cell>
          <cell r="E262">
            <v>6.8959861039494003E-4</v>
          </cell>
        </row>
        <row r="263">
          <cell r="A263" t="str">
            <v>CHF_TOIS_EOD</v>
          </cell>
          <cell r="C263">
            <v>45903</v>
          </cell>
          <cell r="E263">
            <v>1.5141885913556E-3</v>
          </cell>
        </row>
        <row r="264">
          <cell r="A264" t="str">
            <v>CHF_TOIS_EOD</v>
          </cell>
          <cell r="C264">
            <v>46633</v>
          </cell>
          <cell r="E264">
            <v>2.9930899985206299E-3</v>
          </cell>
        </row>
        <row r="265">
          <cell r="A265" t="str">
            <v>CHF_TOIS_EOD</v>
          </cell>
          <cell r="C265">
            <v>47729</v>
          </cell>
          <cell r="E265">
            <v>4.53864093588216E-3</v>
          </cell>
        </row>
        <row r="266">
          <cell r="A266" t="str">
            <v>CHF_TOIS_EOD</v>
          </cell>
          <cell r="C266">
            <v>49555</v>
          </cell>
          <cell r="E266">
            <v>6.10121350513196E-3</v>
          </cell>
        </row>
        <row r="267">
          <cell r="A267" t="str">
            <v>CHF_TOIS_EOD</v>
          </cell>
          <cell r="C267">
            <v>51382</v>
          </cell>
          <cell r="E267">
            <v>6.8401731879962199E-3</v>
          </cell>
        </row>
        <row r="268">
          <cell r="A268" t="str">
            <v>CHF_TOIS_EOD</v>
          </cell>
          <cell r="C268">
            <v>53209</v>
          </cell>
          <cell r="E268">
            <v>7.0869758500447296E-3</v>
          </cell>
        </row>
        <row r="269">
          <cell r="A269" t="str">
            <v>CHF_TOIS_EOD</v>
          </cell>
          <cell r="C269">
            <v>56860</v>
          </cell>
          <cell r="E269">
            <v>6.8946908563918899E-3</v>
          </cell>
        </row>
        <row r="270">
          <cell r="A270" t="str">
            <v>CZK_PRIBOR_3M_EOD</v>
          </cell>
          <cell r="C270">
            <v>42341</v>
          </cell>
          <cell r="E270">
            <v>3.1418247318771202E-3</v>
          </cell>
        </row>
        <row r="271">
          <cell r="A271" t="str">
            <v>CZK_PRIBOR_3M_EOD</v>
          </cell>
          <cell r="C271">
            <v>42432</v>
          </cell>
          <cell r="E271">
            <v>3.1509937711797702E-3</v>
          </cell>
        </row>
        <row r="272">
          <cell r="A272" t="str">
            <v>CZK_PRIBOR_3M_EOD</v>
          </cell>
          <cell r="C272">
            <v>42524</v>
          </cell>
          <cell r="E272">
            <v>2.9953870937442801E-3</v>
          </cell>
        </row>
        <row r="273">
          <cell r="A273" t="str">
            <v>CZK_PRIBOR_3M_EOD</v>
          </cell>
          <cell r="C273">
            <v>42618</v>
          </cell>
          <cell r="E273">
            <v>2.86287842595986E-3</v>
          </cell>
        </row>
        <row r="274">
          <cell r="A274" t="str">
            <v>CZK_PRIBOR_3M_EOD</v>
          </cell>
          <cell r="C274">
            <v>42982</v>
          </cell>
          <cell r="E274">
            <v>2.66365321728262E-3</v>
          </cell>
        </row>
        <row r="275">
          <cell r="A275" t="str">
            <v>CZK_PRIBOR_3M_EOD</v>
          </cell>
          <cell r="C275">
            <v>43346</v>
          </cell>
          <cell r="E275">
            <v>3.4704392071134701E-3</v>
          </cell>
        </row>
        <row r="276">
          <cell r="A276" t="str">
            <v>CZK_PRIBOR_3M_EOD</v>
          </cell>
          <cell r="C276">
            <v>43711</v>
          </cell>
          <cell r="E276">
            <v>4.5532608320663897E-3</v>
          </cell>
        </row>
        <row r="277">
          <cell r="A277" t="str">
            <v>CZK_PRIBOR_3M_EOD</v>
          </cell>
          <cell r="C277">
            <v>44077</v>
          </cell>
          <cell r="E277">
            <v>5.6832723333570196E-3</v>
          </cell>
        </row>
        <row r="278">
          <cell r="A278" t="str">
            <v>CZK_PRIBOR_3M_EOD</v>
          </cell>
          <cell r="C278">
            <v>44442</v>
          </cell>
          <cell r="E278">
            <v>6.7271764228667404E-3</v>
          </cell>
        </row>
        <row r="279">
          <cell r="A279" t="str">
            <v>CZK_PRIBOR_3M_EOD</v>
          </cell>
          <cell r="C279">
            <v>44809</v>
          </cell>
          <cell r="E279">
            <v>7.6828314962268896E-3</v>
          </cell>
        </row>
        <row r="280">
          <cell r="A280" t="str">
            <v>CZK_PRIBOR_3M_EOD</v>
          </cell>
          <cell r="C280">
            <v>45173</v>
          </cell>
          <cell r="E280">
            <v>8.7067506914450601E-3</v>
          </cell>
        </row>
        <row r="281">
          <cell r="A281" t="str">
            <v>CZK_PRIBOR_3M_EOD</v>
          </cell>
          <cell r="C281">
            <v>45538</v>
          </cell>
          <cell r="E281">
            <v>9.7608635409761595E-3</v>
          </cell>
        </row>
        <row r="282">
          <cell r="A282" t="str">
            <v>CZK_PRIBOR_3M_EOD</v>
          </cell>
          <cell r="C282">
            <v>45903</v>
          </cell>
          <cell r="E282">
            <v>1.07031897902306E-2</v>
          </cell>
        </row>
        <row r="283">
          <cell r="A283" t="str">
            <v>CZK_PRIBOR_3M_EOD</v>
          </cell>
          <cell r="C283">
            <v>46633</v>
          </cell>
          <cell r="E283">
            <v>1.2142546444215301E-2</v>
          </cell>
        </row>
        <row r="284">
          <cell r="A284" t="str">
            <v>CZK_PRIBOR_3M_EOD</v>
          </cell>
          <cell r="C284">
            <v>47729</v>
          </cell>
          <cell r="E284">
            <v>1.4003846523039E-2</v>
          </cell>
        </row>
        <row r="285">
          <cell r="A285" t="str">
            <v>CZK_PRIBOR_3M_EOD</v>
          </cell>
          <cell r="C285">
            <v>49555</v>
          </cell>
          <cell r="E285">
            <v>1.5866109552213299E-2</v>
          </cell>
        </row>
        <row r="286">
          <cell r="A286" t="str">
            <v>CZK_PRIBOR_3M_EOD</v>
          </cell>
          <cell r="C286">
            <v>51382</v>
          </cell>
          <cell r="E286">
            <v>1.5874741349681299E-2</v>
          </cell>
        </row>
        <row r="287">
          <cell r="A287" t="str">
            <v>CZK_PRIBOR_3M_EOD</v>
          </cell>
          <cell r="C287">
            <v>53209</v>
          </cell>
          <cell r="E287">
            <v>1.59054818343877E-2</v>
          </cell>
        </row>
        <row r="288">
          <cell r="A288" t="str">
            <v>CZK_PRIBOR_6M_EOD</v>
          </cell>
          <cell r="C288">
            <v>42432</v>
          </cell>
          <cell r="E288">
            <v>3.9502736336967702E-3</v>
          </cell>
        </row>
        <row r="289">
          <cell r="A289" t="str">
            <v>CZK_PRIBOR_6M_EOD</v>
          </cell>
          <cell r="C289">
            <v>42618</v>
          </cell>
          <cell r="E289">
            <v>3.6704281479188298E-3</v>
          </cell>
        </row>
        <row r="290">
          <cell r="A290" t="str">
            <v>CZK_PRIBOR_6M_EOD</v>
          </cell>
          <cell r="C290">
            <v>42797</v>
          </cell>
          <cell r="E290">
            <v>3.5178214566577099E-3</v>
          </cell>
        </row>
        <row r="291">
          <cell r="A291" t="str">
            <v>CZK_PRIBOR_6M_EOD</v>
          </cell>
          <cell r="C291">
            <v>42982</v>
          </cell>
          <cell r="E291">
            <v>3.5915245330606399E-3</v>
          </cell>
        </row>
        <row r="292">
          <cell r="A292" t="str">
            <v>CZK_PRIBOR_6M_EOD</v>
          </cell>
          <cell r="C292">
            <v>43346</v>
          </cell>
          <cell r="E292">
            <v>4.3995552858431498E-3</v>
          </cell>
        </row>
        <row r="293">
          <cell r="A293" t="str">
            <v>CZK_PRIBOR_6M_EOD</v>
          </cell>
          <cell r="C293">
            <v>43711</v>
          </cell>
          <cell r="E293">
            <v>5.5494894562016896E-3</v>
          </cell>
        </row>
        <row r="294">
          <cell r="A294" t="str">
            <v>CZK_PRIBOR_6M_EOD</v>
          </cell>
          <cell r="C294">
            <v>44077</v>
          </cell>
          <cell r="E294">
            <v>6.7556850800713697E-3</v>
          </cell>
        </row>
        <row r="295">
          <cell r="A295" t="str">
            <v>CZK_PRIBOR_6M_EOD</v>
          </cell>
          <cell r="C295">
            <v>44442</v>
          </cell>
          <cell r="E295">
            <v>7.85206437404346E-3</v>
          </cell>
        </row>
        <row r="296">
          <cell r="A296" t="str">
            <v>CZK_PRIBOR_6M_EOD</v>
          </cell>
          <cell r="C296">
            <v>44809</v>
          </cell>
          <cell r="E296">
            <v>8.8899788743183293E-3</v>
          </cell>
        </row>
        <row r="297">
          <cell r="A297" t="str">
            <v>CZK_PRIBOR_6M_EOD</v>
          </cell>
          <cell r="C297">
            <v>45173</v>
          </cell>
          <cell r="E297">
            <v>9.9544733922398605E-3</v>
          </cell>
        </row>
        <row r="298">
          <cell r="A298" t="str">
            <v>CZK_PRIBOR_6M_EOD</v>
          </cell>
          <cell r="C298">
            <v>45538</v>
          </cell>
          <cell r="E298">
            <v>1.10820434913195E-2</v>
          </cell>
        </row>
        <row r="299">
          <cell r="A299" t="str">
            <v>CZK_PRIBOR_6M_EOD</v>
          </cell>
          <cell r="C299">
            <v>45903</v>
          </cell>
          <cell r="E299">
            <v>1.19779309864606E-2</v>
          </cell>
        </row>
        <row r="300">
          <cell r="A300" t="str">
            <v>CZK_PRIBOR_6M_EOD</v>
          </cell>
          <cell r="C300">
            <v>46633</v>
          </cell>
          <cell r="E300">
            <v>1.34680448318477E-2</v>
          </cell>
        </row>
        <row r="301">
          <cell r="A301" t="str">
            <v>CZK_PRIBOR_6M_EOD</v>
          </cell>
          <cell r="C301">
            <v>47729</v>
          </cell>
          <cell r="E301">
            <v>1.5214508150977E-2</v>
          </cell>
        </row>
        <row r="302">
          <cell r="A302" t="str">
            <v>CZK_PRIBOR_6M_EOD</v>
          </cell>
          <cell r="C302">
            <v>49555</v>
          </cell>
          <cell r="E302">
            <v>1.6889916896716501E-2</v>
          </cell>
        </row>
        <row r="303">
          <cell r="A303" t="str">
            <v>CZK_PRIBOR_6M_EOD</v>
          </cell>
          <cell r="C303">
            <v>51382</v>
          </cell>
          <cell r="E303">
            <v>1.6744166716958199E-2</v>
          </cell>
        </row>
        <row r="304">
          <cell r="A304" t="str">
            <v>CZK_PRIBOR_6M_EOD</v>
          </cell>
          <cell r="C304">
            <v>53209</v>
          </cell>
          <cell r="E304">
            <v>1.6668517426351202E-2</v>
          </cell>
        </row>
        <row r="305">
          <cell r="A305" t="str">
            <v>CZK_PRIBOR_EOD</v>
          </cell>
          <cell r="C305">
            <v>42249</v>
          </cell>
          <cell r="E305">
            <v>1.4194416844029499E-3</v>
          </cell>
        </row>
        <row r="306">
          <cell r="A306" t="str">
            <v>CZK_PRIBOR_EOD</v>
          </cell>
          <cell r="C306">
            <v>42250</v>
          </cell>
          <cell r="E306">
            <v>1.4194416844152901E-3</v>
          </cell>
        </row>
        <row r="307">
          <cell r="A307" t="str">
            <v>CZK_PRIBOR_EOD</v>
          </cell>
          <cell r="C307">
            <v>42257</v>
          </cell>
          <cell r="E307">
            <v>1.4982846059457999E-3</v>
          </cell>
        </row>
        <row r="308">
          <cell r="A308" t="str">
            <v>CZK_PRIBOR_EOD</v>
          </cell>
          <cell r="C308">
            <v>42282</v>
          </cell>
          <cell r="E308">
            <v>2.1826377322307902E-3</v>
          </cell>
        </row>
        <row r="309">
          <cell r="A309" t="str">
            <v>CZK_PRIBOR_EOD</v>
          </cell>
          <cell r="C309">
            <v>42311</v>
          </cell>
          <cell r="E309">
            <v>2.4006673561561601E-3</v>
          </cell>
        </row>
        <row r="310">
          <cell r="A310" t="str">
            <v>CZK_PRIBOR_EOD</v>
          </cell>
          <cell r="C310">
            <v>42341</v>
          </cell>
          <cell r="E310">
            <v>3.1047842362323498E-3</v>
          </cell>
        </row>
        <row r="311">
          <cell r="A311" t="str">
            <v>CZK_PRIBOR_EOD</v>
          </cell>
          <cell r="C311">
            <v>42432</v>
          </cell>
          <cell r="E311">
            <v>3.13227221631599E-3</v>
          </cell>
        </row>
        <row r="312">
          <cell r="A312" t="str">
            <v>CZK_PRIBOR_EOD</v>
          </cell>
          <cell r="C312">
            <v>42524</v>
          </cell>
          <cell r="E312">
            <v>2.9829060571693001E-3</v>
          </cell>
        </row>
        <row r="313">
          <cell r="A313" t="str">
            <v>CZK_PRIBOR_EOD</v>
          </cell>
          <cell r="C313">
            <v>42618</v>
          </cell>
          <cell r="E313">
            <v>2.8535682473259101E-3</v>
          </cell>
        </row>
        <row r="314">
          <cell r="A314" t="str">
            <v>CZK_PRIBOR_EOD</v>
          </cell>
          <cell r="C314">
            <v>42982</v>
          </cell>
          <cell r="E314">
            <v>3.5882349194965601E-3</v>
          </cell>
        </row>
        <row r="315">
          <cell r="A315" t="str">
            <v>CZK_PRIBOR_EOD</v>
          </cell>
          <cell r="C315">
            <v>43346</v>
          </cell>
          <cell r="E315">
            <v>4.3999526075568897E-3</v>
          </cell>
        </row>
        <row r="316">
          <cell r="A316" t="str">
            <v>CZK_PRIBOR_EOD</v>
          </cell>
          <cell r="C316">
            <v>43711</v>
          </cell>
          <cell r="E316">
            <v>5.5503408344006102E-3</v>
          </cell>
        </row>
        <row r="317">
          <cell r="A317" t="str">
            <v>CZK_PRIBOR_EOD</v>
          </cell>
          <cell r="C317">
            <v>44077</v>
          </cell>
          <cell r="E317">
            <v>6.75636604289645E-3</v>
          </cell>
        </row>
        <row r="318">
          <cell r="A318" t="str">
            <v>CZK_PRIBOR_EOD</v>
          </cell>
          <cell r="C318">
            <v>44442</v>
          </cell>
          <cell r="E318">
            <v>7.8526320200833204E-3</v>
          </cell>
        </row>
        <row r="319">
          <cell r="A319" t="str">
            <v>CZK_PRIBOR_EOD</v>
          </cell>
          <cell r="C319">
            <v>44809</v>
          </cell>
          <cell r="E319">
            <v>8.8904651536955304E-3</v>
          </cell>
        </row>
        <row r="320">
          <cell r="A320" t="str">
            <v>CZK_PRIBOR_EOD</v>
          </cell>
          <cell r="C320">
            <v>45173</v>
          </cell>
          <cell r="E320">
            <v>9.9555104944149507E-3</v>
          </cell>
        </row>
        <row r="321">
          <cell r="A321" t="str">
            <v>CZK_PRIBOR_EOD</v>
          </cell>
          <cell r="C321">
            <v>45538</v>
          </cell>
          <cell r="E321">
            <v>1.10825402589403E-2</v>
          </cell>
        </row>
        <row r="322">
          <cell r="A322" t="str">
            <v>CZK_PRIBOR_EOD</v>
          </cell>
          <cell r="C322">
            <v>45903</v>
          </cell>
          <cell r="E322">
            <v>1.1978378133235001E-2</v>
          </cell>
        </row>
        <row r="323">
          <cell r="A323" t="str">
            <v>CZK_PRIBOR_EOD</v>
          </cell>
          <cell r="C323">
            <v>46633</v>
          </cell>
          <cell r="E323">
            <v>1.3468417459590799E-2</v>
          </cell>
        </row>
        <row r="324">
          <cell r="A324" t="str">
            <v>CZK_PRIBOR_EOD</v>
          </cell>
          <cell r="C324">
            <v>47729</v>
          </cell>
          <cell r="E324">
            <v>1.52143787727149E-2</v>
          </cell>
        </row>
        <row r="325">
          <cell r="A325" t="str">
            <v>CZK_PRIBOR_EOD</v>
          </cell>
          <cell r="C325">
            <v>49555</v>
          </cell>
          <cell r="E325">
            <v>1.6888130789041899E-2</v>
          </cell>
        </row>
        <row r="326">
          <cell r="A326" t="str">
            <v>CZK_PRIBOR_EOD</v>
          </cell>
          <cell r="C326">
            <v>51382</v>
          </cell>
          <cell r="E326">
            <v>1.6742822668920101E-2</v>
          </cell>
        </row>
        <row r="327">
          <cell r="A327" t="str">
            <v>CZK_PRIBOR_EOD</v>
          </cell>
          <cell r="C327">
            <v>53209</v>
          </cell>
          <cell r="E327">
            <v>1.6667418687833401E-2</v>
          </cell>
        </row>
        <row r="328">
          <cell r="A328" t="str">
            <v>DKK_CIBOR_3M_EOD</v>
          </cell>
          <cell r="C328">
            <v>42341</v>
          </cell>
          <cell r="E328">
            <v>-6.5908192467168997E-4</v>
          </cell>
        </row>
        <row r="329">
          <cell r="A329" t="str">
            <v>DKK_CIBOR_3M_EOD</v>
          </cell>
          <cell r="C329">
            <v>42354</v>
          </cell>
          <cell r="E329">
            <v>-2.7823426274375002E-4</v>
          </cell>
        </row>
        <row r="330">
          <cell r="A330" t="str">
            <v>DKK_CIBOR_3M_EOD</v>
          </cell>
          <cell r="C330">
            <v>42445</v>
          </cell>
          <cell r="E330">
            <v>1.1254461594626001E-4</v>
          </cell>
        </row>
        <row r="331">
          <cell r="A331" t="str">
            <v>DKK_CIBOR_3M_EOD</v>
          </cell>
          <cell r="C331">
            <v>42536</v>
          </cell>
          <cell r="E331">
            <v>4.1331777274341002E-4</v>
          </cell>
        </row>
        <row r="332">
          <cell r="A332" t="str">
            <v>DKK_CIBOR_3M_EOD</v>
          </cell>
          <cell r="C332">
            <v>42634</v>
          </cell>
          <cell r="E332">
            <v>6.9184859386966005E-4</v>
          </cell>
        </row>
        <row r="333">
          <cell r="A333" t="str">
            <v>DKK_CIBOR_3M_EOD</v>
          </cell>
          <cell r="C333">
            <v>42725</v>
          </cell>
          <cell r="E333">
            <v>9.4178043416529998E-4</v>
          </cell>
        </row>
        <row r="334">
          <cell r="A334" t="str">
            <v>DKK_CIBOR_3M_EOD</v>
          </cell>
          <cell r="C334">
            <v>42809</v>
          </cell>
          <cell r="E334">
            <v>1.18018512760609E-3</v>
          </cell>
        </row>
        <row r="335">
          <cell r="A335" t="str">
            <v>DKK_CIBOR_3M_EOD</v>
          </cell>
          <cell r="C335">
            <v>42982</v>
          </cell>
          <cell r="E335">
            <v>1.61522782879961E-3</v>
          </cell>
        </row>
        <row r="336">
          <cell r="A336" t="str">
            <v>DKK_CIBOR_3M_EOD</v>
          </cell>
          <cell r="C336">
            <v>43346</v>
          </cell>
          <cell r="E336">
            <v>2.95746456983118E-3</v>
          </cell>
        </row>
        <row r="337">
          <cell r="A337" t="str">
            <v>DKK_CIBOR_3M_EOD</v>
          </cell>
          <cell r="C337">
            <v>43711</v>
          </cell>
          <cell r="E337">
            <v>4.67488301901362E-3</v>
          </cell>
        </row>
        <row r="338">
          <cell r="A338" t="str">
            <v>DKK_CIBOR_3M_EOD</v>
          </cell>
          <cell r="C338">
            <v>44077</v>
          </cell>
          <cell r="E338">
            <v>6.3871588351163099E-3</v>
          </cell>
        </row>
        <row r="339">
          <cell r="A339" t="str">
            <v>DKK_CIBOR_3M_EOD</v>
          </cell>
          <cell r="C339">
            <v>44442</v>
          </cell>
          <cell r="E339">
            <v>7.9891689376848998E-3</v>
          </cell>
        </row>
        <row r="340">
          <cell r="A340" t="str">
            <v>DKK_CIBOR_3M_EOD</v>
          </cell>
          <cell r="C340">
            <v>44809</v>
          </cell>
          <cell r="E340">
            <v>9.5617915292545604E-3</v>
          </cell>
        </row>
        <row r="341">
          <cell r="A341" t="str">
            <v>DKK_CIBOR_3M_EOD</v>
          </cell>
          <cell r="C341">
            <v>45173</v>
          </cell>
          <cell r="E341">
            <v>1.1063034410472799E-2</v>
          </cell>
        </row>
        <row r="342">
          <cell r="A342" t="str">
            <v>DKK_CIBOR_3M_EOD</v>
          </cell>
          <cell r="C342">
            <v>45538</v>
          </cell>
          <cell r="E342">
            <v>1.2449543062090399E-2</v>
          </cell>
        </row>
        <row r="343">
          <cell r="A343" t="str">
            <v>DKK_CIBOR_3M_EOD</v>
          </cell>
          <cell r="C343">
            <v>45903</v>
          </cell>
          <cell r="E343">
            <v>1.366715211358E-2</v>
          </cell>
        </row>
        <row r="344">
          <cell r="A344" t="str">
            <v>DKK_CIBOR_3M_EOD</v>
          </cell>
          <cell r="C344">
            <v>46633</v>
          </cell>
          <cell r="E344">
            <v>1.5617354976036101E-2</v>
          </cell>
        </row>
        <row r="345">
          <cell r="A345" t="str">
            <v>DKK_CIBOR_3M_EOD</v>
          </cell>
          <cell r="C345">
            <v>47729</v>
          </cell>
          <cell r="E345">
            <v>1.7669903956354201E-2</v>
          </cell>
        </row>
        <row r="346">
          <cell r="A346" t="str">
            <v>DKK_CIBOR_3M_EOD</v>
          </cell>
          <cell r="C346">
            <v>49555</v>
          </cell>
          <cell r="E346">
            <v>1.9286176849041398E-2</v>
          </cell>
        </row>
        <row r="347">
          <cell r="A347" t="str">
            <v>DKK_CIBOR_3M_EOD</v>
          </cell>
          <cell r="C347">
            <v>51382</v>
          </cell>
          <cell r="E347">
            <v>1.9527693150872501E-2</v>
          </cell>
        </row>
        <row r="348">
          <cell r="A348" t="str">
            <v>DKK_CIBOR_3M_EOD</v>
          </cell>
          <cell r="C348">
            <v>53209</v>
          </cell>
          <cell r="E348">
            <v>1.9510867950166599E-2</v>
          </cell>
        </row>
        <row r="349">
          <cell r="A349" t="str">
            <v>DKK_CIBOR_6M_EOD</v>
          </cell>
          <cell r="C349">
            <v>42432</v>
          </cell>
          <cell r="E349">
            <v>1.5962395814196301E-3</v>
          </cell>
        </row>
        <row r="350">
          <cell r="A350" t="str">
            <v>DKK_CIBOR_6M_EOD</v>
          </cell>
          <cell r="C350">
            <v>42618</v>
          </cell>
          <cell r="E350">
            <v>2.2139580195172301E-3</v>
          </cell>
        </row>
        <row r="351">
          <cell r="A351" t="str">
            <v>DKK_CIBOR_6M_EOD</v>
          </cell>
          <cell r="C351">
            <v>42982</v>
          </cell>
          <cell r="E351">
            <v>3.2244846492742799E-3</v>
          </cell>
        </row>
        <row r="352">
          <cell r="A352" t="str">
            <v>DKK_CIBOR_6M_EOD</v>
          </cell>
          <cell r="C352">
            <v>43346</v>
          </cell>
          <cell r="E352">
            <v>4.4756293942276497E-3</v>
          </cell>
        </row>
        <row r="353">
          <cell r="A353" t="str">
            <v>DKK_CIBOR_6M_EOD</v>
          </cell>
          <cell r="C353">
            <v>43711</v>
          </cell>
          <cell r="E353">
            <v>6.1149213300975098E-3</v>
          </cell>
        </row>
        <row r="354">
          <cell r="A354" t="str">
            <v>DKK_CIBOR_6M_EOD</v>
          </cell>
          <cell r="C354">
            <v>44077</v>
          </cell>
          <cell r="E354">
            <v>7.7725749126425501E-3</v>
          </cell>
        </row>
        <row r="355">
          <cell r="A355" t="str">
            <v>DKK_CIBOR_6M_EOD</v>
          </cell>
          <cell r="C355">
            <v>44442</v>
          </cell>
          <cell r="E355">
            <v>9.3195794537702208E-3</v>
          </cell>
        </row>
        <row r="356">
          <cell r="A356" t="str">
            <v>DKK_CIBOR_6M_EOD</v>
          </cell>
          <cell r="C356">
            <v>44809</v>
          </cell>
          <cell r="E356">
            <v>1.0837783573792E-2</v>
          </cell>
        </row>
        <row r="357">
          <cell r="A357" t="str">
            <v>DKK_CIBOR_6M_EOD</v>
          </cell>
          <cell r="C357">
            <v>45173</v>
          </cell>
          <cell r="E357">
            <v>1.22833772369012E-2</v>
          </cell>
        </row>
        <row r="358">
          <cell r="A358" t="str">
            <v>DKK_CIBOR_6M_EOD</v>
          </cell>
          <cell r="C358">
            <v>45538</v>
          </cell>
          <cell r="E358">
            <v>1.3610350590918901E-2</v>
          </cell>
        </row>
        <row r="359">
          <cell r="A359" t="str">
            <v>DKK_CIBOR_6M_EOD</v>
          </cell>
          <cell r="C359">
            <v>45903</v>
          </cell>
          <cell r="E359">
            <v>1.47657805807481E-2</v>
          </cell>
        </row>
        <row r="360">
          <cell r="A360" t="str">
            <v>DKK_CIBOR_6M_EOD</v>
          </cell>
          <cell r="C360">
            <v>46633</v>
          </cell>
          <cell r="E360">
            <v>1.6580122515148499E-2</v>
          </cell>
        </row>
        <row r="361">
          <cell r="A361" t="str">
            <v>DKK_CIBOR_6M_EOD</v>
          </cell>
          <cell r="C361">
            <v>47729</v>
          </cell>
          <cell r="E361">
            <v>1.8474151039282599E-2</v>
          </cell>
        </row>
        <row r="362">
          <cell r="A362" t="str">
            <v>DKK_CIBOR_6M_EOD</v>
          </cell>
          <cell r="C362">
            <v>49555</v>
          </cell>
          <cell r="E362">
            <v>1.9924476290331498E-2</v>
          </cell>
        </row>
        <row r="363">
          <cell r="A363" t="str">
            <v>DKK_CIBOR_6M_EOD</v>
          </cell>
          <cell r="C363">
            <v>51382</v>
          </cell>
          <cell r="E363">
            <v>2.0060556688824099E-2</v>
          </cell>
        </row>
        <row r="364">
          <cell r="A364" t="str">
            <v>DKK_CIBOR_6M_EOD</v>
          </cell>
          <cell r="C364">
            <v>53209</v>
          </cell>
          <cell r="E364">
            <v>1.9971046615762201E-2</v>
          </cell>
        </row>
        <row r="365">
          <cell r="A365" t="str">
            <v>DKK_CIBOR_EOD</v>
          </cell>
          <cell r="C365">
            <v>42249</v>
          </cell>
          <cell r="E365">
            <v>-4.1397318091262597E-3</v>
          </cell>
        </row>
        <row r="366">
          <cell r="A366" t="str">
            <v>DKK_CIBOR_EOD</v>
          </cell>
          <cell r="C366">
            <v>42250</v>
          </cell>
          <cell r="E366">
            <v>-1.7570814504426801E-3</v>
          </cell>
        </row>
        <row r="367">
          <cell r="A367" t="str">
            <v>DKK_CIBOR_EOD</v>
          </cell>
          <cell r="C367">
            <v>42257</v>
          </cell>
          <cell r="E367">
            <v>-3.2491666902585798E-3</v>
          </cell>
        </row>
        <row r="368">
          <cell r="A368" t="str">
            <v>DKK_CIBOR_EOD</v>
          </cell>
          <cell r="C368">
            <v>42354</v>
          </cell>
          <cell r="E368">
            <v>-6.2175755703819998E-4</v>
          </cell>
        </row>
        <row r="369">
          <cell r="A369" t="str">
            <v>DKK_CIBOR_EOD</v>
          </cell>
          <cell r="C369">
            <v>42445</v>
          </cell>
          <cell r="E369">
            <v>-7.2295329206549999E-5</v>
          </cell>
        </row>
        <row r="370">
          <cell r="A370" t="str">
            <v>DKK_CIBOR_EOD</v>
          </cell>
          <cell r="C370">
            <v>42536</v>
          </cell>
          <cell r="E370">
            <v>2.8688211582564998E-4</v>
          </cell>
        </row>
        <row r="371">
          <cell r="A371" t="str">
            <v>DKK_CIBOR_EOD</v>
          </cell>
          <cell r="C371">
            <v>42634</v>
          </cell>
          <cell r="E371">
            <v>5.9751318150673004E-4</v>
          </cell>
        </row>
        <row r="372">
          <cell r="A372" t="str">
            <v>DKK_CIBOR_EOD</v>
          </cell>
          <cell r="C372">
            <v>42725</v>
          </cell>
          <cell r="E372">
            <v>8.6544192464042997E-4</v>
          </cell>
        </row>
        <row r="373">
          <cell r="A373" t="str">
            <v>DKK_CIBOR_EOD</v>
          </cell>
          <cell r="C373">
            <v>42809</v>
          </cell>
          <cell r="E373">
            <v>1.1152769842521499E-3</v>
          </cell>
        </row>
        <row r="374">
          <cell r="A374" t="str">
            <v>DKK_CIBOR_EOD</v>
          </cell>
          <cell r="C374">
            <v>42982</v>
          </cell>
          <cell r="E374">
            <v>3.22116965873618E-3</v>
          </cell>
        </row>
        <row r="375">
          <cell r="A375" t="str">
            <v>DKK_CIBOR_EOD</v>
          </cell>
          <cell r="C375">
            <v>43346</v>
          </cell>
          <cell r="E375">
            <v>4.4766641959957396E-3</v>
          </cell>
        </row>
        <row r="376">
          <cell r="A376" t="str">
            <v>DKK_CIBOR_EOD</v>
          </cell>
          <cell r="C376">
            <v>43711</v>
          </cell>
          <cell r="E376">
            <v>6.1163200835236903E-3</v>
          </cell>
        </row>
        <row r="377">
          <cell r="A377" t="str">
            <v>DKK_CIBOR_EOD</v>
          </cell>
          <cell r="C377">
            <v>44077</v>
          </cell>
          <cell r="E377">
            <v>7.7736936676839896E-3</v>
          </cell>
        </row>
        <row r="378">
          <cell r="A378" t="str">
            <v>DKK_CIBOR_EOD</v>
          </cell>
          <cell r="C378">
            <v>44442</v>
          </cell>
          <cell r="E378">
            <v>9.3205120270259591E-3</v>
          </cell>
        </row>
        <row r="379">
          <cell r="A379" t="str">
            <v>DKK_CIBOR_EOD</v>
          </cell>
          <cell r="C379">
            <v>44809</v>
          </cell>
          <cell r="E379">
            <v>1.08385824606692E-2</v>
          </cell>
        </row>
        <row r="380">
          <cell r="A380" t="str">
            <v>DKK_CIBOR_EOD</v>
          </cell>
          <cell r="C380">
            <v>45173</v>
          </cell>
          <cell r="E380">
            <v>1.22849290119899E-2</v>
          </cell>
        </row>
        <row r="381">
          <cell r="A381" t="str">
            <v>DKK_CIBOR_EOD</v>
          </cell>
          <cell r="C381">
            <v>45538</v>
          </cell>
          <cell r="E381">
            <v>1.3611513063922699E-2</v>
          </cell>
        </row>
        <row r="382">
          <cell r="A382" t="str">
            <v>DKK_CIBOR_EOD</v>
          </cell>
          <cell r="C382">
            <v>45903</v>
          </cell>
          <cell r="E382">
            <v>1.4766826930114E-2</v>
          </cell>
        </row>
        <row r="383">
          <cell r="A383" t="str">
            <v>DKK_CIBOR_EOD</v>
          </cell>
          <cell r="C383">
            <v>46633</v>
          </cell>
          <cell r="E383">
            <v>1.65809944434737E-2</v>
          </cell>
        </row>
        <row r="384">
          <cell r="A384" t="str">
            <v>DKK_CIBOR_EOD</v>
          </cell>
          <cell r="C384">
            <v>47729</v>
          </cell>
          <cell r="E384">
            <v>1.8474213780041899E-2</v>
          </cell>
        </row>
        <row r="385">
          <cell r="A385" t="str">
            <v>DKK_CIBOR_EOD</v>
          </cell>
          <cell r="C385">
            <v>49555</v>
          </cell>
          <cell r="E385">
            <v>1.9923367319507401E-2</v>
          </cell>
        </row>
        <row r="386">
          <cell r="A386" t="str">
            <v>DKK_CIBOR_EOD</v>
          </cell>
          <cell r="C386">
            <v>51382</v>
          </cell>
          <cell r="E386">
            <v>2.0059461574071701E-2</v>
          </cell>
        </row>
        <row r="387">
          <cell r="A387" t="str">
            <v>DKK_CIBOR_EOD</v>
          </cell>
          <cell r="C387">
            <v>53209</v>
          </cell>
          <cell r="E387">
            <v>1.99701649664972E-2</v>
          </cell>
        </row>
        <row r="388">
          <cell r="A388" t="str">
            <v>EUR_EONIA_EOD</v>
          </cell>
          <cell r="C388">
            <v>42249</v>
          </cell>
          <cell r="E388">
            <v>-1.2673633113434301E-3</v>
          </cell>
        </row>
        <row r="389">
          <cell r="A389" t="str">
            <v>EUR_EONIA_EOD</v>
          </cell>
          <cell r="C389">
            <v>42250</v>
          </cell>
          <cell r="E389">
            <v>-1.2673633113861301E-3</v>
          </cell>
        </row>
        <row r="390">
          <cell r="A390" t="str">
            <v>EUR_EONIA_EOD</v>
          </cell>
          <cell r="C390">
            <v>42257</v>
          </cell>
          <cell r="E390">
            <v>-1.3225755761178399E-3</v>
          </cell>
        </row>
        <row r="391">
          <cell r="A391" t="str">
            <v>EUR_EONIA_EOD</v>
          </cell>
          <cell r="C391">
            <v>42264</v>
          </cell>
          <cell r="E391">
            <v>-1.2940042331346299E-3</v>
          </cell>
        </row>
        <row r="392">
          <cell r="A392" t="str">
            <v>EUR_EONIA_EOD</v>
          </cell>
          <cell r="C392">
            <v>42271</v>
          </cell>
          <cell r="E392">
            <v>-1.29054831292416E-3</v>
          </cell>
        </row>
        <row r="393">
          <cell r="A393" t="str">
            <v>EUR_EONIA_EOD</v>
          </cell>
          <cell r="C393">
            <v>42282</v>
          </cell>
          <cell r="E393">
            <v>-1.25947456544553E-3</v>
          </cell>
        </row>
        <row r="394">
          <cell r="A394" t="str">
            <v>EUR_EONIA_EOD</v>
          </cell>
          <cell r="C394">
            <v>42311</v>
          </cell>
          <cell r="E394">
            <v>-1.3116772701432401E-3</v>
          </cell>
        </row>
        <row r="395">
          <cell r="A395" t="str">
            <v>EUR_EONIA_EOD</v>
          </cell>
          <cell r="C395">
            <v>42341</v>
          </cell>
          <cell r="E395">
            <v>-1.32462044190332E-3</v>
          </cell>
        </row>
        <row r="396">
          <cell r="A396" t="str">
            <v>EUR_EONIA_EOD</v>
          </cell>
          <cell r="C396">
            <v>42373</v>
          </cell>
          <cell r="E396">
            <v>-1.3042244950597201E-3</v>
          </cell>
        </row>
        <row r="397">
          <cell r="A397" t="str">
            <v>EUR_EONIA_EOD</v>
          </cell>
          <cell r="C397">
            <v>42403</v>
          </cell>
          <cell r="E397">
            <v>-1.34279513477746E-3</v>
          </cell>
        </row>
        <row r="398">
          <cell r="A398" t="str">
            <v>EUR_EONIA_EOD</v>
          </cell>
          <cell r="C398">
            <v>42432</v>
          </cell>
          <cell r="E398">
            <v>-1.3681101900143301E-3</v>
          </cell>
        </row>
        <row r="399">
          <cell r="A399" t="str">
            <v>EUR_EONIA_EOD</v>
          </cell>
          <cell r="C399">
            <v>42464</v>
          </cell>
          <cell r="E399">
            <v>-1.38092204537746E-3</v>
          </cell>
        </row>
        <row r="400">
          <cell r="A400" t="str">
            <v>EUR_EONIA_EOD</v>
          </cell>
          <cell r="C400">
            <v>42493</v>
          </cell>
          <cell r="E400">
            <v>-1.3861556448077001E-3</v>
          </cell>
        </row>
        <row r="401">
          <cell r="A401" t="str">
            <v>EUR_EONIA_EOD</v>
          </cell>
          <cell r="C401">
            <v>42524</v>
          </cell>
          <cell r="E401">
            <v>-1.3989415521718201E-3</v>
          </cell>
        </row>
        <row r="402">
          <cell r="A402" t="str">
            <v>EUR_EONIA_EOD</v>
          </cell>
          <cell r="C402">
            <v>42555</v>
          </cell>
          <cell r="E402">
            <v>-1.40668474294057E-3</v>
          </cell>
        </row>
        <row r="403">
          <cell r="A403" t="str">
            <v>EUR_EONIA_EOD</v>
          </cell>
          <cell r="C403">
            <v>42585</v>
          </cell>
          <cell r="E403">
            <v>-1.45646594295661E-3</v>
          </cell>
        </row>
        <row r="404">
          <cell r="A404" t="str">
            <v>EUR_EONIA_EOD</v>
          </cell>
          <cell r="C404">
            <v>42618</v>
          </cell>
          <cell r="E404">
            <v>-1.4566622146610099E-3</v>
          </cell>
        </row>
        <row r="405">
          <cell r="A405" t="str">
            <v>EUR_EONIA_EOD</v>
          </cell>
          <cell r="C405">
            <v>42709</v>
          </cell>
          <cell r="E405">
            <v>-1.4600657011259999E-3</v>
          </cell>
        </row>
        <row r="406">
          <cell r="A406" t="str">
            <v>EUR_EONIA_EOD</v>
          </cell>
          <cell r="C406">
            <v>42797</v>
          </cell>
          <cell r="E406">
            <v>-1.42308600719895E-3</v>
          </cell>
        </row>
        <row r="407">
          <cell r="A407" t="str">
            <v>EUR_EONIA_EOD</v>
          </cell>
          <cell r="C407">
            <v>42891</v>
          </cell>
          <cell r="E407">
            <v>-1.32882441501403E-3</v>
          </cell>
        </row>
        <row r="408">
          <cell r="A408" t="str">
            <v>EUR_EONIA_EOD</v>
          </cell>
          <cell r="C408">
            <v>42982</v>
          </cell>
          <cell r="E408">
            <v>-1.1923968586621499E-3</v>
          </cell>
        </row>
        <row r="409">
          <cell r="A409" t="str">
            <v>EUR_EONIA_EOD</v>
          </cell>
          <cell r="C409">
            <v>43346</v>
          </cell>
          <cell r="E409">
            <v>-4.9062081552434E-4</v>
          </cell>
        </row>
        <row r="410">
          <cell r="A410" t="str">
            <v>EUR_EONIA_EOD</v>
          </cell>
          <cell r="C410">
            <v>43711</v>
          </cell>
          <cell r="E410">
            <v>6.9095720421525003E-4</v>
          </cell>
        </row>
        <row r="411">
          <cell r="A411" t="str">
            <v>EUR_EONIA_EOD</v>
          </cell>
          <cell r="C411">
            <v>44077</v>
          </cell>
          <cell r="E411">
            <v>2.0752602288998602E-3</v>
          </cell>
        </row>
        <row r="412">
          <cell r="A412" t="str">
            <v>EUR_EONIA_EOD</v>
          </cell>
          <cell r="C412">
            <v>44442</v>
          </cell>
          <cell r="E412">
            <v>3.57227235772837E-3</v>
          </cell>
        </row>
        <row r="413">
          <cell r="A413" t="str">
            <v>EUR_EONIA_EOD</v>
          </cell>
          <cell r="C413">
            <v>44809</v>
          </cell>
          <cell r="E413">
            <v>5.0981648542883602E-3</v>
          </cell>
        </row>
        <row r="414">
          <cell r="A414" t="str">
            <v>EUR_EONIA_EOD</v>
          </cell>
          <cell r="C414">
            <v>45173</v>
          </cell>
          <cell r="E414">
            <v>6.5590756173417699E-3</v>
          </cell>
        </row>
        <row r="415">
          <cell r="A415" t="str">
            <v>EUR_EONIA_EOD</v>
          </cell>
          <cell r="C415">
            <v>45538</v>
          </cell>
          <cell r="E415">
            <v>7.9204832724662794E-3</v>
          </cell>
        </row>
        <row r="416">
          <cell r="A416" t="str">
            <v>EUR_EONIA_EOD</v>
          </cell>
          <cell r="C416">
            <v>45903</v>
          </cell>
          <cell r="E416">
            <v>9.1310281189194605E-3</v>
          </cell>
        </row>
        <row r="417">
          <cell r="A417" t="str">
            <v>EUR_EONIA_EOD</v>
          </cell>
          <cell r="C417">
            <v>46633</v>
          </cell>
          <cell r="E417">
            <v>1.11211977451033E-2</v>
          </cell>
        </row>
        <row r="418">
          <cell r="A418" t="str">
            <v>EUR_EONIA_EOD</v>
          </cell>
          <cell r="C418">
            <v>47729</v>
          </cell>
          <cell r="E418">
            <v>1.32618471334088E-2</v>
          </cell>
        </row>
        <row r="419">
          <cell r="A419" t="str">
            <v>EUR_EONIA_EOD</v>
          </cell>
          <cell r="C419">
            <v>49555</v>
          </cell>
          <cell r="E419">
            <v>1.50628895659203E-2</v>
          </cell>
        </row>
        <row r="420">
          <cell r="A420" t="str">
            <v>EUR_EONIA_EOD</v>
          </cell>
          <cell r="C420">
            <v>51382</v>
          </cell>
          <cell r="E420">
            <v>1.55723921239239E-2</v>
          </cell>
        </row>
        <row r="421">
          <cell r="A421" t="str">
            <v>EUR_EONIA_EOD</v>
          </cell>
          <cell r="C421">
            <v>53209</v>
          </cell>
          <cell r="E421">
            <v>1.5765164618209201E-2</v>
          </cell>
        </row>
        <row r="422">
          <cell r="A422" t="str">
            <v>EUR_EONIA_EOD</v>
          </cell>
          <cell r="C422">
            <v>56860</v>
          </cell>
          <cell r="E422">
            <v>1.6078729444676601E-2</v>
          </cell>
        </row>
        <row r="423">
          <cell r="A423" t="str">
            <v>EUR_EONIA_EOD</v>
          </cell>
          <cell r="C423">
            <v>60513</v>
          </cell>
          <cell r="E423">
            <v>1.5672906185183799E-2</v>
          </cell>
        </row>
        <row r="424">
          <cell r="A424" t="str">
            <v>EUR_EONIA_EOD</v>
          </cell>
          <cell r="C424">
            <v>64165</v>
          </cell>
          <cell r="E424">
            <v>1.5327201436955699E-2</v>
          </cell>
        </row>
        <row r="425">
          <cell r="A425" t="str">
            <v>EUR_EURIBOR_12M_EOD</v>
          </cell>
          <cell r="C425">
            <v>42618</v>
          </cell>
          <cell r="E425">
            <v>1.63101933126946E-3</v>
          </cell>
        </row>
        <row r="426">
          <cell r="A426" t="str">
            <v>EUR_EURIBOR_12M_EOD</v>
          </cell>
          <cell r="C426">
            <v>42646</v>
          </cell>
          <cell r="E426">
            <v>1.5698334646472899E-3</v>
          </cell>
        </row>
        <row r="427">
          <cell r="A427" t="str">
            <v>EUR_EURIBOR_12M_EOD</v>
          </cell>
          <cell r="C427">
            <v>42677</v>
          </cell>
          <cell r="E427">
            <v>1.6569326286691099E-3</v>
          </cell>
        </row>
        <row r="428">
          <cell r="A428" t="str">
            <v>EUR_EURIBOR_12M_EOD</v>
          </cell>
          <cell r="C428">
            <v>42709</v>
          </cell>
          <cell r="E428">
            <v>1.6471796028799299E-3</v>
          </cell>
        </row>
        <row r="429">
          <cell r="A429" t="str">
            <v>EUR_EURIBOR_12M_EOD</v>
          </cell>
          <cell r="C429">
            <v>42738</v>
          </cell>
          <cell r="E429">
            <v>1.68546989429166E-3</v>
          </cell>
        </row>
        <row r="430">
          <cell r="A430" t="str">
            <v>EUR_EURIBOR_12M_EOD</v>
          </cell>
          <cell r="C430">
            <v>42769</v>
          </cell>
          <cell r="E430">
            <v>1.75189900518717E-3</v>
          </cell>
        </row>
        <row r="431">
          <cell r="A431" t="str">
            <v>EUR_EURIBOR_12M_EOD</v>
          </cell>
          <cell r="C431">
            <v>42797</v>
          </cell>
          <cell r="E431">
            <v>1.78579411524989E-3</v>
          </cell>
        </row>
        <row r="432">
          <cell r="A432" t="str">
            <v>EUR_EURIBOR_12M_EOD</v>
          </cell>
          <cell r="C432">
            <v>42828</v>
          </cell>
          <cell r="E432">
            <v>1.8961949889460699E-3</v>
          </cell>
        </row>
        <row r="433">
          <cell r="A433" t="str">
            <v>EUR_EURIBOR_12M_EOD</v>
          </cell>
          <cell r="C433">
            <v>42858</v>
          </cell>
          <cell r="E433">
            <v>1.95195153074303E-3</v>
          </cell>
        </row>
        <row r="434">
          <cell r="A434" t="str">
            <v>EUR_EURIBOR_12M_EOD</v>
          </cell>
          <cell r="C434">
            <v>42891</v>
          </cell>
          <cell r="E434">
            <v>2.01220249450489E-3</v>
          </cell>
        </row>
        <row r="435">
          <cell r="A435" t="str">
            <v>EUR_EURIBOR_12M_EOD</v>
          </cell>
          <cell r="C435">
            <v>42919</v>
          </cell>
          <cell r="E435">
            <v>2.0631838247128901E-3</v>
          </cell>
        </row>
        <row r="436">
          <cell r="A436" t="str">
            <v>EUR_EURIBOR_12M_EOD</v>
          </cell>
          <cell r="C436">
            <v>42950</v>
          </cell>
          <cell r="E436">
            <v>2.12551680524555E-3</v>
          </cell>
        </row>
        <row r="437">
          <cell r="A437" t="str">
            <v>EUR_EURIBOR_12M_EOD</v>
          </cell>
          <cell r="C437">
            <v>42982</v>
          </cell>
          <cell r="E437">
            <v>2.17620579494607E-3</v>
          </cell>
        </row>
        <row r="438">
          <cell r="A438" t="str">
            <v>EUR_EURIBOR_12M_EOD</v>
          </cell>
          <cell r="C438">
            <v>43346</v>
          </cell>
          <cell r="E438">
            <v>3.1132271590456201E-3</v>
          </cell>
        </row>
        <row r="439">
          <cell r="A439" t="str">
            <v>EUR_EURIBOR_12M_EOD</v>
          </cell>
          <cell r="C439">
            <v>43711</v>
          </cell>
          <cell r="E439">
            <v>4.4408295458301401E-3</v>
          </cell>
        </row>
        <row r="440">
          <cell r="A440" t="str">
            <v>EUR_EURIBOR_12M_EOD</v>
          </cell>
          <cell r="C440">
            <v>44077</v>
          </cell>
          <cell r="E440">
            <v>5.8752533923264903E-3</v>
          </cell>
        </row>
        <row r="441">
          <cell r="A441" t="str">
            <v>EUR_EURIBOR_12M_EOD</v>
          </cell>
          <cell r="C441">
            <v>44442</v>
          </cell>
          <cell r="E441">
            <v>7.3436783049143804E-3</v>
          </cell>
        </row>
        <row r="442">
          <cell r="A442" t="str">
            <v>EUR_EURIBOR_12M_EOD</v>
          </cell>
          <cell r="C442">
            <v>44809</v>
          </cell>
          <cell r="E442">
            <v>8.8243656535688109E-3</v>
          </cell>
        </row>
        <row r="443">
          <cell r="A443" t="str">
            <v>EUR_EURIBOR_12M_EOD</v>
          </cell>
          <cell r="C443">
            <v>45173</v>
          </cell>
          <cell r="E443">
            <v>1.01946881916751E-2</v>
          </cell>
        </row>
        <row r="444">
          <cell r="A444" t="str">
            <v>EUR_EURIBOR_12M_EOD</v>
          </cell>
          <cell r="C444">
            <v>45538</v>
          </cell>
          <cell r="E444">
            <v>1.1446027794523399E-2</v>
          </cell>
        </row>
        <row r="445">
          <cell r="A445" t="str">
            <v>EUR_EURIBOR_12M_EOD</v>
          </cell>
          <cell r="C445">
            <v>45903</v>
          </cell>
          <cell r="E445">
            <v>1.25440684055933E-2</v>
          </cell>
        </row>
        <row r="446">
          <cell r="A446" t="str">
            <v>EUR_EURIBOR_12M_EOD</v>
          </cell>
          <cell r="C446">
            <v>46633</v>
          </cell>
          <cell r="E446">
            <v>1.42859130837552E-2</v>
          </cell>
        </row>
        <row r="447">
          <cell r="A447" t="str">
            <v>EUR_EURIBOR_12M_EOD</v>
          </cell>
          <cell r="C447">
            <v>47729</v>
          </cell>
          <cell r="E447">
            <v>1.6025970312494101E-2</v>
          </cell>
        </row>
        <row r="448">
          <cell r="A448" t="str">
            <v>EUR_EURIBOR_12M_EOD</v>
          </cell>
          <cell r="C448">
            <v>49555</v>
          </cell>
          <cell r="E448">
            <v>1.73644336521857E-2</v>
          </cell>
        </row>
        <row r="449">
          <cell r="A449" t="str">
            <v>EUR_EURIBOR_12M_EOD</v>
          </cell>
          <cell r="C449">
            <v>51382</v>
          </cell>
          <cell r="E449">
            <v>1.7540068184612199E-2</v>
          </cell>
        </row>
        <row r="450">
          <cell r="A450" t="str">
            <v>EUR_EURIBOR_12M_EOD</v>
          </cell>
          <cell r="C450">
            <v>53209</v>
          </cell>
          <cell r="E450">
            <v>1.7477384754340599E-2</v>
          </cell>
        </row>
        <row r="451">
          <cell r="A451" t="str">
            <v>EUR_EURIBOR_12M_EOD</v>
          </cell>
          <cell r="C451">
            <v>56860</v>
          </cell>
          <cell r="E451">
            <v>1.7471809538865801E-2</v>
          </cell>
        </row>
        <row r="452">
          <cell r="A452" t="str">
            <v>EUR_EURIBOR_12M_EOD</v>
          </cell>
          <cell r="C452">
            <v>60513</v>
          </cell>
          <cell r="E452">
            <v>1.6788389354547802E-2</v>
          </cell>
        </row>
        <row r="453">
          <cell r="A453" t="str">
            <v>EUR_EURIBOR_12M_EOD</v>
          </cell>
          <cell r="C453">
            <v>64165</v>
          </cell>
          <cell r="E453">
            <v>1.6469074630312198E-2</v>
          </cell>
        </row>
        <row r="454">
          <cell r="A454" t="str">
            <v>EUR_EURIBOR_1M_EOD</v>
          </cell>
          <cell r="C454">
            <v>42282</v>
          </cell>
          <cell r="E454">
            <v>-1.0037941675914101E-3</v>
          </cell>
        </row>
        <row r="455">
          <cell r="A455" t="str">
            <v>EUR_EURIBOR_1M_EOD</v>
          </cell>
          <cell r="C455">
            <v>42311</v>
          </cell>
          <cell r="E455">
            <v>-1.01239779345705E-3</v>
          </cell>
        </row>
        <row r="456">
          <cell r="A456" t="str">
            <v>EUR_EURIBOR_1M_EOD</v>
          </cell>
          <cell r="C456">
            <v>42341</v>
          </cell>
          <cell r="E456">
            <v>-1.0367784039651601E-3</v>
          </cell>
        </row>
        <row r="457">
          <cell r="A457" t="str">
            <v>EUR_EURIBOR_1M_EOD</v>
          </cell>
          <cell r="C457">
            <v>42432</v>
          </cell>
          <cell r="E457">
            <v>-1.0362561687216601E-3</v>
          </cell>
        </row>
        <row r="458">
          <cell r="A458" t="str">
            <v>EUR_EURIBOR_1M_EOD</v>
          </cell>
          <cell r="C458">
            <v>42524</v>
          </cell>
          <cell r="E458">
            <v>-1.04174170910384E-3</v>
          </cell>
        </row>
        <row r="459">
          <cell r="A459" t="str">
            <v>EUR_EURIBOR_1M_EOD</v>
          </cell>
          <cell r="C459">
            <v>42618</v>
          </cell>
          <cell r="E459">
            <v>-1.07688832484793E-3</v>
          </cell>
        </row>
        <row r="460">
          <cell r="A460" t="str">
            <v>EUR_EURIBOR_1M_EOD</v>
          </cell>
          <cell r="C460">
            <v>42982</v>
          </cell>
          <cell r="E460">
            <v>-7.8274895556261004E-4</v>
          </cell>
        </row>
        <row r="461">
          <cell r="A461" t="str">
            <v>EUR_EURIBOR_1M_EOD</v>
          </cell>
          <cell r="C461">
            <v>43346</v>
          </cell>
          <cell r="E461">
            <v>-2.7894084300110001E-5</v>
          </cell>
        </row>
        <row r="462">
          <cell r="A462" t="str">
            <v>EUR_EURIBOR_1M_EOD</v>
          </cell>
          <cell r="C462">
            <v>43711</v>
          </cell>
          <cell r="E462">
            <v>1.1435038774738799E-3</v>
          </cell>
        </row>
        <row r="463">
          <cell r="A463" t="str">
            <v>EUR_EURIBOR_1M_EOD</v>
          </cell>
          <cell r="C463">
            <v>44077</v>
          </cell>
          <cell r="E463">
            <v>2.5353515492738299E-3</v>
          </cell>
        </row>
        <row r="464">
          <cell r="A464" t="str">
            <v>EUR_EURIBOR_1M_EOD</v>
          </cell>
          <cell r="C464">
            <v>44442</v>
          </cell>
          <cell r="E464">
            <v>4.0381579310123997E-3</v>
          </cell>
        </row>
        <row r="465">
          <cell r="A465" t="str">
            <v>EUR_EURIBOR_1M_EOD</v>
          </cell>
          <cell r="C465">
            <v>44809</v>
          </cell>
          <cell r="E465">
            <v>5.5593116077033902E-3</v>
          </cell>
        </row>
        <row r="466">
          <cell r="A466" t="str">
            <v>EUR_EURIBOR_1M_EOD</v>
          </cell>
          <cell r="C466">
            <v>45173</v>
          </cell>
          <cell r="E466">
            <v>7.0164772186647401E-3</v>
          </cell>
        </row>
        <row r="467">
          <cell r="A467" t="str">
            <v>EUR_EURIBOR_1M_EOD</v>
          </cell>
          <cell r="C467">
            <v>45538</v>
          </cell>
          <cell r="E467">
            <v>8.3780520427873002E-3</v>
          </cell>
        </row>
        <row r="468">
          <cell r="A468" t="str">
            <v>EUR_EURIBOR_1M_EOD</v>
          </cell>
          <cell r="C468">
            <v>45903</v>
          </cell>
          <cell r="E468">
            <v>9.5742995174521502E-3</v>
          </cell>
        </row>
        <row r="469">
          <cell r="A469" t="str">
            <v>EUR_EURIBOR_1M_EOD</v>
          </cell>
          <cell r="C469">
            <v>46633</v>
          </cell>
          <cell r="E469">
            <v>1.1545795952588001E-2</v>
          </cell>
        </row>
        <row r="470">
          <cell r="A470" t="str">
            <v>EUR_EURIBOR_1M_EOD</v>
          </cell>
          <cell r="C470">
            <v>47729</v>
          </cell>
          <cell r="E470">
            <v>1.3633459882536199E-2</v>
          </cell>
        </row>
        <row r="471">
          <cell r="A471" t="str">
            <v>EUR_EURIBOR_1M_EOD</v>
          </cell>
          <cell r="C471">
            <v>49555</v>
          </cell>
          <cell r="E471">
            <v>1.5394045126482301E-2</v>
          </cell>
        </row>
        <row r="472">
          <cell r="A472" t="str">
            <v>EUR_EURIBOR_1M_EOD</v>
          </cell>
          <cell r="C472">
            <v>51382</v>
          </cell>
          <cell r="E472">
            <v>1.5830163806132801E-2</v>
          </cell>
        </row>
        <row r="473">
          <cell r="A473" t="str">
            <v>EUR_EURIBOR_1M_EOD</v>
          </cell>
          <cell r="C473">
            <v>53209</v>
          </cell>
          <cell r="E473">
            <v>1.59711920081364E-2</v>
          </cell>
        </row>
        <row r="474">
          <cell r="A474" t="str">
            <v>EUR_EURIBOR_1M_EOD</v>
          </cell>
          <cell r="C474">
            <v>56860</v>
          </cell>
          <cell r="E474">
            <v>1.59955636916627E-2</v>
          </cell>
        </row>
        <row r="475">
          <cell r="A475" t="str">
            <v>EUR_EURIBOR_1M_EOD</v>
          </cell>
          <cell r="C475">
            <v>60513</v>
          </cell>
          <cell r="E475">
            <v>1.5719055971398499E-2</v>
          </cell>
        </row>
        <row r="476">
          <cell r="A476" t="str">
            <v>EUR_EURIBOR_1M_EOD</v>
          </cell>
          <cell r="C476">
            <v>64165</v>
          </cell>
          <cell r="E476">
            <v>1.5353201807853E-2</v>
          </cell>
        </row>
        <row r="477">
          <cell r="A477" t="str">
            <v>EUR_EURIBOR_3M_EOD</v>
          </cell>
          <cell r="C477">
            <v>42341</v>
          </cell>
          <cell r="E477">
            <v>-3.3459728902308997E-4</v>
          </cell>
        </row>
        <row r="478">
          <cell r="A478" t="str">
            <v>EUR_EURIBOR_3M_EOD</v>
          </cell>
          <cell r="C478">
            <v>42354</v>
          </cell>
          <cell r="E478">
            <v>-3.5200706621915E-4</v>
          </cell>
        </row>
        <row r="479">
          <cell r="A479" t="str">
            <v>EUR_EURIBOR_3M_EOD</v>
          </cell>
          <cell r="C479">
            <v>42445</v>
          </cell>
          <cell r="E479">
            <v>-3.5520622892996998E-4</v>
          </cell>
        </row>
        <row r="480">
          <cell r="A480" t="str">
            <v>EUR_EURIBOR_3M_EOD</v>
          </cell>
          <cell r="C480">
            <v>42536</v>
          </cell>
          <cell r="E480">
            <v>-3.4196664852660999E-4</v>
          </cell>
        </row>
        <row r="481">
          <cell r="A481" t="str">
            <v>EUR_EURIBOR_3M_EOD</v>
          </cell>
          <cell r="C481">
            <v>42634</v>
          </cell>
          <cell r="E481">
            <v>-3.2387750409026999E-4</v>
          </cell>
        </row>
        <row r="482">
          <cell r="A482" t="str">
            <v>EUR_EURIBOR_3M_EOD</v>
          </cell>
          <cell r="C482">
            <v>42725</v>
          </cell>
          <cell r="E482">
            <v>-2.7679001989501002E-4</v>
          </cell>
        </row>
        <row r="483">
          <cell r="A483" t="str">
            <v>EUR_EURIBOR_3M_EOD</v>
          </cell>
          <cell r="C483">
            <v>42809</v>
          </cell>
          <cell r="E483">
            <v>-1.9541817204057999E-4</v>
          </cell>
        </row>
        <row r="484">
          <cell r="A484" t="str">
            <v>EUR_EURIBOR_3M_EOD</v>
          </cell>
          <cell r="C484">
            <v>42907</v>
          </cell>
          <cell r="E484">
            <v>-6.8363240214359996E-5</v>
          </cell>
        </row>
        <row r="485">
          <cell r="A485" t="str">
            <v>EUR_EURIBOR_3M_EOD</v>
          </cell>
          <cell r="C485">
            <v>42998</v>
          </cell>
          <cell r="E485">
            <v>7.338712669739E-5</v>
          </cell>
        </row>
        <row r="486">
          <cell r="A486" t="str">
            <v>EUR_EURIBOR_3M_EOD</v>
          </cell>
          <cell r="C486">
            <v>43089</v>
          </cell>
          <cell r="E486">
            <v>2.4302618759890001E-4</v>
          </cell>
        </row>
        <row r="487">
          <cell r="A487" t="str">
            <v>EUR_EURIBOR_3M_EOD</v>
          </cell>
          <cell r="C487">
            <v>43180</v>
          </cell>
          <cell r="E487">
            <v>4.3712660224504997E-4</v>
          </cell>
        </row>
        <row r="488">
          <cell r="A488" t="str">
            <v>EUR_EURIBOR_3M_EOD</v>
          </cell>
          <cell r="C488">
            <v>43271</v>
          </cell>
          <cell r="E488">
            <v>6.6257909887618995E-4</v>
          </cell>
        </row>
        <row r="489">
          <cell r="A489" t="str">
            <v>EUR_EURIBOR_3M_EOD</v>
          </cell>
          <cell r="C489">
            <v>43362</v>
          </cell>
          <cell r="E489">
            <v>9.1566198936165002E-4</v>
          </cell>
        </row>
        <row r="490">
          <cell r="A490" t="str">
            <v>EUR_EURIBOR_3M_EOD</v>
          </cell>
          <cell r="C490">
            <v>43711</v>
          </cell>
          <cell r="E490">
            <v>2.1472872341136099E-3</v>
          </cell>
        </row>
        <row r="491">
          <cell r="A491" t="str">
            <v>EUR_EURIBOR_3M_EOD</v>
          </cell>
          <cell r="C491">
            <v>44077</v>
          </cell>
          <cell r="E491">
            <v>3.54938035562395E-3</v>
          </cell>
        </row>
        <row r="492">
          <cell r="A492" t="str">
            <v>EUR_EURIBOR_3M_EOD</v>
          </cell>
          <cell r="C492">
            <v>44442</v>
          </cell>
          <cell r="E492">
            <v>5.0340583708419397E-3</v>
          </cell>
        </row>
        <row r="493">
          <cell r="A493" t="str">
            <v>EUR_EURIBOR_3M_EOD</v>
          </cell>
          <cell r="C493">
            <v>44809</v>
          </cell>
          <cell r="E493">
            <v>6.5322114524530503E-3</v>
          </cell>
        </row>
        <row r="494">
          <cell r="A494" t="str">
            <v>EUR_EURIBOR_3M_EOD</v>
          </cell>
          <cell r="C494">
            <v>45173</v>
          </cell>
          <cell r="E494">
            <v>7.9661227708666196E-3</v>
          </cell>
        </row>
        <row r="495">
          <cell r="A495" t="str">
            <v>EUR_EURIBOR_3M_EOD</v>
          </cell>
          <cell r="C495">
            <v>45538</v>
          </cell>
          <cell r="E495">
            <v>9.2942513732260992E-3</v>
          </cell>
        </row>
        <row r="496">
          <cell r="A496" t="str">
            <v>EUR_EURIBOR_3M_EOD</v>
          </cell>
          <cell r="C496">
            <v>45903</v>
          </cell>
          <cell r="E496">
            <v>1.0466123296027601E-2</v>
          </cell>
        </row>
        <row r="497">
          <cell r="A497" t="str">
            <v>EUR_EURIBOR_3M_EOD</v>
          </cell>
          <cell r="C497">
            <v>46633</v>
          </cell>
          <cell r="E497">
            <v>1.2385036431601401E-2</v>
          </cell>
        </row>
        <row r="498">
          <cell r="A498" t="str">
            <v>EUR_EURIBOR_3M_EOD</v>
          </cell>
          <cell r="C498">
            <v>47729</v>
          </cell>
          <cell r="E498">
            <v>1.43833147568539E-2</v>
          </cell>
        </row>
        <row r="499">
          <cell r="A499" t="str">
            <v>EUR_EURIBOR_3M_EOD</v>
          </cell>
          <cell r="C499">
            <v>49555</v>
          </cell>
          <cell r="E499">
            <v>1.5995847385729199E-2</v>
          </cell>
        </row>
        <row r="500">
          <cell r="A500" t="str">
            <v>EUR_EURIBOR_3M_EOD</v>
          </cell>
          <cell r="C500">
            <v>51382</v>
          </cell>
          <cell r="E500">
            <v>1.63403101771806E-2</v>
          </cell>
        </row>
        <row r="501">
          <cell r="A501" t="str">
            <v>EUR_EURIBOR_3M_EOD</v>
          </cell>
          <cell r="C501">
            <v>53209</v>
          </cell>
          <cell r="E501">
            <v>1.6407764942396201E-2</v>
          </cell>
        </row>
        <row r="502">
          <cell r="A502" t="str">
            <v>EUR_EURIBOR_3M_EOD</v>
          </cell>
          <cell r="C502">
            <v>56860</v>
          </cell>
          <cell r="E502">
            <v>1.6537285791602001E-2</v>
          </cell>
        </row>
        <row r="503">
          <cell r="A503" t="str">
            <v>EUR_EURIBOR_3M_EOD</v>
          </cell>
          <cell r="C503">
            <v>60513</v>
          </cell>
          <cell r="E503">
            <v>1.5985940983079601E-2</v>
          </cell>
        </row>
        <row r="504">
          <cell r="A504" t="str">
            <v>EUR_EURIBOR_3M_EOD</v>
          </cell>
          <cell r="C504">
            <v>64165</v>
          </cell>
          <cell r="E504">
            <v>1.56690924322694E-2</v>
          </cell>
        </row>
        <row r="505">
          <cell r="A505" t="str">
            <v>EUR_EURIBOR_6M_EOD</v>
          </cell>
          <cell r="C505">
            <v>42432</v>
          </cell>
          <cell r="E505">
            <v>3.9537769029722003E-4</v>
          </cell>
        </row>
        <row r="506">
          <cell r="A506" t="str">
            <v>EUR_EURIBOR_6M_EOD</v>
          </cell>
          <cell r="C506">
            <v>42464</v>
          </cell>
          <cell r="E506">
            <v>3.7243575494109001E-4</v>
          </cell>
        </row>
        <row r="507">
          <cell r="A507" t="str">
            <v>EUR_EURIBOR_6M_EOD</v>
          </cell>
          <cell r="C507">
            <v>42493</v>
          </cell>
          <cell r="E507">
            <v>4.1796830296429998E-4</v>
          </cell>
        </row>
        <row r="508">
          <cell r="A508" t="str">
            <v>EUR_EURIBOR_6M_EOD</v>
          </cell>
          <cell r="C508">
            <v>42524</v>
          </cell>
          <cell r="E508">
            <v>4.2450239266761999E-4</v>
          </cell>
        </row>
        <row r="509">
          <cell r="A509" t="str">
            <v>EUR_EURIBOR_6M_EOD</v>
          </cell>
          <cell r="C509">
            <v>42555</v>
          </cell>
          <cell r="E509">
            <v>4.2542477025693997E-4</v>
          </cell>
        </row>
        <row r="510">
          <cell r="A510" t="str">
            <v>EUR_EURIBOR_6M_EOD</v>
          </cell>
          <cell r="C510">
            <v>42585</v>
          </cell>
          <cell r="E510">
            <v>4.3826060044358E-4</v>
          </cell>
        </row>
        <row r="511">
          <cell r="A511" t="str">
            <v>EUR_EURIBOR_6M_EOD</v>
          </cell>
          <cell r="C511">
            <v>42618</v>
          </cell>
          <cell r="E511">
            <v>4.5270356947366998E-4</v>
          </cell>
        </row>
        <row r="512">
          <cell r="A512" t="str">
            <v>EUR_EURIBOR_6M_EOD</v>
          </cell>
          <cell r="C512">
            <v>42797</v>
          </cell>
          <cell r="E512">
            <v>6.2087953401344996E-4</v>
          </cell>
        </row>
        <row r="513">
          <cell r="A513" t="str">
            <v>EUR_EURIBOR_6M_EOD</v>
          </cell>
          <cell r="C513">
            <v>42982</v>
          </cell>
          <cell r="E513">
            <v>9.3375978540345998E-4</v>
          </cell>
        </row>
        <row r="514">
          <cell r="A514" t="str">
            <v>EUR_EURIBOR_6M_EOD</v>
          </cell>
          <cell r="C514">
            <v>43346</v>
          </cell>
          <cell r="E514">
            <v>1.8348132339777901E-3</v>
          </cell>
        </row>
        <row r="515">
          <cell r="A515" t="str">
            <v>EUR_EURIBOR_6M_EOD</v>
          </cell>
          <cell r="C515">
            <v>43711</v>
          </cell>
          <cell r="E515">
            <v>3.1095423074679399E-3</v>
          </cell>
        </row>
        <row r="516">
          <cell r="A516" t="str">
            <v>EUR_EURIBOR_6M_EOD</v>
          </cell>
          <cell r="C516">
            <v>44077</v>
          </cell>
          <cell r="E516">
            <v>4.5381720931710404E-3</v>
          </cell>
        </row>
        <row r="517">
          <cell r="A517" t="str">
            <v>EUR_EURIBOR_6M_EOD</v>
          </cell>
          <cell r="C517">
            <v>44442</v>
          </cell>
          <cell r="E517">
            <v>6.0183204836731898E-3</v>
          </cell>
        </row>
        <row r="518">
          <cell r="A518" t="str">
            <v>EUR_EURIBOR_6M_EOD</v>
          </cell>
          <cell r="C518">
            <v>44809</v>
          </cell>
          <cell r="E518">
            <v>7.4960533159714902E-3</v>
          </cell>
        </row>
        <row r="519">
          <cell r="A519" t="str">
            <v>EUR_EURIBOR_6M_EOD</v>
          </cell>
          <cell r="C519">
            <v>45173</v>
          </cell>
          <cell r="E519">
            <v>8.8997000522963304E-3</v>
          </cell>
        </row>
        <row r="520">
          <cell r="A520" t="str">
            <v>EUR_EURIBOR_6M_EOD</v>
          </cell>
          <cell r="C520">
            <v>45538</v>
          </cell>
          <cell r="E520">
            <v>1.01855261273415E-2</v>
          </cell>
        </row>
        <row r="521">
          <cell r="A521" t="str">
            <v>EUR_EURIBOR_6M_EOD</v>
          </cell>
          <cell r="C521">
            <v>45903</v>
          </cell>
          <cell r="E521">
            <v>1.1311343675751101E-2</v>
          </cell>
        </row>
        <row r="522">
          <cell r="A522" t="str">
            <v>EUR_EURIBOR_6M_EOD</v>
          </cell>
          <cell r="C522">
            <v>46633</v>
          </cell>
          <cell r="E522">
            <v>1.31483979216017E-2</v>
          </cell>
        </row>
        <row r="523">
          <cell r="A523" t="str">
            <v>EUR_EURIBOR_6M_EOD</v>
          </cell>
          <cell r="C523">
            <v>47729</v>
          </cell>
          <cell r="E523">
            <v>1.5040220004364E-2</v>
          </cell>
        </row>
        <row r="524">
          <cell r="A524" t="str">
            <v>EUR_EURIBOR_6M_EOD</v>
          </cell>
          <cell r="C524">
            <v>49555</v>
          </cell>
          <cell r="E524">
            <v>1.6530995676220499E-2</v>
          </cell>
        </row>
        <row r="525">
          <cell r="A525" t="str">
            <v>EUR_EURIBOR_6M_EOD</v>
          </cell>
          <cell r="C525">
            <v>51382</v>
          </cell>
          <cell r="E525">
            <v>1.67897874807151E-2</v>
          </cell>
        </row>
        <row r="526">
          <cell r="A526" t="str">
            <v>EUR_EURIBOR_6M_EOD</v>
          </cell>
          <cell r="C526">
            <v>53209</v>
          </cell>
          <cell r="E526">
            <v>1.6791044990530399E-2</v>
          </cell>
        </row>
        <row r="527">
          <cell r="A527" t="str">
            <v>EUR_EURIBOR_6M_EOD</v>
          </cell>
          <cell r="C527">
            <v>56860</v>
          </cell>
          <cell r="E527">
            <v>1.68406164130794E-2</v>
          </cell>
        </row>
        <row r="528">
          <cell r="A528" t="str">
            <v>EUR_EURIBOR_6M_EOD</v>
          </cell>
          <cell r="C528">
            <v>60513</v>
          </cell>
          <cell r="E528">
            <v>1.6237301181535602E-2</v>
          </cell>
        </row>
        <row r="529">
          <cell r="A529" t="str">
            <v>EUR_EURIBOR_6M_EOD</v>
          </cell>
          <cell r="C529">
            <v>64165</v>
          </cell>
          <cell r="E529">
            <v>1.59050219179405E-2</v>
          </cell>
        </row>
        <row r="530">
          <cell r="A530" t="str">
            <v>EUR_EURIBOR_EOD</v>
          </cell>
          <cell r="C530">
            <v>42249</v>
          </cell>
          <cell r="E530">
            <v>-1.1152794816851599E-3</v>
          </cell>
        </row>
        <row r="531">
          <cell r="A531" t="str">
            <v>EUR_EURIBOR_EOD</v>
          </cell>
          <cell r="C531">
            <v>42250</v>
          </cell>
          <cell r="E531">
            <v>-1.11527948166058E-3</v>
          </cell>
        </row>
        <row r="532">
          <cell r="A532" t="str">
            <v>EUR_EURIBOR_EOD</v>
          </cell>
          <cell r="C532">
            <v>42257</v>
          </cell>
          <cell r="E532">
            <v>-1.37552531593474E-3</v>
          </cell>
        </row>
        <row r="533">
          <cell r="A533" t="str">
            <v>EUR_EURIBOR_EOD</v>
          </cell>
          <cell r="C533">
            <v>42354</v>
          </cell>
          <cell r="E533">
            <v>-4.9157080608156997E-4</v>
          </cell>
        </row>
        <row r="534">
          <cell r="A534" t="str">
            <v>EUR_EURIBOR_EOD</v>
          </cell>
          <cell r="C534">
            <v>42445</v>
          </cell>
          <cell r="E534">
            <v>-4.3030143921180003E-4</v>
          </cell>
        </row>
        <row r="535">
          <cell r="A535" t="str">
            <v>EUR_EURIBOR_EOD</v>
          </cell>
          <cell r="C535">
            <v>42536</v>
          </cell>
          <cell r="E535">
            <v>-3.9333385833727999E-4</v>
          </cell>
        </row>
        <row r="536">
          <cell r="A536" t="str">
            <v>EUR_EURIBOR_EOD</v>
          </cell>
          <cell r="C536">
            <v>42634</v>
          </cell>
          <cell r="E536">
            <v>-3.6220329793856001E-4</v>
          </cell>
        </row>
        <row r="537">
          <cell r="A537" t="str">
            <v>EUR_EURIBOR_EOD</v>
          </cell>
          <cell r="C537">
            <v>42725</v>
          </cell>
          <cell r="E537">
            <v>-3.0780418430878997E-4</v>
          </cell>
        </row>
        <row r="538">
          <cell r="A538" t="str">
            <v>EUR_EURIBOR_EOD</v>
          </cell>
          <cell r="C538">
            <v>42809</v>
          </cell>
          <cell r="E538">
            <v>-2.2178850434979001E-4</v>
          </cell>
        </row>
        <row r="539">
          <cell r="A539" t="str">
            <v>EUR_EURIBOR_EOD</v>
          </cell>
          <cell r="C539">
            <v>42907</v>
          </cell>
          <cell r="E539">
            <v>-9.0812036004039997E-5</v>
          </cell>
        </row>
        <row r="540">
          <cell r="A540" t="str">
            <v>EUR_EURIBOR_EOD</v>
          </cell>
          <cell r="C540">
            <v>42998</v>
          </cell>
          <cell r="E540">
            <v>5.3662118130229999E-5</v>
          </cell>
        </row>
        <row r="541">
          <cell r="A541" t="str">
            <v>EUR_EURIBOR_EOD</v>
          </cell>
          <cell r="C541">
            <v>43089</v>
          </cell>
          <cell r="E541">
            <v>2.2543551408476999E-4</v>
          </cell>
        </row>
        <row r="542">
          <cell r="A542" t="str">
            <v>EUR_EURIBOR_EOD</v>
          </cell>
          <cell r="C542">
            <v>43180</v>
          </cell>
          <cell r="E542">
            <v>4.2125347303316999E-4</v>
          </cell>
        </row>
        <row r="543">
          <cell r="A543" t="str">
            <v>EUR_EURIBOR_EOD</v>
          </cell>
          <cell r="C543">
            <v>43271</v>
          </cell>
          <cell r="E543">
            <v>6.4811794890019998E-4</v>
          </cell>
        </row>
        <row r="544">
          <cell r="A544" t="str">
            <v>EUR_EURIBOR_EOD</v>
          </cell>
          <cell r="C544">
            <v>43362</v>
          </cell>
          <cell r="E544">
            <v>9.0238213619701999E-4</v>
          </cell>
        </row>
        <row r="545">
          <cell r="A545" t="str">
            <v>EUR_EURIBOR_EOD</v>
          </cell>
          <cell r="C545">
            <v>43711</v>
          </cell>
          <cell r="E545">
            <v>3.1213340031311099E-3</v>
          </cell>
        </row>
        <row r="546">
          <cell r="A546" t="str">
            <v>EUR_EURIBOR_EOD</v>
          </cell>
          <cell r="C546">
            <v>44077</v>
          </cell>
          <cell r="E546">
            <v>4.5556164180728699E-3</v>
          </cell>
        </row>
        <row r="547">
          <cell r="A547" t="str">
            <v>EUR_EURIBOR_EOD</v>
          </cell>
          <cell r="C547">
            <v>44442</v>
          </cell>
          <cell r="E547">
            <v>6.0426585465517399E-3</v>
          </cell>
        </row>
        <row r="548">
          <cell r="A548" t="str">
            <v>EUR_EURIBOR_EOD</v>
          </cell>
          <cell r="C548">
            <v>44809</v>
          </cell>
          <cell r="E548">
            <v>7.52803047622903E-3</v>
          </cell>
        </row>
        <row r="549">
          <cell r="A549" t="str">
            <v>EUR_EURIBOR_EOD</v>
          </cell>
          <cell r="C549">
            <v>45173</v>
          </cell>
          <cell r="E549">
            <v>8.9402547383989305E-3</v>
          </cell>
        </row>
        <row r="550">
          <cell r="A550" t="str">
            <v>EUR_EURIBOR_EOD</v>
          </cell>
          <cell r="C550">
            <v>45538</v>
          </cell>
          <cell r="E550">
            <v>1.02331073666999E-2</v>
          </cell>
        </row>
        <row r="551">
          <cell r="A551" t="str">
            <v>EUR_EURIBOR_EOD</v>
          </cell>
          <cell r="C551">
            <v>45903</v>
          </cell>
          <cell r="E551">
            <v>1.1365076877772801E-2</v>
          </cell>
        </row>
        <row r="552">
          <cell r="A552" t="str">
            <v>EUR_EURIBOR_EOD</v>
          </cell>
          <cell r="C552">
            <v>46633</v>
          </cell>
          <cell r="E552">
            <v>1.3211601292355799E-2</v>
          </cell>
        </row>
        <row r="553">
          <cell r="A553" t="str">
            <v>EUR_EURIBOR_EOD</v>
          </cell>
          <cell r="C553">
            <v>47729</v>
          </cell>
          <cell r="E553">
            <v>1.5110160336343201E-2</v>
          </cell>
        </row>
        <row r="554">
          <cell r="A554" t="str">
            <v>EUR_EURIBOR_EOD</v>
          </cell>
          <cell r="C554">
            <v>49555</v>
          </cell>
          <cell r="E554">
            <v>1.65986653513467E-2</v>
          </cell>
        </row>
        <row r="555">
          <cell r="A555" t="str">
            <v>EUR_EURIBOR_EOD</v>
          </cell>
          <cell r="C555">
            <v>51382</v>
          </cell>
          <cell r="E555">
            <v>1.6847322261408199E-2</v>
          </cell>
        </row>
        <row r="556">
          <cell r="A556" t="str">
            <v>EUR_EURIBOR_EOD</v>
          </cell>
          <cell r="C556">
            <v>53209</v>
          </cell>
          <cell r="E556">
            <v>1.6839771804376201E-2</v>
          </cell>
        </row>
        <row r="557">
          <cell r="A557" t="str">
            <v>EUR_EURIBOR_EOD</v>
          </cell>
          <cell r="C557">
            <v>56860</v>
          </cell>
          <cell r="E557">
            <v>1.6878440100083301E-2</v>
          </cell>
        </row>
        <row r="558">
          <cell r="A558" t="str">
            <v>EUR_EURIBOR_EOD</v>
          </cell>
          <cell r="C558">
            <v>60513</v>
          </cell>
          <cell r="E558">
            <v>1.62647571843418E-2</v>
          </cell>
        </row>
        <row r="559">
          <cell r="A559" t="str">
            <v>EUR_EURIBOR_EOD</v>
          </cell>
          <cell r="C559">
            <v>64165</v>
          </cell>
          <cell r="E559">
            <v>1.5925430015588399E-2</v>
          </cell>
        </row>
        <row r="560">
          <cell r="A560" t="str">
            <v>GBP_LIBOR_12M_EOD</v>
          </cell>
          <cell r="C560">
            <v>42614</v>
          </cell>
          <cell r="E560">
            <v>1.0487758952841601E-2</v>
          </cell>
        </row>
        <row r="561">
          <cell r="A561" t="str">
            <v>GBP_LIBOR_12M_EOD</v>
          </cell>
          <cell r="C561">
            <v>42646</v>
          </cell>
          <cell r="E561">
            <v>1.0631017560402099E-2</v>
          </cell>
        </row>
        <row r="562">
          <cell r="A562" t="str">
            <v>GBP_LIBOR_12M_EOD</v>
          </cell>
          <cell r="C562">
            <v>42675</v>
          </cell>
          <cell r="E562">
            <v>1.0824565455443001E-2</v>
          </cell>
        </row>
        <row r="563">
          <cell r="A563" t="str">
            <v>GBP_LIBOR_12M_EOD</v>
          </cell>
          <cell r="C563">
            <v>42705</v>
          </cell>
          <cell r="E563">
            <v>1.1047778705074099E-2</v>
          </cell>
        </row>
        <row r="564">
          <cell r="A564" t="str">
            <v>GBP_LIBOR_12M_EOD</v>
          </cell>
          <cell r="C564">
            <v>42738</v>
          </cell>
          <cell r="E564">
            <v>1.12953981178751E-2</v>
          </cell>
        </row>
        <row r="565">
          <cell r="A565" t="str">
            <v>GBP_LIBOR_12M_EOD</v>
          </cell>
          <cell r="C565">
            <v>42767</v>
          </cell>
          <cell r="E565">
            <v>1.1538525952060801E-2</v>
          </cell>
        </row>
        <row r="566">
          <cell r="A566" t="str">
            <v>GBP_LIBOR_12M_EOD</v>
          </cell>
          <cell r="C566">
            <v>42795</v>
          </cell>
          <cell r="E566">
            <v>1.1646958028551001E-2</v>
          </cell>
        </row>
        <row r="567">
          <cell r="A567" t="str">
            <v>GBP_LIBOR_12M_EOD</v>
          </cell>
          <cell r="C567">
            <v>42887</v>
          </cell>
          <cell r="E567">
            <v>1.2269487002607901E-2</v>
          </cell>
        </row>
        <row r="568">
          <cell r="A568" t="str">
            <v>GBP_LIBOR_12M_EOD</v>
          </cell>
          <cell r="C568">
            <v>42979</v>
          </cell>
          <cell r="E568">
            <v>1.25773882609173E-2</v>
          </cell>
        </row>
        <row r="569">
          <cell r="A569" t="str">
            <v>GBP_LIBOR_12M_EOD</v>
          </cell>
          <cell r="C569">
            <v>43346</v>
          </cell>
          <cell r="E569">
            <v>1.4526096698265101E-2</v>
          </cell>
        </row>
        <row r="570">
          <cell r="A570" t="str">
            <v>GBP_LIBOR_12M_EOD</v>
          </cell>
          <cell r="C570">
            <v>43710</v>
          </cell>
          <cell r="E570">
            <v>1.6248932312071002E-2</v>
          </cell>
        </row>
        <row r="571">
          <cell r="A571" t="str">
            <v>GBP_LIBOR_12M_EOD</v>
          </cell>
          <cell r="C571">
            <v>44075</v>
          </cell>
          <cell r="E571">
            <v>1.7704993087684699E-2</v>
          </cell>
        </row>
        <row r="572">
          <cell r="A572" t="str">
            <v>GBP_LIBOR_12M_EOD</v>
          </cell>
          <cell r="C572">
            <v>44440</v>
          </cell>
          <cell r="E572">
            <v>1.88381594703655E-2</v>
          </cell>
        </row>
        <row r="573">
          <cell r="A573" t="str">
            <v>GBP_LIBOR_12M_EOD</v>
          </cell>
          <cell r="C573">
            <v>44805</v>
          </cell>
          <cell r="E573">
            <v>1.97194147120026E-2</v>
          </cell>
        </row>
        <row r="574">
          <cell r="A574" t="str">
            <v>GBP_LIBOR_12M_EOD</v>
          </cell>
          <cell r="C574">
            <v>45170</v>
          </cell>
          <cell r="E574">
            <v>2.03967255636304E-2</v>
          </cell>
        </row>
        <row r="575">
          <cell r="A575" t="str">
            <v>GBP_LIBOR_12M_EOD</v>
          </cell>
          <cell r="C575">
            <v>45537</v>
          </cell>
          <cell r="E575">
            <v>2.0939837210381201E-2</v>
          </cell>
        </row>
        <row r="576">
          <cell r="A576" t="str">
            <v>GBP_LIBOR_12M_EOD</v>
          </cell>
          <cell r="C576">
            <v>45901</v>
          </cell>
          <cell r="E576">
            <v>2.1380659285102899E-2</v>
          </cell>
        </row>
        <row r="577">
          <cell r="A577" t="str">
            <v>GBP_LIBOR_12M_EOD</v>
          </cell>
          <cell r="C577">
            <v>46631</v>
          </cell>
          <cell r="E577">
            <v>2.2097960845084402E-2</v>
          </cell>
        </row>
        <row r="578">
          <cell r="A578" t="str">
            <v>GBP_LIBOR_12M_EOD</v>
          </cell>
          <cell r="C578">
            <v>47728</v>
          </cell>
          <cell r="E578">
            <v>2.2795761738802298E-2</v>
          </cell>
        </row>
        <row r="579">
          <cell r="A579" t="str">
            <v>GBP_LIBOR_12M_EOD</v>
          </cell>
          <cell r="C579">
            <v>49555</v>
          </cell>
          <cell r="E579">
            <v>2.3192925925830901E-2</v>
          </cell>
        </row>
        <row r="580">
          <cell r="A580" t="str">
            <v>GBP_LIBOR_12M_EOD</v>
          </cell>
          <cell r="C580">
            <v>51382</v>
          </cell>
          <cell r="E580">
            <v>2.2909260165107501E-2</v>
          </cell>
        </row>
        <row r="581">
          <cell r="A581" t="str">
            <v>GBP_LIBOR_12M_EOD</v>
          </cell>
          <cell r="C581">
            <v>53206</v>
          </cell>
          <cell r="E581">
            <v>2.26285441135161E-2</v>
          </cell>
        </row>
        <row r="582">
          <cell r="A582" t="str">
            <v>GBP_LIBOR_12M_EOD</v>
          </cell>
          <cell r="C582">
            <v>56858</v>
          </cell>
          <cell r="E582">
            <v>2.1850811468656001E-2</v>
          </cell>
        </row>
        <row r="583">
          <cell r="A583" t="str">
            <v>GBP_LIBOR_12M_EOD</v>
          </cell>
          <cell r="C583">
            <v>60511</v>
          </cell>
          <cell r="E583">
            <v>2.1013608121971301E-2</v>
          </cell>
        </row>
        <row r="584">
          <cell r="A584" t="str">
            <v>GBP_LIBOR_12M_EOD</v>
          </cell>
          <cell r="C584">
            <v>64164</v>
          </cell>
          <cell r="E584">
            <v>2.09366137485625E-2</v>
          </cell>
        </row>
        <row r="585">
          <cell r="A585" t="str">
            <v>GBP_LIBOR_1M_EOD</v>
          </cell>
          <cell r="C585">
            <v>42278</v>
          </cell>
          <cell r="E585">
            <v>5.0514512044744601E-3</v>
          </cell>
        </row>
        <row r="586">
          <cell r="A586" t="str">
            <v>GBP_LIBOR_1M_EOD</v>
          </cell>
          <cell r="C586">
            <v>42310</v>
          </cell>
          <cell r="E586">
            <v>5.1178930707753197E-3</v>
          </cell>
        </row>
        <row r="587">
          <cell r="A587" t="str">
            <v>GBP_LIBOR_1M_EOD</v>
          </cell>
          <cell r="C587">
            <v>42339</v>
          </cell>
          <cell r="E587">
            <v>5.1861778731728302E-3</v>
          </cell>
        </row>
        <row r="588">
          <cell r="A588" t="str">
            <v>GBP_LIBOR_1M_EOD</v>
          </cell>
          <cell r="C588">
            <v>42430</v>
          </cell>
          <cell r="E588">
            <v>5.4619971307867101E-3</v>
          </cell>
        </row>
        <row r="589">
          <cell r="A589" t="str">
            <v>GBP_LIBOR_1M_EOD</v>
          </cell>
          <cell r="C589">
            <v>42522</v>
          </cell>
          <cell r="E589">
            <v>5.8590693282844601E-3</v>
          </cell>
        </row>
        <row r="590">
          <cell r="A590" t="str">
            <v>GBP_LIBOR_1M_EOD</v>
          </cell>
          <cell r="C590">
            <v>42614</v>
          </cell>
          <cell r="E590">
            <v>6.35846042935181E-3</v>
          </cell>
        </row>
        <row r="591">
          <cell r="A591" t="str">
            <v>GBP_LIBOR_1M_EOD</v>
          </cell>
          <cell r="C591">
            <v>42979</v>
          </cell>
          <cell r="E591">
            <v>8.4993116834254194E-3</v>
          </cell>
        </row>
        <row r="592">
          <cell r="A592" t="str">
            <v>GBP_LIBOR_1M_EOD</v>
          </cell>
          <cell r="C592">
            <v>43346</v>
          </cell>
          <cell r="E592">
            <v>1.06434827553692E-2</v>
          </cell>
        </row>
        <row r="593">
          <cell r="A593" t="str">
            <v>GBP_LIBOR_1M_EOD</v>
          </cell>
          <cell r="C593">
            <v>43710</v>
          </cell>
          <cell r="E593">
            <v>1.2511457933105E-2</v>
          </cell>
        </row>
        <row r="594">
          <cell r="A594" t="str">
            <v>GBP_LIBOR_1M_EOD</v>
          </cell>
          <cell r="C594">
            <v>44075</v>
          </cell>
          <cell r="E594">
            <v>1.40374507696884E-2</v>
          </cell>
        </row>
        <row r="595">
          <cell r="A595" t="str">
            <v>GBP_LIBOR_1M_EOD</v>
          </cell>
          <cell r="C595">
            <v>44440</v>
          </cell>
          <cell r="E595">
            <v>1.5225781592864999E-2</v>
          </cell>
        </row>
        <row r="596">
          <cell r="A596" t="str">
            <v>GBP_LIBOR_1M_EOD</v>
          </cell>
          <cell r="C596">
            <v>44805</v>
          </cell>
          <cell r="E596">
            <v>1.6174251660551399E-2</v>
          </cell>
        </row>
        <row r="597">
          <cell r="A597" t="str">
            <v>GBP_LIBOR_1M_EOD</v>
          </cell>
          <cell r="C597">
            <v>45170</v>
          </cell>
          <cell r="E597">
            <v>1.6944593539697999E-2</v>
          </cell>
        </row>
        <row r="598">
          <cell r="A598" t="str">
            <v>GBP_LIBOR_1M_EOD</v>
          </cell>
          <cell r="C598">
            <v>45537</v>
          </cell>
          <cell r="E598">
            <v>1.75808489134563E-2</v>
          </cell>
        </row>
        <row r="599">
          <cell r="A599" t="str">
            <v>GBP_LIBOR_1M_EOD</v>
          </cell>
          <cell r="C599">
            <v>45901</v>
          </cell>
          <cell r="E599">
            <v>1.8115184329486798E-2</v>
          </cell>
        </row>
        <row r="600">
          <cell r="A600" t="str">
            <v>GBP_LIBOR_1M_EOD</v>
          </cell>
          <cell r="C600">
            <v>46631</v>
          </cell>
          <cell r="E600">
            <v>1.9062264710035502E-2</v>
          </cell>
        </row>
        <row r="601">
          <cell r="A601" t="str">
            <v>GBP_LIBOR_1M_EOD</v>
          </cell>
          <cell r="C601">
            <v>47728</v>
          </cell>
          <cell r="E601">
            <v>2.0117160736595498E-2</v>
          </cell>
        </row>
        <row r="602">
          <cell r="A602" t="str">
            <v>GBP_LIBOR_1M_EOD</v>
          </cell>
          <cell r="C602">
            <v>49555</v>
          </cell>
          <cell r="E602">
            <v>2.0948891019848499E-2</v>
          </cell>
        </row>
        <row r="603">
          <cell r="A603" t="str">
            <v>GBP_LIBOR_1M_EOD</v>
          </cell>
          <cell r="C603">
            <v>51382</v>
          </cell>
          <cell r="E603">
            <v>2.09485183666543E-2</v>
          </cell>
        </row>
        <row r="604">
          <cell r="A604" t="str">
            <v>GBP_LIBOR_1M_EOD</v>
          </cell>
          <cell r="C604">
            <v>53206</v>
          </cell>
          <cell r="E604">
            <v>2.09009704881052E-2</v>
          </cell>
        </row>
        <row r="605">
          <cell r="A605" t="str">
            <v>GBP_LIBOR_1M_EOD</v>
          </cell>
          <cell r="C605">
            <v>56858</v>
          </cell>
          <cell r="E605">
            <v>2.0259715674397102E-2</v>
          </cell>
        </row>
        <row r="606">
          <cell r="A606" t="str">
            <v>GBP_LIBOR_1M_EOD</v>
          </cell>
          <cell r="C606">
            <v>60511</v>
          </cell>
          <cell r="E606">
            <v>1.9758911052468402E-2</v>
          </cell>
        </row>
        <row r="607">
          <cell r="A607" t="str">
            <v>GBP_LIBOR_1M_EOD</v>
          </cell>
          <cell r="C607">
            <v>64164</v>
          </cell>
          <cell r="E607">
            <v>1.9820751725037701E-2</v>
          </cell>
        </row>
        <row r="608">
          <cell r="A608" t="str">
            <v>GBP_LIBOR_3M_EOD</v>
          </cell>
          <cell r="C608">
            <v>42339</v>
          </cell>
          <cell r="E608">
            <v>5.8520288709879896E-3</v>
          </cell>
        </row>
        <row r="609">
          <cell r="A609" t="str">
            <v>GBP_LIBOR_3M_EOD</v>
          </cell>
          <cell r="C609">
            <v>42354</v>
          </cell>
          <cell r="E609">
            <v>5.9743546952539302E-3</v>
          </cell>
        </row>
        <row r="610">
          <cell r="A610" t="str">
            <v>GBP_LIBOR_3M_EOD</v>
          </cell>
          <cell r="C610">
            <v>42445</v>
          </cell>
          <cell r="E610">
            <v>6.2567022646158902E-3</v>
          </cell>
        </row>
        <row r="611">
          <cell r="A611" t="str">
            <v>GBP_LIBOR_3M_EOD</v>
          </cell>
          <cell r="C611">
            <v>42536</v>
          </cell>
          <cell r="E611">
            <v>6.7034483686041601E-3</v>
          </cell>
        </row>
        <row r="612">
          <cell r="A612" t="str">
            <v>GBP_LIBOR_3M_EOD</v>
          </cell>
          <cell r="C612">
            <v>42634</v>
          </cell>
          <cell r="E612">
            <v>7.2231263239309297E-3</v>
          </cell>
        </row>
        <row r="613">
          <cell r="A613" t="str">
            <v>GBP_LIBOR_3M_EOD</v>
          </cell>
          <cell r="C613">
            <v>42725</v>
          </cell>
          <cell r="E613">
            <v>7.7389036110626199E-3</v>
          </cell>
        </row>
        <row r="614">
          <cell r="A614" t="str">
            <v>GBP_LIBOR_3M_EOD</v>
          </cell>
          <cell r="C614">
            <v>42809</v>
          </cell>
          <cell r="E614">
            <v>8.2720028374090298E-3</v>
          </cell>
        </row>
        <row r="615">
          <cell r="A615" t="str">
            <v>GBP_LIBOR_3M_EOD</v>
          </cell>
          <cell r="C615">
            <v>42907</v>
          </cell>
          <cell r="E615">
            <v>8.9027187715982701E-3</v>
          </cell>
        </row>
        <row r="616">
          <cell r="A616" t="str">
            <v>GBP_LIBOR_3M_EOD</v>
          </cell>
          <cell r="C616">
            <v>42998</v>
          </cell>
          <cell r="E616">
            <v>9.4818045395601604E-3</v>
          </cell>
        </row>
        <row r="617">
          <cell r="A617" t="str">
            <v>GBP_LIBOR_3M_EOD</v>
          </cell>
          <cell r="C617">
            <v>43346</v>
          </cell>
          <cell r="E617">
            <v>1.14862580297596E-2</v>
          </cell>
        </row>
        <row r="618">
          <cell r="A618" t="str">
            <v>GBP_LIBOR_3M_EOD</v>
          </cell>
          <cell r="C618">
            <v>43710</v>
          </cell>
          <cell r="E618">
            <v>1.3340294550825801E-2</v>
          </cell>
        </row>
        <row r="619">
          <cell r="A619" t="str">
            <v>GBP_LIBOR_3M_EOD</v>
          </cell>
          <cell r="C619">
            <v>44075</v>
          </cell>
          <cell r="E619">
            <v>1.48570938650477E-2</v>
          </cell>
        </row>
        <row r="620">
          <cell r="A620" t="str">
            <v>GBP_LIBOR_3M_EOD</v>
          </cell>
          <cell r="C620">
            <v>44440</v>
          </cell>
          <cell r="E620">
            <v>1.6018686664217199E-2</v>
          </cell>
        </row>
        <row r="621">
          <cell r="A621" t="str">
            <v>GBP_LIBOR_3M_EOD</v>
          </cell>
          <cell r="C621">
            <v>44805</v>
          </cell>
          <cell r="E621">
            <v>1.69277648041837E-2</v>
          </cell>
        </row>
        <row r="622">
          <cell r="A622" t="str">
            <v>GBP_LIBOR_3M_EOD</v>
          </cell>
          <cell r="C622">
            <v>45170</v>
          </cell>
          <cell r="E622">
            <v>1.7671861725249E-2</v>
          </cell>
        </row>
        <row r="623">
          <cell r="A623" t="str">
            <v>GBP_LIBOR_3M_EOD</v>
          </cell>
          <cell r="C623">
            <v>45537</v>
          </cell>
          <cell r="E623">
            <v>1.82817840274772E-2</v>
          </cell>
        </row>
        <row r="624">
          <cell r="A624" t="str">
            <v>GBP_LIBOR_3M_EOD</v>
          </cell>
          <cell r="C624">
            <v>45901</v>
          </cell>
          <cell r="E624">
            <v>1.8803002032833201E-2</v>
          </cell>
        </row>
        <row r="625">
          <cell r="A625" t="str">
            <v>GBP_LIBOR_3M_EOD</v>
          </cell>
          <cell r="C625">
            <v>46631</v>
          </cell>
          <cell r="E625">
            <v>1.9736830166788798E-2</v>
          </cell>
        </row>
        <row r="626">
          <cell r="A626" t="str">
            <v>GBP_LIBOR_3M_EOD</v>
          </cell>
          <cell r="C626">
            <v>47728</v>
          </cell>
          <cell r="E626">
            <v>2.07650100419055E-2</v>
          </cell>
        </row>
        <row r="627">
          <cell r="A627" t="str">
            <v>GBP_LIBOR_3M_EOD</v>
          </cell>
          <cell r="C627">
            <v>49555</v>
          </cell>
          <cell r="E627">
            <v>2.1554452363934301E-2</v>
          </cell>
        </row>
        <row r="628">
          <cell r="A628" t="str">
            <v>GBP_LIBOR_3M_EOD</v>
          </cell>
          <cell r="C628">
            <v>51382</v>
          </cell>
          <cell r="E628">
            <v>2.1525544267601501E-2</v>
          </cell>
        </row>
        <row r="629">
          <cell r="A629" t="str">
            <v>GBP_LIBOR_3M_EOD</v>
          </cell>
          <cell r="C629">
            <v>53206</v>
          </cell>
          <cell r="E629">
            <v>2.1431311479050801E-2</v>
          </cell>
        </row>
        <row r="630">
          <cell r="A630" t="str">
            <v>GBP_LIBOR_3M_EOD</v>
          </cell>
          <cell r="C630">
            <v>56858</v>
          </cell>
          <cell r="E630">
            <v>2.0744628254858399E-2</v>
          </cell>
        </row>
        <row r="631">
          <cell r="A631" t="str">
            <v>GBP_LIBOR_3M_EOD</v>
          </cell>
          <cell r="C631">
            <v>60511</v>
          </cell>
          <cell r="E631">
            <v>2.02130308995019E-2</v>
          </cell>
        </row>
        <row r="632">
          <cell r="A632" t="str">
            <v>GBP_LIBOR_3M_EOD</v>
          </cell>
          <cell r="C632">
            <v>64164</v>
          </cell>
          <cell r="E632">
            <v>2.0239298438421201E-2</v>
          </cell>
        </row>
        <row r="633">
          <cell r="A633" t="str">
            <v>GBP_LIBOR_6M_EOD</v>
          </cell>
          <cell r="C633">
            <v>42430</v>
          </cell>
          <cell r="E633">
            <v>7.4175656874858904E-3</v>
          </cell>
        </row>
        <row r="634">
          <cell r="A634" t="str">
            <v>GBP_LIBOR_6M_EOD</v>
          </cell>
          <cell r="C634">
            <v>42614</v>
          </cell>
          <cell r="E634">
            <v>8.2654291173826794E-3</v>
          </cell>
        </row>
        <row r="635">
          <cell r="A635" t="str">
            <v>GBP_LIBOR_6M_EOD</v>
          </cell>
          <cell r="C635">
            <v>42795</v>
          </cell>
          <cell r="E635">
            <v>9.3035391657449208E-3</v>
          </cell>
        </row>
        <row r="636">
          <cell r="A636" t="str">
            <v>GBP_LIBOR_6M_EOD</v>
          </cell>
          <cell r="C636">
            <v>42979</v>
          </cell>
          <cell r="E636">
            <v>1.0492242491745799E-2</v>
          </cell>
        </row>
        <row r="637">
          <cell r="A637" t="str">
            <v>GBP_LIBOR_6M_EOD</v>
          </cell>
          <cell r="C637">
            <v>43346</v>
          </cell>
          <cell r="E637">
            <v>1.2632978986061799E-2</v>
          </cell>
        </row>
        <row r="638">
          <cell r="A638" t="str">
            <v>GBP_LIBOR_6M_EOD</v>
          </cell>
          <cell r="C638">
            <v>43710</v>
          </cell>
          <cell r="E638">
            <v>1.4508945050589301E-2</v>
          </cell>
        </row>
        <row r="639">
          <cell r="A639" t="str">
            <v>GBP_LIBOR_6M_EOD</v>
          </cell>
          <cell r="C639">
            <v>44075</v>
          </cell>
          <cell r="E639">
            <v>1.6069988247436301E-2</v>
          </cell>
        </row>
        <row r="640">
          <cell r="A640" t="str">
            <v>GBP_LIBOR_6M_EOD</v>
          </cell>
          <cell r="C640">
            <v>44440</v>
          </cell>
          <cell r="E640">
            <v>1.7281955348014001E-2</v>
          </cell>
        </row>
        <row r="641">
          <cell r="A641" t="str">
            <v>GBP_LIBOR_6M_EOD</v>
          </cell>
          <cell r="C641">
            <v>44805</v>
          </cell>
          <cell r="E641">
            <v>1.82159237181693E-2</v>
          </cell>
        </row>
        <row r="642">
          <cell r="A642" t="str">
            <v>GBP_LIBOR_6M_EOD</v>
          </cell>
          <cell r="C642">
            <v>45170</v>
          </cell>
          <cell r="E642">
            <v>1.8958934039144799E-2</v>
          </cell>
        </row>
        <row r="643">
          <cell r="A643" t="str">
            <v>GBP_LIBOR_6M_EOD</v>
          </cell>
          <cell r="C643">
            <v>45537</v>
          </cell>
          <cell r="E643">
            <v>1.95812495216038E-2</v>
          </cell>
        </row>
        <row r="644">
          <cell r="A644" t="str">
            <v>GBP_LIBOR_6M_EOD</v>
          </cell>
          <cell r="C644">
            <v>45901</v>
          </cell>
          <cell r="E644">
            <v>2.0088388800558001E-2</v>
          </cell>
        </row>
        <row r="645">
          <cell r="A645" t="str">
            <v>GBP_LIBOR_6M_EOD</v>
          </cell>
          <cell r="C645">
            <v>46631</v>
          </cell>
          <cell r="E645">
            <v>2.09388653919357E-2</v>
          </cell>
        </row>
        <row r="646">
          <cell r="A646" t="str">
            <v>GBP_LIBOR_6M_EOD</v>
          </cell>
          <cell r="C646">
            <v>47728</v>
          </cell>
          <cell r="E646">
            <v>2.17837510533225E-2</v>
          </cell>
        </row>
        <row r="647">
          <cell r="A647" t="str">
            <v>GBP_LIBOR_6M_EOD</v>
          </cell>
          <cell r="C647">
            <v>49555</v>
          </cell>
          <cell r="E647">
            <v>2.2329519943826301E-2</v>
          </cell>
        </row>
        <row r="648">
          <cell r="A648" t="str">
            <v>GBP_LIBOR_6M_EOD</v>
          </cell>
          <cell r="C648">
            <v>51382</v>
          </cell>
          <cell r="E648">
            <v>2.2172573363977901E-2</v>
          </cell>
        </row>
        <row r="649">
          <cell r="A649" t="str">
            <v>GBP_LIBOR_6M_EOD</v>
          </cell>
          <cell r="C649">
            <v>53206</v>
          </cell>
          <cell r="E649">
            <v>2.1976306688013699E-2</v>
          </cell>
        </row>
        <row r="650">
          <cell r="A650" t="str">
            <v>GBP_LIBOR_6M_EOD</v>
          </cell>
          <cell r="C650">
            <v>56858</v>
          </cell>
          <cell r="E650">
            <v>2.11745570066957E-2</v>
          </cell>
        </row>
        <row r="651">
          <cell r="A651" t="str">
            <v>GBP_LIBOR_6M_EOD</v>
          </cell>
          <cell r="C651">
            <v>60511</v>
          </cell>
          <cell r="E651">
            <v>2.05891715366548E-2</v>
          </cell>
        </row>
        <row r="652">
          <cell r="A652" t="str">
            <v>GBP_LIBOR_6M_EOD</v>
          </cell>
          <cell r="C652">
            <v>64164</v>
          </cell>
          <cell r="E652">
            <v>2.0571397569328999E-2</v>
          </cell>
        </row>
        <row r="653">
          <cell r="A653" t="str">
            <v>GBP_LIBOR_EOD</v>
          </cell>
          <cell r="C653">
            <v>42249</v>
          </cell>
          <cell r="E653">
            <v>4.8124682740251102E-3</v>
          </cell>
        </row>
        <row r="654">
          <cell r="A654" t="str">
            <v>GBP_LIBOR_EOD</v>
          </cell>
          <cell r="C654">
            <v>42255</v>
          </cell>
          <cell r="E654">
            <v>4.8922704857341801E-3</v>
          </cell>
        </row>
        <row r="655">
          <cell r="A655" t="str">
            <v>GBP_LIBOR_EOD</v>
          </cell>
          <cell r="C655">
            <v>42354</v>
          </cell>
          <cell r="E655">
            <v>5.8494856864854802E-3</v>
          </cell>
        </row>
        <row r="656">
          <cell r="A656" t="str">
            <v>GBP_LIBOR_EOD</v>
          </cell>
          <cell r="C656">
            <v>42445</v>
          </cell>
          <cell r="E656">
            <v>6.18951386395901E-3</v>
          </cell>
        </row>
        <row r="657">
          <cell r="A657" t="str">
            <v>GBP_LIBOR_EOD</v>
          </cell>
          <cell r="C657">
            <v>42536</v>
          </cell>
          <cell r="E657">
            <v>6.6574896362105902E-3</v>
          </cell>
        </row>
        <row r="658">
          <cell r="A658" t="str">
            <v>GBP_LIBOR_EOD</v>
          </cell>
          <cell r="C658">
            <v>42634</v>
          </cell>
          <cell r="E658">
            <v>7.1888358707460197E-3</v>
          </cell>
        </row>
        <row r="659">
          <cell r="A659" t="str">
            <v>GBP_LIBOR_EOD</v>
          </cell>
          <cell r="C659">
            <v>42725</v>
          </cell>
          <cell r="E659">
            <v>7.7111549424475397E-3</v>
          </cell>
        </row>
        <row r="660">
          <cell r="A660" t="str">
            <v>GBP_LIBOR_EOD</v>
          </cell>
          <cell r="C660">
            <v>42809</v>
          </cell>
          <cell r="E660">
            <v>8.2484090496561802E-3</v>
          </cell>
        </row>
        <row r="661">
          <cell r="A661" t="str">
            <v>GBP_LIBOR_EOD</v>
          </cell>
          <cell r="C661">
            <v>42907</v>
          </cell>
          <cell r="E661">
            <v>8.88263361996036E-3</v>
          </cell>
        </row>
        <row r="662">
          <cell r="A662" t="str">
            <v>GBP_LIBOR_EOD</v>
          </cell>
          <cell r="C662">
            <v>42998</v>
          </cell>
          <cell r="E662">
            <v>9.46415638632098E-3</v>
          </cell>
        </row>
        <row r="663">
          <cell r="A663" t="str">
            <v>GBP_LIBOR_EOD</v>
          </cell>
          <cell r="C663">
            <v>43346</v>
          </cell>
          <cell r="E663">
            <v>1.26587235676774E-2</v>
          </cell>
        </row>
        <row r="664">
          <cell r="A664" t="str">
            <v>GBP_LIBOR_EOD</v>
          </cell>
          <cell r="C664">
            <v>43710</v>
          </cell>
          <cell r="E664">
            <v>1.4541874593492101E-2</v>
          </cell>
        </row>
        <row r="665">
          <cell r="A665" t="str">
            <v>GBP_LIBOR_EOD</v>
          </cell>
          <cell r="C665">
            <v>44075</v>
          </cell>
          <cell r="E665">
            <v>1.61081591460655E-2</v>
          </cell>
        </row>
        <row r="666">
          <cell r="A666" t="str">
            <v>GBP_LIBOR_EOD</v>
          </cell>
          <cell r="C666">
            <v>44440</v>
          </cell>
          <cell r="E666">
            <v>1.7325649810343499E-2</v>
          </cell>
        </row>
        <row r="667">
          <cell r="A667" t="str">
            <v>GBP_LIBOR_EOD</v>
          </cell>
          <cell r="C667">
            <v>44805</v>
          </cell>
          <cell r="E667">
            <v>1.82643123800749E-2</v>
          </cell>
        </row>
        <row r="668">
          <cell r="A668" t="str">
            <v>GBP_LIBOR_EOD</v>
          </cell>
          <cell r="C668">
            <v>45170</v>
          </cell>
          <cell r="E668">
            <v>1.9011270197628102E-2</v>
          </cell>
        </row>
        <row r="669">
          <cell r="A669" t="str">
            <v>GBP_LIBOR_EOD</v>
          </cell>
          <cell r="C669">
            <v>45537</v>
          </cell>
          <cell r="E669">
            <v>1.9637144943051601E-2</v>
          </cell>
        </row>
        <row r="670">
          <cell r="A670" t="str">
            <v>GBP_LIBOR_EOD</v>
          </cell>
          <cell r="C670">
            <v>45901</v>
          </cell>
          <cell r="E670">
            <v>2.01469443594922E-2</v>
          </cell>
        </row>
        <row r="671">
          <cell r="A671" t="str">
            <v>GBP_LIBOR_EOD</v>
          </cell>
          <cell r="C671">
            <v>46631</v>
          </cell>
          <cell r="E671">
            <v>2.1002807481671899E-2</v>
          </cell>
        </row>
        <row r="672">
          <cell r="A672" t="str">
            <v>GBP_LIBOR_EOD</v>
          </cell>
          <cell r="C672">
            <v>47728</v>
          </cell>
          <cell r="E672">
            <v>2.1851198844522801E-2</v>
          </cell>
        </row>
        <row r="673">
          <cell r="A673" t="str">
            <v>GBP_LIBOR_EOD</v>
          </cell>
          <cell r="C673">
            <v>49555</v>
          </cell>
          <cell r="E673">
            <v>2.2391587202253399E-2</v>
          </cell>
        </row>
        <row r="674">
          <cell r="A674" t="str">
            <v>GBP_LIBOR_EOD</v>
          </cell>
          <cell r="C674">
            <v>51382</v>
          </cell>
          <cell r="E674">
            <v>2.2220557369792102E-2</v>
          </cell>
        </row>
        <row r="675">
          <cell r="A675" t="str">
            <v>GBP_LIBOR_EOD</v>
          </cell>
          <cell r="C675">
            <v>53206</v>
          </cell>
          <cell r="E675">
            <v>2.2013242028322201E-2</v>
          </cell>
        </row>
        <row r="676">
          <cell r="A676" t="str">
            <v>GBP_LIBOR_EOD</v>
          </cell>
          <cell r="C676">
            <v>56858</v>
          </cell>
          <cell r="E676">
            <v>2.1185830033368599E-2</v>
          </cell>
        </row>
        <row r="677">
          <cell r="A677" t="str">
            <v>GBP_LIBOR_EOD</v>
          </cell>
          <cell r="C677">
            <v>60511</v>
          </cell>
          <cell r="E677">
            <v>2.0583099071805701E-2</v>
          </cell>
        </row>
        <row r="678">
          <cell r="A678" t="str">
            <v>GBP_LIBOR_EOD</v>
          </cell>
          <cell r="C678">
            <v>64164</v>
          </cell>
          <cell r="E678">
            <v>2.05645234991178E-2</v>
          </cell>
        </row>
        <row r="679">
          <cell r="A679" t="str">
            <v>GBP_SONIA_EOD</v>
          </cell>
          <cell r="C679">
            <v>42249</v>
          </cell>
          <cell r="E679">
            <v>4.5859711900806998E-3</v>
          </cell>
        </row>
        <row r="680">
          <cell r="A680" t="str">
            <v>GBP_SONIA_EOD</v>
          </cell>
          <cell r="C680">
            <v>42255</v>
          </cell>
          <cell r="E680">
            <v>4.5997971078242496E-3</v>
          </cell>
        </row>
        <row r="681">
          <cell r="A681" t="str">
            <v>GBP_SONIA_EOD</v>
          </cell>
          <cell r="C681">
            <v>42262</v>
          </cell>
          <cell r="E681">
            <v>4.6005940630791803E-3</v>
          </cell>
        </row>
        <row r="682">
          <cell r="A682" t="str">
            <v>GBP_SONIA_EOD</v>
          </cell>
          <cell r="C682">
            <v>42278</v>
          </cell>
          <cell r="E682">
            <v>4.5962567163161903E-3</v>
          </cell>
        </row>
        <row r="683">
          <cell r="A683" t="str">
            <v>GBP_SONIA_EOD</v>
          </cell>
          <cell r="C683">
            <v>42310</v>
          </cell>
          <cell r="E683">
            <v>4.6128589855389899E-3</v>
          </cell>
        </row>
        <row r="684">
          <cell r="A684" t="str">
            <v>GBP_SONIA_EOD</v>
          </cell>
          <cell r="C684">
            <v>42339</v>
          </cell>
          <cell r="E684">
            <v>4.6973733180199996E-3</v>
          </cell>
        </row>
        <row r="685">
          <cell r="A685" t="str">
            <v>GBP_SONIA_EOD</v>
          </cell>
          <cell r="C685">
            <v>42373</v>
          </cell>
          <cell r="E685">
            <v>4.7571228574929099E-3</v>
          </cell>
        </row>
        <row r="686">
          <cell r="A686" t="str">
            <v>GBP_SONIA_EOD</v>
          </cell>
          <cell r="C686">
            <v>42401</v>
          </cell>
          <cell r="E686">
            <v>4.80565642895026E-3</v>
          </cell>
        </row>
        <row r="687">
          <cell r="A687" t="str">
            <v>GBP_SONIA_EOD</v>
          </cell>
          <cell r="C687">
            <v>42430</v>
          </cell>
          <cell r="E687">
            <v>4.9345492517148199E-3</v>
          </cell>
        </row>
        <row r="688">
          <cell r="A688" t="str">
            <v>GBP_SONIA_EOD</v>
          </cell>
          <cell r="C688">
            <v>42461</v>
          </cell>
          <cell r="E688">
            <v>5.0436951406602898E-3</v>
          </cell>
        </row>
        <row r="689">
          <cell r="A689" t="str">
            <v>GBP_SONIA_EOD</v>
          </cell>
          <cell r="C689">
            <v>42493</v>
          </cell>
          <cell r="E689">
            <v>5.1199421282896399E-3</v>
          </cell>
        </row>
        <row r="690">
          <cell r="A690" t="str">
            <v>GBP_SONIA_EOD</v>
          </cell>
          <cell r="C690">
            <v>42522</v>
          </cell>
          <cell r="E690">
            <v>5.2640853232764802E-3</v>
          </cell>
        </row>
        <row r="691">
          <cell r="A691" t="str">
            <v>GBP_SONIA_EOD</v>
          </cell>
          <cell r="C691">
            <v>42552</v>
          </cell>
          <cell r="E691">
            <v>5.4018301807736199E-3</v>
          </cell>
        </row>
        <row r="692">
          <cell r="A692" t="str">
            <v>GBP_SONIA_EOD</v>
          </cell>
          <cell r="C692">
            <v>42583</v>
          </cell>
          <cell r="E692">
            <v>5.5307719284304101E-3</v>
          </cell>
        </row>
        <row r="693">
          <cell r="A693" t="str">
            <v>GBP_SONIA_EOD</v>
          </cell>
          <cell r="C693">
            <v>42614</v>
          </cell>
          <cell r="E693">
            <v>5.6710118198960704E-3</v>
          </cell>
        </row>
        <row r="694">
          <cell r="A694" t="str">
            <v>GBP_SONIA_EOD</v>
          </cell>
          <cell r="C694">
            <v>42705</v>
          </cell>
          <cell r="E694">
            <v>6.0925818491108404E-3</v>
          </cell>
        </row>
        <row r="695">
          <cell r="A695" t="str">
            <v>GBP_SONIA_EOD</v>
          </cell>
          <cell r="C695">
            <v>42795</v>
          </cell>
          <cell r="E695">
            <v>6.5568478618891601E-3</v>
          </cell>
        </row>
        <row r="696">
          <cell r="A696" t="str">
            <v>GBP_SONIA_EOD</v>
          </cell>
          <cell r="C696">
            <v>42887</v>
          </cell>
          <cell r="E696">
            <v>7.0780045270369902E-3</v>
          </cell>
        </row>
        <row r="697">
          <cell r="A697" t="str">
            <v>GBP_SONIA_EOD</v>
          </cell>
          <cell r="C697">
            <v>42979</v>
          </cell>
          <cell r="E697">
            <v>7.5977627193596397E-3</v>
          </cell>
        </row>
        <row r="698">
          <cell r="A698" t="str">
            <v>GBP_SONIA_EOD</v>
          </cell>
          <cell r="C698">
            <v>43346</v>
          </cell>
          <cell r="E698">
            <v>9.62916720116915E-3</v>
          </cell>
        </row>
        <row r="699">
          <cell r="A699" t="str">
            <v>GBP_SONIA_EOD</v>
          </cell>
          <cell r="C699">
            <v>43710</v>
          </cell>
          <cell r="E699">
            <v>1.13965505885429E-2</v>
          </cell>
        </row>
        <row r="700">
          <cell r="A700" t="str">
            <v>GBP_SONIA_EOD</v>
          </cell>
          <cell r="C700">
            <v>44075</v>
          </cell>
          <cell r="E700">
            <v>1.28767697938973E-2</v>
          </cell>
        </row>
        <row r="701">
          <cell r="A701" t="str">
            <v>GBP_SONIA_EOD</v>
          </cell>
          <cell r="C701">
            <v>44440</v>
          </cell>
          <cell r="E701">
            <v>1.40138070474536E-2</v>
          </cell>
        </row>
        <row r="702">
          <cell r="A702" t="str">
            <v>GBP_SONIA_EOD</v>
          </cell>
          <cell r="C702">
            <v>44805</v>
          </cell>
          <cell r="E702">
            <v>1.49240665700079E-2</v>
          </cell>
        </row>
        <row r="703">
          <cell r="A703" t="str">
            <v>GBP_SONIA_EOD</v>
          </cell>
          <cell r="C703">
            <v>45170</v>
          </cell>
          <cell r="E703">
            <v>1.5682349301651698E-2</v>
          </cell>
        </row>
        <row r="704">
          <cell r="A704" t="str">
            <v>GBP_SONIA_EOD</v>
          </cell>
          <cell r="C704">
            <v>45537</v>
          </cell>
          <cell r="E704">
            <v>1.6333013751349101E-2</v>
          </cell>
        </row>
        <row r="705">
          <cell r="A705" t="str">
            <v>GBP_SONIA_EOD</v>
          </cell>
          <cell r="C705">
            <v>45901</v>
          </cell>
          <cell r="E705">
            <v>1.6881598049915798E-2</v>
          </cell>
        </row>
        <row r="706">
          <cell r="A706" t="str">
            <v>GBP_SONIA_EOD</v>
          </cell>
          <cell r="C706">
            <v>46631</v>
          </cell>
          <cell r="E706">
            <v>1.7884466595495599E-2</v>
          </cell>
        </row>
        <row r="707">
          <cell r="A707" t="str">
            <v>GBP_SONIA_EOD</v>
          </cell>
          <cell r="C707">
            <v>47728</v>
          </cell>
          <cell r="E707">
            <v>1.90386566506477E-2</v>
          </cell>
        </row>
        <row r="708">
          <cell r="A708" t="str">
            <v>GBP_SONIA_EOD</v>
          </cell>
          <cell r="C708">
            <v>49555</v>
          </cell>
          <cell r="E708">
            <v>2.0030110245469E-2</v>
          </cell>
        </row>
        <row r="709">
          <cell r="A709" t="str">
            <v>GBP_SONIA_EOD</v>
          </cell>
          <cell r="C709">
            <v>51382</v>
          </cell>
          <cell r="E709">
            <v>2.01479563457325E-2</v>
          </cell>
        </row>
        <row r="710">
          <cell r="A710" t="str">
            <v>GBP_SONIA_EOD</v>
          </cell>
          <cell r="C710">
            <v>53206</v>
          </cell>
          <cell r="E710">
            <v>2.0173880744219198E-2</v>
          </cell>
        </row>
        <row r="711">
          <cell r="A711" t="str">
            <v>GBP_SONIA_EOD</v>
          </cell>
          <cell r="C711">
            <v>56858</v>
          </cell>
          <cell r="E711">
            <v>1.9620483381547899E-2</v>
          </cell>
        </row>
        <row r="712">
          <cell r="A712" t="str">
            <v>GBP_SONIA_EOD</v>
          </cell>
          <cell r="C712">
            <v>60511</v>
          </cell>
          <cell r="E712">
            <v>1.9180253162519999E-2</v>
          </cell>
        </row>
        <row r="713">
          <cell r="A713" t="str">
            <v>GBP_SONIA_EOD</v>
          </cell>
          <cell r="C713">
            <v>64164</v>
          </cell>
          <cell r="E713">
            <v>1.9290633410674999E-2</v>
          </cell>
        </row>
        <row r="714">
          <cell r="A714" t="str">
            <v>HKD_HIBOR_3M_EOD</v>
          </cell>
          <cell r="C714">
            <v>42339</v>
          </cell>
          <cell r="E714">
            <v>4.10459908647686E-3</v>
          </cell>
        </row>
        <row r="715">
          <cell r="A715" t="str">
            <v>HKD_HIBOR_3M_EOD</v>
          </cell>
          <cell r="C715">
            <v>42430</v>
          </cell>
          <cell r="E715">
            <v>5.0001320041580498E-3</v>
          </cell>
        </row>
        <row r="716">
          <cell r="A716" t="str">
            <v>HKD_HIBOR_3M_EOD</v>
          </cell>
          <cell r="C716">
            <v>42522</v>
          </cell>
          <cell r="E716">
            <v>5.8371264734819704E-3</v>
          </cell>
        </row>
        <row r="717">
          <cell r="A717" t="str">
            <v>HKD_HIBOR_3M_EOD</v>
          </cell>
          <cell r="C717">
            <v>42614</v>
          </cell>
          <cell r="E717">
            <v>6.5209188911274103E-3</v>
          </cell>
        </row>
        <row r="718">
          <cell r="A718" t="str">
            <v>HKD_HIBOR_3M_EOD</v>
          </cell>
          <cell r="C718">
            <v>42979</v>
          </cell>
          <cell r="E718">
            <v>9.8464768281592199E-3</v>
          </cell>
        </row>
        <row r="719">
          <cell r="A719" t="str">
            <v>HKD_HIBOR_3M_EOD</v>
          </cell>
          <cell r="C719">
            <v>43346</v>
          </cell>
          <cell r="E719">
            <v>1.26181013407066E-2</v>
          </cell>
        </row>
        <row r="720">
          <cell r="A720" t="str">
            <v>HKD_HIBOR_3M_EOD</v>
          </cell>
          <cell r="C720">
            <v>43710</v>
          </cell>
          <cell r="E720">
            <v>1.49238115679068E-2</v>
          </cell>
        </row>
        <row r="721">
          <cell r="A721" t="str">
            <v>HKD_HIBOR_3M_EOD</v>
          </cell>
          <cell r="C721">
            <v>44075</v>
          </cell>
          <cell r="E721">
            <v>1.6613071594706302E-2</v>
          </cell>
        </row>
        <row r="722">
          <cell r="A722" t="str">
            <v>HKD_HIBOR_3M_EOD</v>
          </cell>
          <cell r="C722">
            <v>44805</v>
          </cell>
          <cell r="E722">
            <v>1.93383817784968E-2</v>
          </cell>
        </row>
        <row r="723">
          <cell r="A723" t="str">
            <v>HKD_HIBOR_3M_EOD</v>
          </cell>
          <cell r="C723">
            <v>45901</v>
          </cell>
          <cell r="E723">
            <v>2.1739659466884598E-2</v>
          </cell>
        </row>
        <row r="724">
          <cell r="A724" t="str">
            <v>HKD_HIBOR_3M_EOD</v>
          </cell>
          <cell r="C724">
            <v>46631</v>
          </cell>
          <cell r="E724">
            <v>2.2468010098505499E-2</v>
          </cell>
        </row>
        <row r="725">
          <cell r="A725" t="str">
            <v>HKD_HIBOR_3M_EOD</v>
          </cell>
          <cell r="C725">
            <v>47728</v>
          </cell>
          <cell r="E725">
            <v>2.33998203098203E-2</v>
          </cell>
        </row>
        <row r="726">
          <cell r="A726" t="str">
            <v>HKD_HIBOR_6M_EOD</v>
          </cell>
          <cell r="C726">
            <v>42430</v>
          </cell>
          <cell r="E726">
            <v>5.6503328214977701E-3</v>
          </cell>
        </row>
        <row r="727">
          <cell r="A727" t="str">
            <v>HKD_HIBOR_6M_EOD</v>
          </cell>
          <cell r="C727">
            <v>42614</v>
          </cell>
          <cell r="E727">
            <v>8.1277092928085399E-3</v>
          </cell>
        </row>
        <row r="728">
          <cell r="A728" t="str">
            <v>HKD_HIBOR_6M_EOD</v>
          </cell>
          <cell r="C728">
            <v>42979</v>
          </cell>
          <cell r="E728">
            <v>1.1240348241753E-2</v>
          </cell>
        </row>
        <row r="729">
          <cell r="A729" t="str">
            <v>HKD_HIBOR_6M_EOD</v>
          </cell>
          <cell r="C729">
            <v>43346</v>
          </cell>
          <cell r="E729">
            <v>1.3909926590922101E-2</v>
          </cell>
        </row>
        <row r="730">
          <cell r="A730" t="str">
            <v>HKD_HIBOR_6M_EOD</v>
          </cell>
          <cell r="C730">
            <v>43710</v>
          </cell>
          <cell r="E730">
            <v>1.6110650092040098E-2</v>
          </cell>
        </row>
        <row r="731">
          <cell r="A731" t="str">
            <v>HKD_HIBOR_6M_EOD</v>
          </cell>
          <cell r="C731">
            <v>44075</v>
          </cell>
          <cell r="E731">
            <v>1.7697739804501799E-2</v>
          </cell>
        </row>
        <row r="732">
          <cell r="A732" t="str">
            <v>HKD_HIBOR_6M_EOD</v>
          </cell>
          <cell r="C732">
            <v>44805</v>
          </cell>
          <cell r="E732">
            <v>2.0319404549079399E-2</v>
          </cell>
        </row>
        <row r="733">
          <cell r="A733" t="str">
            <v>HKD_HIBOR_6M_EOD</v>
          </cell>
          <cell r="C733">
            <v>45901</v>
          </cell>
          <cell r="E733">
            <v>2.2724028536565501E-2</v>
          </cell>
        </row>
        <row r="734">
          <cell r="A734" t="str">
            <v>HKD_HIBOR_6M_EOD</v>
          </cell>
          <cell r="C734">
            <v>46631</v>
          </cell>
          <cell r="E734">
            <v>2.3566259689867499E-2</v>
          </cell>
        </row>
        <row r="735">
          <cell r="A735" t="str">
            <v>HKD_HIBOR_6M_EOD</v>
          </cell>
          <cell r="C735">
            <v>47728</v>
          </cell>
          <cell r="E735">
            <v>2.44952470632573E-2</v>
          </cell>
        </row>
        <row r="736">
          <cell r="A736" t="str">
            <v>HKD_HIBOR_EOD</v>
          </cell>
          <cell r="C736">
            <v>42249</v>
          </cell>
          <cell r="E736">
            <v>5.4809958855390995E-4</v>
          </cell>
        </row>
        <row r="737">
          <cell r="A737" t="str">
            <v>HKD_HIBOR_EOD</v>
          </cell>
          <cell r="C737">
            <v>42255</v>
          </cell>
          <cell r="E737">
            <v>1.07928882998014E-3</v>
          </cell>
        </row>
        <row r="738">
          <cell r="A738" t="str">
            <v>HKD_HIBOR_EOD</v>
          </cell>
          <cell r="C738">
            <v>42279</v>
          </cell>
          <cell r="E738">
            <v>2.6022124215610101E-3</v>
          </cell>
        </row>
        <row r="739">
          <cell r="A739" t="str">
            <v>HKD_HIBOR_EOD</v>
          </cell>
          <cell r="C739">
            <v>42310</v>
          </cell>
          <cell r="E739">
            <v>3.3490472175966598E-3</v>
          </cell>
        </row>
        <row r="740">
          <cell r="A740" t="str">
            <v>HKD_HIBOR_EOD</v>
          </cell>
          <cell r="C740">
            <v>42339</v>
          </cell>
          <cell r="E740">
            <v>4.10459908647686E-3</v>
          </cell>
        </row>
        <row r="741">
          <cell r="A741" t="str">
            <v>HKD_HIBOR_EOD</v>
          </cell>
          <cell r="C741">
            <v>42430</v>
          </cell>
          <cell r="E741">
            <v>5.6503328214977701E-3</v>
          </cell>
        </row>
        <row r="742">
          <cell r="A742" t="str">
            <v>HKD_HIBOR_EOD</v>
          </cell>
          <cell r="C742">
            <v>42614</v>
          </cell>
          <cell r="E742">
            <v>6.6302811560758502E-3</v>
          </cell>
        </row>
        <row r="743">
          <cell r="A743" t="str">
            <v>HKD_HIBOR_EOD</v>
          </cell>
          <cell r="C743">
            <v>42979</v>
          </cell>
          <cell r="E743">
            <v>9.8455535230676603E-3</v>
          </cell>
        </row>
        <row r="744">
          <cell r="A744" t="str">
            <v>HKD_HIBOR_EOD</v>
          </cell>
          <cell r="C744">
            <v>43346</v>
          </cell>
          <cell r="E744">
            <v>1.26174869259501E-2</v>
          </cell>
        </row>
        <row r="745">
          <cell r="A745" t="str">
            <v>HKD_HIBOR_EOD</v>
          </cell>
          <cell r="C745">
            <v>43710</v>
          </cell>
          <cell r="E745">
            <v>1.4923372517612599E-2</v>
          </cell>
        </row>
        <row r="746">
          <cell r="A746" t="str">
            <v>HKD_HIBOR_EOD</v>
          </cell>
          <cell r="C746">
            <v>44075</v>
          </cell>
          <cell r="E746">
            <v>1.6612988867224201E-2</v>
          </cell>
        </row>
        <row r="747">
          <cell r="A747" t="str">
            <v>HKD_HIBOR_EOD</v>
          </cell>
          <cell r="C747">
            <v>44805</v>
          </cell>
          <cell r="E747">
            <v>1.9338322726150499E-2</v>
          </cell>
        </row>
        <row r="748">
          <cell r="A748" t="str">
            <v>HKD_HIBOR_EOD</v>
          </cell>
          <cell r="C748">
            <v>45901</v>
          </cell>
          <cell r="E748">
            <v>2.1738720991744499E-2</v>
          </cell>
        </row>
        <row r="749">
          <cell r="A749" t="str">
            <v>HKD_HIBOR_EOD</v>
          </cell>
          <cell r="C749">
            <v>46631</v>
          </cell>
          <cell r="E749">
            <v>2.24672682611823E-2</v>
          </cell>
        </row>
        <row r="750">
          <cell r="A750" t="str">
            <v>HKD_HIBOR_EOD</v>
          </cell>
          <cell r="C750">
            <v>47728</v>
          </cell>
          <cell r="E750">
            <v>2.3398536228546402E-2</v>
          </cell>
        </row>
        <row r="751">
          <cell r="A751" t="str">
            <v>HUF_BUBOR_3M_EOD</v>
          </cell>
          <cell r="C751">
            <v>42341</v>
          </cell>
          <cell r="E751">
            <v>1.37652415017983E-2</v>
          </cell>
        </row>
        <row r="752">
          <cell r="A752" t="str">
            <v>HUF_BUBOR_3M_EOD</v>
          </cell>
          <cell r="C752">
            <v>42432</v>
          </cell>
          <cell r="E752">
            <v>1.39651179378308E-2</v>
          </cell>
        </row>
        <row r="753">
          <cell r="A753" t="str">
            <v>HUF_BUBOR_3M_EOD</v>
          </cell>
          <cell r="C753">
            <v>42524</v>
          </cell>
          <cell r="E753">
            <v>1.4150976235410499E-2</v>
          </cell>
        </row>
        <row r="754">
          <cell r="A754" t="str">
            <v>HUF_BUBOR_3M_EOD</v>
          </cell>
          <cell r="C754">
            <v>42618</v>
          </cell>
          <cell r="E754">
            <v>1.43863972044227E-2</v>
          </cell>
        </row>
        <row r="755">
          <cell r="A755" t="str">
            <v>HUF_BUBOR_3M_EOD</v>
          </cell>
          <cell r="C755">
            <v>42982</v>
          </cell>
          <cell r="E755">
            <v>1.5796037862735701E-2</v>
          </cell>
        </row>
        <row r="756">
          <cell r="A756" t="str">
            <v>HUF_BUBOR_3M_EOD</v>
          </cell>
          <cell r="C756">
            <v>43346</v>
          </cell>
          <cell r="E756">
            <v>1.7712907502801401E-2</v>
          </cell>
        </row>
        <row r="757">
          <cell r="A757" t="str">
            <v>HUF_BUBOR_3M_EOD</v>
          </cell>
          <cell r="C757">
            <v>43711</v>
          </cell>
          <cell r="E757">
            <v>2.0194623536204499E-2</v>
          </cell>
        </row>
        <row r="758">
          <cell r="A758" t="str">
            <v>HUF_BUBOR_3M_EOD</v>
          </cell>
          <cell r="C758">
            <v>44077</v>
          </cell>
          <cell r="E758">
            <v>2.28893594177372E-2</v>
          </cell>
        </row>
        <row r="759">
          <cell r="A759" t="str">
            <v>HUF_BUBOR_3M_EOD</v>
          </cell>
          <cell r="C759">
            <v>44442</v>
          </cell>
          <cell r="E759">
            <v>2.53915924150507E-2</v>
          </cell>
        </row>
        <row r="760">
          <cell r="A760" t="str">
            <v>HUF_BUBOR_3M_EOD</v>
          </cell>
          <cell r="C760">
            <v>44809</v>
          </cell>
          <cell r="E760">
            <v>2.7817698846174702E-2</v>
          </cell>
        </row>
        <row r="761">
          <cell r="A761" t="str">
            <v>HUF_BUBOR_3M_EOD</v>
          </cell>
          <cell r="C761">
            <v>45173</v>
          </cell>
          <cell r="E761">
            <v>3.00727212010586E-2</v>
          </cell>
        </row>
        <row r="762">
          <cell r="A762" t="str">
            <v>HUF_BUBOR_3M_EOD</v>
          </cell>
          <cell r="C762">
            <v>45538</v>
          </cell>
          <cell r="E762">
            <v>3.1922749099012097E-2</v>
          </cell>
        </row>
        <row r="763">
          <cell r="A763" t="str">
            <v>HUF_BUBOR_3M_EOD</v>
          </cell>
          <cell r="C763">
            <v>45903</v>
          </cell>
          <cell r="E763">
            <v>3.3221854492738401E-2</v>
          </cell>
        </row>
        <row r="764">
          <cell r="A764" t="str">
            <v>HUF_BUBOR_3M_EOD</v>
          </cell>
          <cell r="C764">
            <v>46633</v>
          </cell>
          <cell r="E764">
            <v>3.4085716074857497E-2</v>
          </cell>
        </row>
        <row r="765">
          <cell r="A765" t="str">
            <v>HUF_BUBOR_3M_EOD</v>
          </cell>
          <cell r="C765">
            <v>47729</v>
          </cell>
          <cell r="E765">
            <v>3.4694158193107297E-2</v>
          </cell>
        </row>
        <row r="766">
          <cell r="A766" t="str">
            <v>HUF_BUBOR_3M_EOD</v>
          </cell>
          <cell r="C766">
            <v>49555</v>
          </cell>
          <cell r="E766">
            <v>3.49678222662144E-2</v>
          </cell>
        </row>
        <row r="767">
          <cell r="A767" t="str">
            <v>HUF_BUBOR_6M_EOD</v>
          </cell>
          <cell r="C767">
            <v>42432</v>
          </cell>
          <cell r="E767">
            <v>1.3842395936979E-2</v>
          </cell>
        </row>
        <row r="768">
          <cell r="A768" t="str">
            <v>HUF_BUBOR_6M_EOD</v>
          </cell>
          <cell r="C768">
            <v>42618</v>
          </cell>
          <cell r="E768">
            <v>1.43394111957958E-2</v>
          </cell>
        </row>
        <row r="769">
          <cell r="A769" t="str">
            <v>HUF_BUBOR_6M_EOD</v>
          </cell>
          <cell r="C769">
            <v>42797</v>
          </cell>
          <cell r="E769">
            <v>1.4877557067796801E-2</v>
          </cell>
        </row>
        <row r="770">
          <cell r="A770" t="str">
            <v>HUF_BUBOR_6M_EOD</v>
          </cell>
          <cell r="C770">
            <v>42982</v>
          </cell>
          <cell r="E770">
            <v>1.55791260445063E-2</v>
          </cell>
        </row>
        <row r="771">
          <cell r="A771" t="str">
            <v>HUF_BUBOR_6M_EOD</v>
          </cell>
          <cell r="C771">
            <v>43346</v>
          </cell>
          <cell r="E771">
            <v>1.7473582605043499E-2</v>
          </cell>
        </row>
        <row r="772">
          <cell r="A772" t="str">
            <v>HUF_BUBOR_6M_EOD</v>
          </cell>
          <cell r="C772">
            <v>43711</v>
          </cell>
          <cell r="E772">
            <v>1.98940044988241E-2</v>
          </cell>
        </row>
        <row r="773">
          <cell r="A773" t="str">
            <v>HUF_BUBOR_6M_EOD</v>
          </cell>
          <cell r="C773">
            <v>44077</v>
          </cell>
          <cell r="E773">
            <v>2.2548746945446299E-2</v>
          </cell>
        </row>
        <row r="774">
          <cell r="A774" t="str">
            <v>HUF_BUBOR_6M_EOD</v>
          </cell>
          <cell r="C774">
            <v>44442</v>
          </cell>
          <cell r="E774">
            <v>2.50313079610552E-2</v>
          </cell>
        </row>
        <row r="775">
          <cell r="A775" t="str">
            <v>HUF_BUBOR_6M_EOD</v>
          </cell>
          <cell r="C775">
            <v>44809</v>
          </cell>
          <cell r="E775">
            <v>2.74480211652244E-2</v>
          </cell>
        </row>
        <row r="776">
          <cell r="A776" t="str">
            <v>HUF_BUBOR_6M_EOD</v>
          </cell>
          <cell r="C776">
            <v>45173</v>
          </cell>
          <cell r="E776">
            <v>2.96915916562633E-2</v>
          </cell>
        </row>
        <row r="777">
          <cell r="A777" t="str">
            <v>HUF_BUBOR_6M_EOD</v>
          </cell>
          <cell r="C777">
            <v>45538</v>
          </cell>
          <cell r="E777">
            <v>3.15328088039925E-2</v>
          </cell>
        </row>
        <row r="778">
          <cell r="A778" t="str">
            <v>HUF_BUBOR_6M_EOD</v>
          </cell>
          <cell r="C778">
            <v>45903</v>
          </cell>
          <cell r="E778">
            <v>3.2832990884802099E-2</v>
          </cell>
        </row>
        <row r="779">
          <cell r="A779" t="str">
            <v>HUF_BUBOR_6M_EOD</v>
          </cell>
          <cell r="C779">
            <v>46633</v>
          </cell>
          <cell r="E779">
            <v>3.36982016295682E-2</v>
          </cell>
        </row>
        <row r="780">
          <cell r="A780" t="str">
            <v>HUF_BUBOR_6M_EOD</v>
          </cell>
          <cell r="C780">
            <v>47729</v>
          </cell>
          <cell r="E780">
            <v>3.4320811035876801E-2</v>
          </cell>
        </row>
        <row r="781">
          <cell r="A781" t="str">
            <v>HUF_BUBOR_6M_EOD</v>
          </cell>
          <cell r="C781">
            <v>49555</v>
          </cell>
          <cell r="E781">
            <v>3.4621686805613498E-2</v>
          </cell>
        </row>
        <row r="782">
          <cell r="A782" t="str">
            <v>HUF_BUBOR_EOD</v>
          </cell>
          <cell r="C782">
            <v>42249</v>
          </cell>
          <cell r="E782">
            <v>9.9359758720760395E-3</v>
          </cell>
        </row>
        <row r="783">
          <cell r="A783" t="str">
            <v>HUF_BUBOR_EOD</v>
          </cell>
          <cell r="C783">
            <v>42250</v>
          </cell>
          <cell r="E783">
            <v>9.9359758720406095E-3</v>
          </cell>
        </row>
        <row r="784">
          <cell r="A784" t="str">
            <v>HUF_BUBOR_EOD</v>
          </cell>
          <cell r="C784">
            <v>42257</v>
          </cell>
          <cell r="E784">
            <v>1.2694755984120801E-2</v>
          </cell>
        </row>
        <row r="785">
          <cell r="A785" t="str">
            <v>HUF_BUBOR_EOD</v>
          </cell>
          <cell r="C785">
            <v>42282</v>
          </cell>
          <cell r="E785">
            <v>1.34590988763259E-2</v>
          </cell>
        </row>
        <row r="786">
          <cell r="A786" t="str">
            <v>HUF_BUBOR_EOD</v>
          </cell>
          <cell r="C786">
            <v>42311</v>
          </cell>
          <cell r="E786">
            <v>1.35532689809239E-2</v>
          </cell>
        </row>
        <row r="787">
          <cell r="A787" t="str">
            <v>HUF_BUBOR_EOD</v>
          </cell>
          <cell r="C787">
            <v>42341</v>
          </cell>
          <cell r="E787">
            <v>1.36828917033086E-2</v>
          </cell>
        </row>
        <row r="788">
          <cell r="A788" t="str">
            <v>HUF_BUBOR_EOD</v>
          </cell>
          <cell r="C788">
            <v>42432</v>
          </cell>
          <cell r="E788">
            <v>1.39234954853335E-2</v>
          </cell>
        </row>
        <row r="789">
          <cell r="A789" t="str">
            <v>HUF_BUBOR_EOD</v>
          </cell>
          <cell r="C789">
            <v>42524</v>
          </cell>
          <cell r="E789">
            <v>1.4123227933745699E-2</v>
          </cell>
        </row>
        <row r="790">
          <cell r="A790" t="str">
            <v>HUF_BUBOR_EOD</v>
          </cell>
          <cell r="C790">
            <v>42618</v>
          </cell>
          <cell r="E790">
            <v>1.4365698471291301E-2</v>
          </cell>
        </row>
        <row r="791">
          <cell r="A791" t="str">
            <v>HUF_BUBOR_EOD</v>
          </cell>
          <cell r="C791">
            <v>42982</v>
          </cell>
          <cell r="E791">
            <v>1.5571751117334E-2</v>
          </cell>
        </row>
        <row r="792">
          <cell r="A792" t="str">
            <v>HUF_BUBOR_EOD</v>
          </cell>
          <cell r="C792">
            <v>43346</v>
          </cell>
          <cell r="E792">
            <v>1.7473411727017399E-2</v>
          </cell>
        </row>
        <row r="793">
          <cell r="A793" t="str">
            <v>HUF_BUBOR_EOD</v>
          </cell>
          <cell r="C793">
            <v>43711</v>
          </cell>
          <cell r="E793">
            <v>1.98954534367046E-2</v>
          </cell>
        </row>
        <row r="794">
          <cell r="A794" t="str">
            <v>HUF_BUBOR_EOD</v>
          </cell>
          <cell r="C794">
            <v>44077</v>
          </cell>
          <cell r="E794">
            <v>2.2549905706941001E-2</v>
          </cell>
        </row>
        <row r="795">
          <cell r="A795" t="str">
            <v>HUF_BUBOR_EOD</v>
          </cell>
          <cell r="C795">
            <v>44442</v>
          </cell>
          <cell r="E795">
            <v>2.5032273803624001E-2</v>
          </cell>
        </row>
        <row r="796">
          <cell r="A796" t="str">
            <v>HUF_BUBOR_EOD</v>
          </cell>
          <cell r="C796">
            <v>44809</v>
          </cell>
          <cell r="E796">
            <v>2.7448848499200401E-2</v>
          </cell>
        </row>
        <row r="797">
          <cell r="A797" t="str">
            <v>HUF_BUBOR_EOD</v>
          </cell>
          <cell r="C797">
            <v>45173</v>
          </cell>
          <cell r="E797">
            <v>2.96939578730137E-2</v>
          </cell>
        </row>
        <row r="798">
          <cell r="A798" t="str">
            <v>HUF_BUBOR_EOD</v>
          </cell>
          <cell r="C798">
            <v>45538</v>
          </cell>
          <cell r="E798">
            <v>3.1533897499958503E-2</v>
          </cell>
        </row>
        <row r="799">
          <cell r="A799" t="str">
            <v>HUF_BUBOR_EOD</v>
          </cell>
          <cell r="C799">
            <v>45903</v>
          </cell>
          <cell r="E799">
            <v>3.2833970800981001E-2</v>
          </cell>
        </row>
        <row r="800">
          <cell r="A800" t="str">
            <v>HUF_BUBOR_EOD</v>
          </cell>
          <cell r="C800">
            <v>46633</v>
          </cell>
          <cell r="E800">
            <v>3.3699018091648603E-2</v>
          </cell>
        </row>
        <row r="801">
          <cell r="A801" t="str">
            <v>HUF_BUBOR_EOD</v>
          </cell>
          <cell r="C801">
            <v>47729</v>
          </cell>
          <cell r="E801">
            <v>3.4321318150418903E-2</v>
          </cell>
        </row>
        <row r="802">
          <cell r="A802" t="str">
            <v>HUF_BUBOR_EOD</v>
          </cell>
          <cell r="C802">
            <v>49555</v>
          </cell>
          <cell r="E802">
            <v>3.4621988005218103E-2</v>
          </cell>
        </row>
        <row r="803">
          <cell r="A803" t="str">
            <v>JPY_LIBOR_1M_EOD</v>
          </cell>
          <cell r="C803">
            <v>42282</v>
          </cell>
          <cell r="E803">
            <v>5.7354252443294002E-4</v>
          </cell>
        </row>
        <row r="804">
          <cell r="A804" t="str">
            <v>JPY_LIBOR_1M_EOD</v>
          </cell>
          <cell r="C804">
            <v>42312</v>
          </cell>
          <cell r="E804">
            <v>5.9598540128840999E-4</v>
          </cell>
        </row>
        <row r="805">
          <cell r="A805" t="str">
            <v>JPY_LIBOR_1M_EOD</v>
          </cell>
          <cell r="C805">
            <v>42341</v>
          </cell>
          <cell r="E805">
            <v>5.7640138873053999E-4</v>
          </cell>
        </row>
        <row r="806">
          <cell r="A806" t="str">
            <v>JPY_LIBOR_1M_EOD</v>
          </cell>
          <cell r="C806">
            <v>42432</v>
          </cell>
          <cell r="E806">
            <v>6.1424388334651995E-4</v>
          </cell>
        </row>
        <row r="807">
          <cell r="A807" t="str">
            <v>JPY_LIBOR_1M_EOD</v>
          </cell>
          <cell r="C807">
            <v>42524</v>
          </cell>
          <cell r="E807">
            <v>6.3314250103564998E-4</v>
          </cell>
        </row>
        <row r="808">
          <cell r="A808" t="str">
            <v>JPY_LIBOR_1M_EOD</v>
          </cell>
          <cell r="C808">
            <v>42618</v>
          </cell>
          <cell r="E808">
            <v>6.4579467925302003E-4</v>
          </cell>
        </row>
        <row r="809">
          <cell r="A809" t="str">
            <v>JPY_LIBOR_1M_EOD</v>
          </cell>
          <cell r="C809">
            <v>42982</v>
          </cell>
          <cell r="E809">
            <v>6.1733725851158998E-4</v>
          </cell>
        </row>
        <row r="810">
          <cell r="A810" t="str">
            <v>JPY_LIBOR_1M_EOD</v>
          </cell>
          <cell r="C810">
            <v>43346</v>
          </cell>
          <cell r="E810">
            <v>7.4456385568180997E-4</v>
          </cell>
        </row>
        <row r="811">
          <cell r="A811" t="str">
            <v>JPY_LIBOR_1M_EOD</v>
          </cell>
          <cell r="C811">
            <v>43711</v>
          </cell>
          <cell r="E811">
            <v>1.06353789521298E-3</v>
          </cell>
        </row>
        <row r="812">
          <cell r="A812" t="str">
            <v>JPY_LIBOR_1M_EOD</v>
          </cell>
          <cell r="C812">
            <v>44077</v>
          </cell>
          <cell r="E812">
            <v>1.54165616958023E-3</v>
          </cell>
        </row>
        <row r="813">
          <cell r="A813" t="str">
            <v>JPY_LIBOR_1M_EOD</v>
          </cell>
          <cell r="C813">
            <v>44442</v>
          </cell>
          <cell r="E813">
            <v>2.1110799562008798E-3</v>
          </cell>
        </row>
        <row r="814">
          <cell r="A814" t="str">
            <v>JPY_LIBOR_1M_EOD</v>
          </cell>
          <cell r="C814">
            <v>44809</v>
          </cell>
          <cell r="E814">
            <v>2.7432367573358598E-3</v>
          </cell>
        </row>
        <row r="815">
          <cell r="A815" t="str">
            <v>JPY_LIBOR_1M_EOD</v>
          </cell>
          <cell r="C815">
            <v>45173</v>
          </cell>
          <cell r="E815">
            <v>3.41298978046718E-3</v>
          </cell>
        </row>
        <row r="816">
          <cell r="A816" t="str">
            <v>JPY_LIBOR_1M_EOD</v>
          </cell>
          <cell r="C816">
            <v>45538</v>
          </cell>
          <cell r="E816">
            <v>4.08345471320556E-3</v>
          </cell>
        </row>
        <row r="817">
          <cell r="A817" t="str">
            <v>JPY_LIBOR_1M_EOD</v>
          </cell>
          <cell r="C817">
            <v>45903</v>
          </cell>
          <cell r="E817">
            <v>4.7816111618225804E-3</v>
          </cell>
        </row>
        <row r="818">
          <cell r="A818" t="str">
            <v>JPY_LIBOR_1M_EOD</v>
          </cell>
          <cell r="C818">
            <v>46633</v>
          </cell>
          <cell r="E818">
            <v>6.2504674035200299E-3</v>
          </cell>
        </row>
        <row r="819">
          <cell r="A819" t="str">
            <v>JPY_LIBOR_1M_EOD</v>
          </cell>
          <cell r="C819">
            <v>47729</v>
          </cell>
          <cell r="E819">
            <v>8.5514309937949704E-3</v>
          </cell>
        </row>
        <row r="820">
          <cell r="A820" t="str">
            <v>JPY_LIBOR_1M_EOD</v>
          </cell>
          <cell r="C820">
            <v>49555</v>
          </cell>
          <cell r="E820">
            <v>1.16060413344904E-2</v>
          </cell>
        </row>
        <row r="821">
          <cell r="A821" t="str">
            <v>JPY_LIBOR_1M_EOD</v>
          </cell>
          <cell r="C821">
            <v>51382</v>
          </cell>
          <cell r="E821">
            <v>1.33922580806891E-2</v>
          </cell>
        </row>
        <row r="822">
          <cell r="A822" t="str">
            <v>JPY_LIBOR_1M_EOD</v>
          </cell>
          <cell r="C822">
            <v>53209</v>
          </cell>
          <cell r="E822">
            <v>1.44213932005532E-2</v>
          </cell>
        </row>
        <row r="823">
          <cell r="A823" t="str">
            <v>JPY_LIBOR_1M_EOD</v>
          </cell>
          <cell r="C823">
            <v>56860</v>
          </cell>
          <cell r="E823">
            <v>1.5884213715496601E-2</v>
          </cell>
        </row>
        <row r="824">
          <cell r="A824" t="str">
            <v>JPY_LIBOR_3M_EOD</v>
          </cell>
          <cell r="C824">
            <v>42341</v>
          </cell>
          <cell r="E824">
            <v>9.0519923860875003E-4</v>
          </cell>
        </row>
        <row r="825">
          <cell r="A825" t="str">
            <v>JPY_LIBOR_3M_EOD</v>
          </cell>
          <cell r="C825">
            <v>42373</v>
          </cell>
          <cell r="E825">
            <v>9.1022046954884999E-4</v>
          </cell>
        </row>
        <row r="826">
          <cell r="A826" t="str">
            <v>JPY_LIBOR_3M_EOD</v>
          </cell>
          <cell r="C826">
            <v>42403</v>
          </cell>
          <cell r="E826">
            <v>9.1720670280420996E-4</v>
          </cell>
        </row>
        <row r="827">
          <cell r="A827" t="str">
            <v>JPY_LIBOR_3M_EOD</v>
          </cell>
          <cell r="C827">
            <v>42432</v>
          </cell>
          <cell r="E827">
            <v>9.0875861471379003E-4</v>
          </cell>
        </row>
        <row r="828">
          <cell r="A828" t="str">
            <v>JPY_LIBOR_3M_EOD</v>
          </cell>
          <cell r="C828">
            <v>42464</v>
          </cell>
          <cell r="E828">
            <v>9.1647522724269995E-4</v>
          </cell>
        </row>
        <row r="829">
          <cell r="A829" t="str">
            <v>JPY_LIBOR_3M_EOD</v>
          </cell>
          <cell r="C829">
            <v>42496</v>
          </cell>
          <cell r="E829">
            <v>9.2015340789339001E-4</v>
          </cell>
        </row>
        <row r="830">
          <cell r="A830" t="str">
            <v>JPY_LIBOR_3M_EOD</v>
          </cell>
          <cell r="C830">
            <v>42524</v>
          </cell>
          <cell r="E830">
            <v>9.0891487751287002E-4</v>
          </cell>
        </row>
        <row r="831">
          <cell r="A831" t="str">
            <v>JPY_LIBOR_3M_EOD</v>
          </cell>
          <cell r="C831">
            <v>42555</v>
          </cell>
          <cell r="E831">
            <v>9.1346334579710004E-4</v>
          </cell>
        </row>
        <row r="832">
          <cell r="A832" t="str">
            <v>JPY_LIBOR_3M_EOD</v>
          </cell>
          <cell r="C832">
            <v>42585</v>
          </cell>
          <cell r="E832">
            <v>9.1497426680817E-4</v>
          </cell>
        </row>
        <row r="833">
          <cell r="A833" t="str">
            <v>JPY_LIBOR_3M_EOD</v>
          </cell>
          <cell r="C833">
            <v>42618</v>
          </cell>
          <cell r="E833">
            <v>9.0014133262151001E-4</v>
          </cell>
        </row>
        <row r="834">
          <cell r="A834" t="str">
            <v>JPY_LIBOR_3M_EOD</v>
          </cell>
          <cell r="C834">
            <v>42982</v>
          </cell>
          <cell r="E834">
            <v>8.7956965493885995E-4</v>
          </cell>
        </row>
        <row r="835">
          <cell r="A835" t="str">
            <v>JPY_LIBOR_3M_EOD</v>
          </cell>
          <cell r="C835">
            <v>43346</v>
          </cell>
          <cell r="E835">
            <v>9.9386525096444999E-4</v>
          </cell>
        </row>
        <row r="836">
          <cell r="A836" t="str">
            <v>JPY_LIBOR_3M_EOD</v>
          </cell>
          <cell r="C836">
            <v>43711</v>
          </cell>
          <cell r="E836">
            <v>1.3138553845434399E-3</v>
          </cell>
        </row>
        <row r="837">
          <cell r="A837" t="str">
            <v>JPY_LIBOR_3M_EOD</v>
          </cell>
          <cell r="C837">
            <v>44077</v>
          </cell>
          <cell r="E837">
            <v>1.81703602911077E-3</v>
          </cell>
        </row>
        <row r="838">
          <cell r="A838" t="str">
            <v>JPY_LIBOR_3M_EOD</v>
          </cell>
          <cell r="C838">
            <v>44442</v>
          </cell>
          <cell r="E838">
            <v>2.38650211403849E-3</v>
          </cell>
        </row>
        <row r="839">
          <cell r="A839" t="str">
            <v>JPY_LIBOR_3M_EOD</v>
          </cell>
          <cell r="C839">
            <v>44809</v>
          </cell>
          <cell r="E839">
            <v>3.0186052619030901E-3</v>
          </cell>
        </row>
        <row r="840">
          <cell r="A840" t="str">
            <v>JPY_LIBOR_3M_EOD</v>
          </cell>
          <cell r="C840">
            <v>45173</v>
          </cell>
          <cell r="E840">
            <v>3.6754331987906598E-3</v>
          </cell>
        </row>
        <row r="841">
          <cell r="A841" t="str">
            <v>JPY_LIBOR_3M_EOD</v>
          </cell>
          <cell r="C841">
            <v>45538</v>
          </cell>
          <cell r="E841">
            <v>4.3459910509589996E-3</v>
          </cell>
        </row>
        <row r="842">
          <cell r="A842" t="str">
            <v>JPY_LIBOR_3M_EOD</v>
          </cell>
          <cell r="C842">
            <v>45903</v>
          </cell>
          <cell r="E842">
            <v>5.0442308049267999E-3</v>
          </cell>
        </row>
        <row r="843">
          <cell r="A843" t="str">
            <v>JPY_LIBOR_3M_EOD</v>
          </cell>
          <cell r="C843">
            <v>46633</v>
          </cell>
          <cell r="E843">
            <v>6.5362404621552997E-3</v>
          </cell>
        </row>
        <row r="844">
          <cell r="A844" t="str">
            <v>JPY_LIBOR_3M_EOD</v>
          </cell>
          <cell r="C844">
            <v>47729</v>
          </cell>
          <cell r="E844">
            <v>8.7988480912681907E-3</v>
          </cell>
        </row>
        <row r="845">
          <cell r="A845" t="str">
            <v>JPY_LIBOR_3M_EOD</v>
          </cell>
          <cell r="C845">
            <v>49555</v>
          </cell>
          <cell r="E845">
            <v>1.1854161748687499E-2</v>
          </cell>
        </row>
        <row r="846">
          <cell r="A846" t="str">
            <v>JPY_LIBOR_3M_EOD</v>
          </cell>
          <cell r="C846">
            <v>51382</v>
          </cell>
          <cell r="E846">
            <v>1.3625978354325601E-2</v>
          </cell>
        </row>
        <row r="847">
          <cell r="A847" t="str">
            <v>JPY_LIBOR_3M_EOD</v>
          </cell>
          <cell r="C847">
            <v>53209</v>
          </cell>
          <cell r="E847">
            <v>1.4639836788276E-2</v>
          </cell>
        </row>
        <row r="848">
          <cell r="A848" t="str">
            <v>JPY_LIBOR_3M_EOD</v>
          </cell>
          <cell r="C848">
            <v>56860</v>
          </cell>
          <cell r="E848">
            <v>1.6103539472129599E-2</v>
          </cell>
        </row>
        <row r="849">
          <cell r="A849" t="str">
            <v>JPY_LIBOR_6M_EOD</v>
          </cell>
          <cell r="C849">
            <v>42432</v>
          </cell>
          <cell r="E849">
            <v>1.3263363162006299E-3</v>
          </cell>
        </row>
        <row r="850">
          <cell r="A850" t="str">
            <v>JPY_LIBOR_6M_EOD</v>
          </cell>
          <cell r="C850">
            <v>42464</v>
          </cell>
          <cell r="E850">
            <v>1.2982645695744199E-3</v>
          </cell>
        </row>
        <row r="851">
          <cell r="A851" t="str">
            <v>JPY_LIBOR_6M_EOD</v>
          </cell>
          <cell r="C851">
            <v>42496</v>
          </cell>
          <cell r="E851">
            <v>1.2777697070577099E-3</v>
          </cell>
        </row>
        <row r="852">
          <cell r="A852" t="str">
            <v>JPY_LIBOR_6M_EOD</v>
          </cell>
          <cell r="C852">
            <v>42524</v>
          </cell>
          <cell r="E852">
            <v>1.2621085507908401E-3</v>
          </cell>
        </row>
        <row r="853">
          <cell r="A853" t="str">
            <v>JPY_LIBOR_6M_EOD</v>
          </cell>
          <cell r="C853">
            <v>42555</v>
          </cell>
          <cell r="E853">
            <v>1.2538932716820699E-3</v>
          </cell>
        </row>
        <row r="854">
          <cell r="A854" t="str">
            <v>JPY_LIBOR_6M_EOD</v>
          </cell>
          <cell r="C854">
            <v>42585</v>
          </cell>
          <cell r="E854">
            <v>1.2499447589094199E-3</v>
          </cell>
        </row>
        <row r="855">
          <cell r="A855" t="str">
            <v>JPY_LIBOR_6M_EOD</v>
          </cell>
          <cell r="C855">
            <v>42618</v>
          </cell>
          <cell r="E855">
            <v>1.24634269913285E-3</v>
          </cell>
        </row>
        <row r="856">
          <cell r="A856" t="str">
            <v>JPY_LIBOR_6M_EOD</v>
          </cell>
          <cell r="C856">
            <v>42982</v>
          </cell>
          <cell r="E856">
            <v>1.20503134832636E-3</v>
          </cell>
        </row>
        <row r="857">
          <cell r="A857" t="str">
            <v>JPY_LIBOR_6M_EOD</v>
          </cell>
          <cell r="C857">
            <v>43346</v>
          </cell>
          <cell r="E857">
            <v>1.3433863350652601E-3</v>
          </cell>
        </row>
        <row r="858">
          <cell r="A858" t="str">
            <v>JPY_LIBOR_6M_EOD</v>
          </cell>
          <cell r="C858">
            <v>43711</v>
          </cell>
          <cell r="E858">
            <v>1.6878178578672201E-3</v>
          </cell>
        </row>
        <row r="859">
          <cell r="A859" t="str">
            <v>JPY_LIBOR_6M_EOD</v>
          </cell>
          <cell r="C859">
            <v>44077</v>
          </cell>
          <cell r="E859">
            <v>2.1909679502527001E-3</v>
          </cell>
        </row>
        <row r="860">
          <cell r="A860" t="str">
            <v>JPY_LIBOR_6M_EOD</v>
          </cell>
          <cell r="C860">
            <v>44442</v>
          </cell>
          <cell r="E860">
            <v>2.7854008571824998E-3</v>
          </cell>
        </row>
        <row r="861">
          <cell r="A861" t="str">
            <v>JPY_LIBOR_6M_EOD</v>
          </cell>
          <cell r="C861">
            <v>44809</v>
          </cell>
          <cell r="E861">
            <v>3.4424725168232199E-3</v>
          </cell>
        </row>
        <row r="862">
          <cell r="A862" t="str">
            <v>JPY_LIBOR_6M_EOD</v>
          </cell>
          <cell r="C862">
            <v>45173</v>
          </cell>
          <cell r="E862">
            <v>4.1242029875419297E-3</v>
          </cell>
        </row>
        <row r="863">
          <cell r="A863" t="str">
            <v>JPY_LIBOR_6M_EOD</v>
          </cell>
          <cell r="C863">
            <v>45538</v>
          </cell>
          <cell r="E863">
            <v>4.8197162229367497E-3</v>
          </cell>
        </row>
        <row r="864">
          <cell r="A864" t="str">
            <v>JPY_LIBOR_6M_EOD</v>
          </cell>
          <cell r="C864">
            <v>45903</v>
          </cell>
          <cell r="E864">
            <v>5.5431510977527699E-3</v>
          </cell>
        </row>
        <row r="865">
          <cell r="A865" t="str">
            <v>JPY_LIBOR_6M_EOD</v>
          </cell>
          <cell r="C865">
            <v>46633</v>
          </cell>
          <cell r="E865">
            <v>7.0240024448902198E-3</v>
          </cell>
        </row>
        <row r="866">
          <cell r="A866" t="str">
            <v>JPY_LIBOR_6M_EOD</v>
          </cell>
          <cell r="C866">
            <v>47729</v>
          </cell>
          <cell r="E866">
            <v>9.2702042474748295E-3</v>
          </cell>
        </row>
        <row r="867">
          <cell r="A867" t="str">
            <v>JPY_LIBOR_6M_EOD</v>
          </cell>
          <cell r="C867">
            <v>49555</v>
          </cell>
          <cell r="E867">
            <v>1.2269908176522199E-2</v>
          </cell>
        </row>
        <row r="868">
          <cell r="A868" t="str">
            <v>JPY_LIBOR_6M_EOD</v>
          </cell>
          <cell r="C868">
            <v>51382</v>
          </cell>
          <cell r="E868">
            <v>1.39985235644687E-2</v>
          </cell>
        </row>
        <row r="869">
          <cell r="A869" t="str">
            <v>JPY_LIBOR_6M_EOD</v>
          </cell>
          <cell r="C869">
            <v>53209</v>
          </cell>
          <cell r="E869">
            <v>1.49671103705122E-2</v>
          </cell>
        </row>
        <row r="870">
          <cell r="A870" t="str">
            <v>JPY_LIBOR_6M_EOD</v>
          </cell>
          <cell r="C870">
            <v>56860</v>
          </cell>
          <cell r="E870">
            <v>1.6434706712764199E-2</v>
          </cell>
        </row>
        <row r="871">
          <cell r="A871" t="str">
            <v>JPY_LIBOR_EOD</v>
          </cell>
          <cell r="C871">
            <v>42249</v>
          </cell>
          <cell r="E871">
            <v>3.7655813919235999E-4</v>
          </cell>
        </row>
        <row r="872">
          <cell r="A872" t="str">
            <v>JPY_LIBOR_EOD</v>
          </cell>
          <cell r="C872">
            <v>42250</v>
          </cell>
          <cell r="E872">
            <v>3.7655813914573002E-4</v>
          </cell>
        </row>
        <row r="873">
          <cell r="A873" t="str">
            <v>JPY_LIBOR_EOD</v>
          </cell>
          <cell r="C873">
            <v>42257</v>
          </cell>
          <cell r="E873">
            <v>4.3853914506767998E-4</v>
          </cell>
        </row>
        <row r="874">
          <cell r="A874" t="str">
            <v>JPY_LIBOR_EOD</v>
          </cell>
          <cell r="C874">
            <v>42282</v>
          </cell>
          <cell r="E874">
            <v>5.6195520765058005E-4</v>
          </cell>
        </row>
        <row r="875">
          <cell r="A875" t="str">
            <v>JPY_LIBOR_EOD</v>
          </cell>
          <cell r="C875">
            <v>42312</v>
          </cell>
          <cell r="E875">
            <v>7.9050450721339003E-4</v>
          </cell>
        </row>
        <row r="876">
          <cell r="A876" t="str">
            <v>JPY_LIBOR_EOD</v>
          </cell>
          <cell r="C876">
            <v>42341</v>
          </cell>
          <cell r="E876">
            <v>8.9383061281404004E-4</v>
          </cell>
        </row>
        <row r="877">
          <cell r="A877" t="str">
            <v>JPY_LIBOR_EOD</v>
          </cell>
          <cell r="C877">
            <v>42432</v>
          </cell>
          <cell r="E877">
            <v>1.3160126403628E-3</v>
          </cell>
        </row>
        <row r="878">
          <cell r="A878" t="str">
            <v>JPY_LIBOR_EOD</v>
          </cell>
          <cell r="C878">
            <v>42618</v>
          </cell>
          <cell r="E878">
            <v>1.2358489969479E-3</v>
          </cell>
        </row>
        <row r="879">
          <cell r="A879" t="str">
            <v>JPY_LIBOR_EOD</v>
          </cell>
          <cell r="C879">
            <v>42982</v>
          </cell>
          <cell r="E879">
            <v>1.2023426687795501E-3</v>
          </cell>
        </row>
        <row r="880">
          <cell r="A880" t="str">
            <v>JPY_LIBOR_EOD</v>
          </cell>
          <cell r="C880">
            <v>43346</v>
          </cell>
          <cell r="E880">
            <v>1.3429531327229E-3</v>
          </cell>
        </row>
        <row r="881">
          <cell r="A881" t="str">
            <v>JPY_LIBOR_EOD</v>
          </cell>
          <cell r="C881">
            <v>43711</v>
          </cell>
          <cell r="E881">
            <v>1.6885441163934701E-3</v>
          </cell>
        </row>
        <row r="882">
          <cell r="A882" t="str">
            <v>JPY_LIBOR_EOD</v>
          </cell>
          <cell r="C882">
            <v>44077</v>
          </cell>
          <cell r="E882">
            <v>2.1926433806964099E-3</v>
          </cell>
        </row>
        <row r="883">
          <cell r="A883" t="str">
            <v>JPY_LIBOR_EOD</v>
          </cell>
          <cell r="C883">
            <v>44442</v>
          </cell>
          <cell r="E883">
            <v>2.78858251122047E-3</v>
          </cell>
        </row>
        <row r="884">
          <cell r="A884" t="str">
            <v>JPY_LIBOR_EOD</v>
          </cell>
          <cell r="C884">
            <v>44809</v>
          </cell>
          <cell r="E884">
            <v>3.4477870800453001E-3</v>
          </cell>
        </row>
        <row r="885">
          <cell r="A885" t="str">
            <v>JPY_LIBOR_EOD</v>
          </cell>
          <cell r="C885">
            <v>45173</v>
          </cell>
          <cell r="E885">
            <v>4.1326540338448899E-3</v>
          </cell>
        </row>
        <row r="886">
          <cell r="A886" t="str">
            <v>JPY_LIBOR_EOD</v>
          </cell>
          <cell r="C886">
            <v>45538</v>
          </cell>
          <cell r="E886">
            <v>4.8317377170297498E-3</v>
          </cell>
        </row>
        <row r="887">
          <cell r="A887" t="str">
            <v>JPY_LIBOR_EOD</v>
          </cell>
          <cell r="C887">
            <v>45903</v>
          </cell>
          <cell r="E887">
            <v>5.5593528501503503E-3</v>
          </cell>
        </row>
        <row r="888">
          <cell r="A888" t="str">
            <v>JPY_LIBOR_EOD</v>
          </cell>
          <cell r="C888">
            <v>46633</v>
          </cell>
          <cell r="E888">
            <v>7.0506938085414797E-3</v>
          </cell>
        </row>
        <row r="889">
          <cell r="A889" t="str">
            <v>JPY_LIBOR_EOD</v>
          </cell>
          <cell r="C889">
            <v>47729</v>
          </cell>
          <cell r="E889">
            <v>9.3158000821527195E-3</v>
          </cell>
        </row>
        <row r="890">
          <cell r="A890" t="str">
            <v>JPY_LIBOR_EOD</v>
          </cell>
          <cell r="C890">
            <v>49555</v>
          </cell>
          <cell r="E890">
            <v>1.2344265620892801E-2</v>
          </cell>
        </row>
        <row r="891">
          <cell r="A891" t="str">
            <v>JPY_LIBOR_EOD</v>
          </cell>
          <cell r="C891">
            <v>51382</v>
          </cell>
          <cell r="E891">
            <v>1.40900289479095E-2</v>
          </cell>
        </row>
        <row r="892">
          <cell r="A892" t="str">
            <v>JPY_LIBOR_EOD</v>
          </cell>
          <cell r="C892">
            <v>53209</v>
          </cell>
          <cell r="E892">
            <v>1.50678752650046E-2</v>
          </cell>
        </row>
        <row r="893">
          <cell r="A893" t="str">
            <v>JPY_LIBOR_EOD</v>
          </cell>
          <cell r="C893">
            <v>56860</v>
          </cell>
          <cell r="E893">
            <v>1.6560101573194499E-2</v>
          </cell>
        </row>
        <row r="894">
          <cell r="A894" t="str">
            <v>JPY_TONA_EOD</v>
          </cell>
          <cell r="C894">
            <v>42249</v>
          </cell>
          <cell r="E894">
            <v>7.5999920875011E-4</v>
          </cell>
        </row>
        <row r="895">
          <cell r="A895" t="str">
            <v>JPY_TONA_EOD</v>
          </cell>
          <cell r="C895">
            <v>42250</v>
          </cell>
          <cell r="E895">
            <v>7.5999920871991995E-4</v>
          </cell>
        </row>
        <row r="896">
          <cell r="A896" t="str">
            <v>JPY_TONA_EOD</v>
          </cell>
          <cell r="C896">
            <v>42257</v>
          </cell>
          <cell r="E896">
            <v>7.2300492754927997E-4</v>
          </cell>
        </row>
        <row r="897">
          <cell r="A897" t="str">
            <v>JPY_TONA_EOD</v>
          </cell>
          <cell r="C897">
            <v>42264</v>
          </cell>
          <cell r="E897">
            <v>7.3402532579587001E-4</v>
          </cell>
        </row>
        <row r="898">
          <cell r="A898" t="str">
            <v>JPY_TONA_EOD</v>
          </cell>
          <cell r="C898">
            <v>42271</v>
          </cell>
          <cell r="E898">
            <v>7.2936715680973997E-4</v>
          </cell>
        </row>
        <row r="899">
          <cell r="A899" t="str">
            <v>JPY_TONA_EOD</v>
          </cell>
          <cell r="C899">
            <v>42282</v>
          </cell>
          <cell r="E899">
            <v>7.4303606332267998E-4</v>
          </cell>
        </row>
        <row r="900">
          <cell r="A900" t="str">
            <v>JPY_TONA_EOD</v>
          </cell>
          <cell r="C900">
            <v>42312</v>
          </cell>
          <cell r="E900">
            <v>7.2605048176631998E-4</v>
          </cell>
        </row>
        <row r="901">
          <cell r="A901" t="str">
            <v>JPY_TONA_EOD</v>
          </cell>
          <cell r="C901">
            <v>42341</v>
          </cell>
          <cell r="E901">
            <v>7.1345957344485004E-4</v>
          </cell>
        </row>
        <row r="902">
          <cell r="A902" t="str">
            <v>JPY_TONA_EOD</v>
          </cell>
          <cell r="C902">
            <v>42373</v>
          </cell>
          <cell r="E902">
            <v>6.9742573195022005E-4</v>
          </cell>
        </row>
        <row r="903">
          <cell r="A903" t="str">
            <v>JPY_TONA_EOD</v>
          </cell>
          <cell r="C903">
            <v>42403</v>
          </cell>
          <cell r="E903">
            <v>6.8567331215393002E-4</v>
          </cell>
        </row>
        <row r="904">
          <cell r="A904" t="str">
            <v>JPY_TONA_EOD</v>
          </cell>
          <cell r="C904">
            <v>42432</v>
          </cell>
          <cell r="E904">
            <v>6.7581157018942E-4</v>
          </cell>
        </row>
        <row r="905">
          <cell r="A905" t="str">
            <v>JPY_TONA_EOD</v>
          </cell>
          <cell r="C905">
            <v>42464</v>
          </cell>
          <cell r="E905">
            <v>6.8060647134091004E-4</v>
          </cell>
        </row>
        <row r="906">
          <cell r="A906" t="str">
            <v>JPY_TONA_EOD</v>
          </cell>
          <cell r="C906">
            <v>42496</v>
          </cell>
          <cell r="E906">
            <v>6.6452770422179995E-4</v>
          </cell>
        </row>
        <row r="907">
          <cell r="A907" t="str">
            <v>JPY_TONA_EOD</v>
          </cell>
          <cell r="C907">
            <v>42524</v>
          </cell>
          <cell r="E907">
            <v>6.5683642206139001E-4</v>
          </cell>
        </row>
        <row r="908">
          <cell r="A908" t="str">
            <v>JPY_TONA_EOD</v>
          </cell>
          <cell r="C908">
            <v>42555</v>
          </cell>
          <cell r="E908">
            <v>6.4312893155502005E-4</v>
          </cell>
        </row>
        <row r="909">
          <cell r="A909" t="str">
            <v>JPY_TONA_EOD</v>
          </cell>
          <cell r="C909">
            <v>42585</v>
          </cell>
          <cell r="E909">
            <v>6.5542750620624997E-4</v>
          </cell>
        </row>
        <row r="910">
          <cell r="A910" t="str">
            <v>JPY_TONA_EOD</v>
          </cell>
          <cell r="C910">
            <v>42618</v>
          </cell>
          <cell r="E910">
            <v>6.2926132822978004E-4</v>
          </cell>
        </row>
        <row r="911">
          <cell r="A911" t="str">
            <v>JPY_TONA_EOD</v>
          </cell>
          <cell r="C911">
            <v>42797</v>
          </cell>
          <cell r="E911">
            <v>5.7161812113879005E-4</v>
          </cell>
        </row>
        <row r="912">
          <cell r="A912" t="str">
            <v>JPY_TONA_EOD</v>
          </cell>
          <cell r="C912">
            <v>42982</v>
          </cell>
          <cell r="E912">
            <v>5.3401029206709004E-4</v>
          </cell>
        </row>
        <row r="913">
          <cell r="A913" t="str">
            <v>JPY_TONA_EOD</v>
          </cell>
          <cell r="C913">
            <v>43346</v>
          </cell>
          <cell r="E913">
            <v>5.8336246463979997E-4</v>
          </cell>
        </row>
        <row r="914">
          <cell r="A914" t="str">
            <v>JPY_TONA_EOD</v>
          </cell>
          <cell r="C914">
            <v>43711</v>
          </cell>
          <cell r="E914">
            <v>8.3857613336794001E-4</v>
          </cell>
        </row>
        <row r="915">
          <cell r="A915" t="str">
            <v>JPY_TONA_EOD</v>
          </cell>
          <cell r="C915">
            <v>44077</v>
          </cell>
          <cell r="E915">
            <v>1.25393387702688E-3</v>
          </cell>
        </row>
        <row r="916">
          <cell r="A916" t="str">
            <v>JPY_TONA_EOD</v>
          </cell>
          <cell r="C916">
            <v>44442</v>
          </cell>
          <cell r="E916">
            <v>1.7639065870509599E-3</v>
          </cell>
        </row>
        <row r="917">
          <cell r="A917" t="str">
            <v>JPY_TONA_EOD</v>
          </cell>
          <cell r="C917">
            <v>44809</v>
          </cell>
          <cell r="E917">
            <v>2.3389198305203002E-3</v>
          </cell>
        </row>
        <row r="918">
          <cell r="A918" t="str">
            <v>JPY_TONA_EOD</v>
          </cell>
          <cell r="C918">
            <v>45173</v>
          </cell>
          <cell r="E918">
            <v>2.9319242606132799E-3</v>
          </cell>
        </row>
        <row r="919">
          <cell r="A919" t="str">
            <v>JPY_TONA_EOD</v>
          </cell>
          <cell r="C919">
            <v>45538</v>
          </cell>
          <cell r="E919">
            <v>3.5499219956418998E-3</v>
          </cell>
        </row>
        <row r="920">
          <cell r="A920" t="str">
            <v>JPY_TONA_EOD</v>
          </cell>
          <cell r="C920">
            <v>45903</v>
          </cell>
          <cell r="E920">
            <v>4.2025101420434903E-3</v>
          </cell>
        </row>
        <row r="921">
          <cell r="A921" t="str">
            <v>JPY_TONA_EOD</v>
          </cell>
          <cell r="C921">
            <v>46633</v>
          </cell>
          <cell r="E921">
            <v>5.5796402711917699E-3</v>
          </cell>
        </row>
        <row r="922">
          <cell r="A922" t="str">
            <v>JPY_TONA_EOD</v>
          </cell>
          <cell r="C922">
            <v>47729</v>
          </cell>
          <cell r="E922">
            <v>7.8242594957055201E-3</v>
          </cell>
        </row>
        <row r="923">
          <cell r="A923" t="str">
            <v>JPY_TONA_EOD</v>
          </cell>
          <cell r="C923">
            <v>49555</v>
          </cell>
          <cell r="E923">
            <v>1.0821938584521001E-2</v>
          </cell>
        </row>
        <row r="924">
          <cell r="A924" t="str">
            <v>JPY_TONA_EOD</v>
          </cell>
          <cell r="C924">
            <v>51382</v>
          </cell>
          <cell r="E924">
            <v>1.25498576357451E-2</v>
          </cell>
        </row>
        <row r="925">
          <cell r="A925" t="str">
            <v>JPY_TONA_EOD</v>
          </cell>
          <cell r="C925">
            <v>53209</v>
          </cell>
          <cell r="E925">
            <v>1.3515208430914199E-2</v>
          </cell>
        </row>
        <row r="926">
          <cell r="A926" t="str">
            <v>JPY_TONA_EOD</v>
          </cell>
          <cell r="C926">
            <v>56860</v>
          </cell>
          <cell r="E926">
            <v>1.49146165612707E-2</v>
          </cell>
        </row>
        <row r="927">
          <cell r="A927" t="str">
            <v>MXN_TIIE_EOD</v>
          </cell>
          <cell r="C927">
            <v>42333</v>
          </cell>
          <cell r="E927">
            <v>3.55895676192668E-2</v>
          </cell>
        </row>
        <row r="928">
          <cell r="A928" t="str">
            <v>MXN_TIIE_EOD</v>
          </cell>
          <cell r="C928">
            <v>42417</v>
          </cell>
          <cell r="E928">
            <v>3.7456468633724302E-2</v>
          </cell>
        </row>
        <row r="929">
          <cell r="A929" t="str">
            <v>MXN_TIIE_EOD</v>
          </cell>
          <cell r="C929">
            <v>42501</v>
          </cell>
          <cell r="E929">
            <v>3.8979958283663602E-2</v>
          </cell>
        </row>
        <row r="930">
          <cell r="A930" t="str">
            <v>MXN_TIIE_EOD</v>
          </cell>
          <cell r="C930">
            <v>42613</v>
          </cell>
          <cell r="E930">
            <v>4.0714051753506598E-2</v>
          </cell>
        </row>
        <row r="931">
          <cell r="A931" t="str">
            <v>MXN_TIIE_EOD</v>
          </cell>
          <cell r="C931">
            <v>42977</v>
          </cell>
          <cell r="E931">
            <v>4.53504271524054E-2</v>
          </cell>
        </row>
        <row r="932">
          <cell r="A932" t="str">
            <v>MXN_TIIE_EOD</v>
          </cell>
          <cell r="C932">
            <v>43341</v>
          </cell>
          <cell r="E932">
            <v>4.9459901184891901E-2</v>
          </cell>
        </row>
        <row r="933">
          <cell r="A933" t="str">
            <v>MXN_TIIE_EOD</v>
          </cell>
          <cell r="C933">
            <v>43705</v>
          </cell>
          <cell r="E933">
            <v>5.3381418722745003E-2</v>
          </cell>
        </row>
        <row r="934">
          <cell r="A934" t="str">
            <v>MXN_TIIE_EOD</v>
          </cell>
          <cell r="C934">
            <v>44069</v>
          </cell>
          <cell r="E934">
            <v>5.6635482593511199E-2</v>
          </cell>
        </row>
        <row r="935">
          <cell r="A935" t="str">
            <v>MXN_TIIE_EOD</v>
          </cell>
          <cell r="C935">
            <v>44797</v>
          </cell>
          <cell r="E935">
            <v>6.17722716246158E-2</v>
          </cell>
        </row>
        <row r="936">
          <cell r="A936" t="str">
            <v>MXN_TIIE_EOD</v>
          </cell>
          <cell r="C936">
            <v>45889</v>
          </cell>
          <cell r="E936">
            <v>6.6293413220007105E-2</v>
          </cell>
        </row>
        <row r="937">
          <cell r="A937" t="str">
            <v>MXN_TIIE_EOD</v>
          </cell>
          <cell r="C937">
            <v>47709</v>
          </cell>
          <cell r="E937">
            <v>7.1455399750010806E-2</v>
          </cell>
        </row>
        <row r="938">
          <cell r="A938" t="str">
            <v>MXN_TIIE_EOD</v>
          </cell>
          <cell r="C938">
            <v>49529</v>
          </cell>
          <cell r="E938">
            <v>7.4524974311475103E-2</v>
          </cell>
        </row>
        <row r="939">
          <cell r="A939" t="str">
            <v>MXN_TIIE_EOD</v>
          </cell>
          <cell r="C939">
            <v>53169</v>
          </cell>
          <cell r="E939">
            <v>7.7192035715062099E-2</v>
          </cell>
        </row>
        <row r="940">
          <cell r="A940" t="str">
            <v>MXN_USDMXNBASIS_EOD</v>
          </cell>
          <cell r="C940">
            <v>42251</v>
          </cell>
          <cell r="E940">
            <v>2.7006775513312702E-2</v>
          </cell>
        </row>
        <row r="941">
          <cell r="A941" t="str">
            <v>MXN_USDMXNBASIS_EOD</v>
          </cell>
          <cell r="C941">
            <v>42282</v>
          </cell>
          <cell r="E941">
            <v>2.8671044410650701E-2</v>
          </cell>
        </row>
        <row r="942">
          <cell r="A942" t="str">
            <v>MXN_USDMXNBASIS_EOD</v>
          </cell>
          <cell r="C942">
            <v>42311</v>
          </cell>
          <cell r="E942">
            <v>2.9236693046178701E-2</v>
          </cell>
        </row>
        <row r="943">
          <cell r="A943" t="str">
            <v>MXN_USDMXNBASIS_EOD</v>
          </cell>
          <cell r="C943">
            <v>42341</v>
          </cell>
          <cell r="E943">
            <v>2.9392813864090098E-2</v>
          </cell>
        </row>
        <row r="944">
          <cell r="A944" t="str">
            <v>MXN_USDMXNBASIS_EOD</v>
          </cell>
          <cell r="C944">
            <v>42432</v>
          </cell>
          <cell r="E944">
            <v>3.0854457374327401E-2</v>
          </cell>
        </row>
        <row r="945">
          <cell r="A945" t="str">
            <v>MXN_USDMXNBASIS_EOD</v>
          </cell>
          <cell r="C945">
            <v>42524</v>
          </cell>
          <cell r="E945">
            <v>3.2389308178891303E-2</v>
          </cell>
        </row>
        <row r="946">
          <cell r="A946" t="str">
            <v>MXN_USDMXNBASIS_EOD</v>
          </cell>
          <cell r="C946">
            <v>42619</v>
          </cell>
          <cell r="E946">
            <v>3.3766524656609502E-2</v>
          </cell>
        </row>
        <row r="947">
          <cell r="A947" t="str">
            <v>MXN_USDMXNBASIS_EOD</v>
          </cell>
          <cell r="C947">
            <v>42797</v>
          </cell>
          <cell r="E947">
            <v>3.6157438933425198E-2</v>
          </cell>
        </row>
        <row r="948">
          <cell r="A948" t="str">
            <v>MXN_USDMXNBASIS_EOD</v>
          </cell>
          <cell r="C948">
            <v>42978</v>
          </cell>
          <cell r="E948">
            <v>3.8003087575040902E-2</v>
          </cell>
        </row>
        <row r="949">
          <cell r="A949" t="str">
            <v>MXN_USDMXNBASIS_EOD</v>
          </cell>
          <cell r="C949">
            <v>43342</v>
          </cell>
          <cell r="E949">
            <v>4.0923308972399902E-2</v>
          </cell>
        </row>
        <row r="950">
          <cell r="A950" t="str">
            <v>MXN_USDMXNBASIS_EOD</v>
          </cell>
          <cell r="C950">
            <v>43706</v>
          </cell>
          <cell r="E950">
            <v>4.3565936387134102E-2</v>
          </cell>
        </row>
        <row r="951">
          <cell r="A951" t="str">
            <v>MXN_USDMXNBASIS_EOD</v>
          </cell>
          <cell r="C951">
            <v>44070</v>
          </cell>
          <cell r="E951">
            <v>4.5456845169725202E-2</v>
          </cell>
        </row>
        <row r="952">
          <cell r="A952" t="str">
            <v>MXN_USDMXNBASIS_EOD</v>
          </cell>
          <cell r="C952">
            <v>44798</v>
          </cell>
          <cell r="E952">
            <v>4.9311209184861801E-2</v>
          </cell>
        </row>
        <row r="953">
          <cell r="A953" t="str">
            <v>MXN_USDMXNBASIS_EOD</v>
          </cell>
          <cell r="C953">
            <v>45890</v>
          </cell>
          <cell r="E953">
            <v>5.2917480549912202E-2</v>
          </cell>
        </row>
        <row r="954">
          <cell r="A954" t="str">
            <v>MXN_USDMXNBASIS_EOD</v>
          </cell>
          <cell r="C954">
            <v>47710</v>
          </cell>
          <cell r="E954">
            <v>5.70644173713417E-2</v>
          </cell>
        </row>
        <row r="955">
          <cell r="A955" t="str">
            <v>MXN_USDMXNBASIS_EOD</v>
          </cell>
          <cell r="C955">
            <v>49530</v>
          </cell>
          <cell r="E955">
            <v>5.86966026311471E-2</v>
          </cell>
        </row>
        <row r="956">
          <cell r="A956" t="str">
            <v>MXN_USDMXNBASIS_EOD</v>
          </cell>
          <cell r="C956">
            <v>53170</v>
          </cell>
          <cell r="E956">
            <v>5.82290556722833E-2</v>
          </cell>
        </row>
        <row r="957">
          <cell r="A957" t="str">
            <v>NOK_NIBOR_3M_EOD</v>
          </cell>
          <cell r="C957">
            <v>42341</v>
          </cell>
          <cell r="E957">
            <v>1.1440612792347E-2</v>
          </cell>
        </row>
        <row r="958">
          <cell r="A958" t="str">
            <v>NOK_NIBOR_3M_EOD</v>
          </cell>
          <cell r="C958">
            <v>42354</v>
          </cell>
          <cell r="E958">
            <v>1.13104200981418E-2</v>
          </cell>
        </row>
        <row r="959">
          <cell r="A959" t="str">
            <v>NOK_NIBOR_3M_EOD</v>
          </cell>
          <cell r="C959">
            <v>42445</v>
          </cell>
          <cell r="E959">
            <v>1.04830270952391E-2</v>
          </cell>
        </row>
        <row r="960">
          <cell r="A960" t="str">
            <v>NOK_NIBOR_3M_EOD</v>
          </cell>
          <cell r="C960">
            <v>42536</v>
          </cell>
          <cell r="E960">
            <v>9.9227936557048993E-3</v>
          </cell>
        </row>
        <row r="961">
          <cell r="A961" t="str">
            <v>NOK_NIBOR_3M_EOD</v>
          </cell>
          <cell r="C961">
            <v>42634</v>
          </cell>
          <cell r="E961">
            <v>9.5890114042012503E-3</v>
          </cell>
        </row>
        <row r="962">
          <cell r="A962" t="str">
            <v>NOK_NIBOR_3M_EOD</v>
          </cell>
          <cell r="C962">
            <v>42982</v>
          </cell>
          <cell r="E962">
            <v>9.5116088319696906E-3</v>
          </cell>
        </row>
        <row r="963">
          <cell r="A963" t="str">
            <v>NOK_NIBOR_3M_EOD</v>
          </cell>
          <cell r="C963">
            <v>43346</v>
          </cell>
          <cell r="E963">
            <v>1.0496675146010701E-2</v>
          </cell>
        </row>
        <row r="964">
          <cell r="A964" t="str">
            <v>NOK_NIBOR_3M_EOD</v>
          </cell>
          <cell r="C964">
            <v>43711</v>
          </cell>
          <cell r="E964">
            <v>1.2039278801024501E-2</v>
          </cell>
        </row>
        <row r="965">
          <cell r="A965" t="str">
            <v>NOK_NIBOR_3M_EOD</v>
          </cell>
          <cell r="C965">
            <v>44077</v>
          </cell>
          <cell r="E965">
            <v>1.3755727361789601E-2</v>
          </cell>
        </row>
        <row r="966">
          <cell r="A966" t="str">
            <v>NOK_NIBOR_3M_EOD</v>
          </cell>
          <cell r="C966">
            <v>44442</v>
          </cell>
          <cell r="E966">
            <v>1.5495558669152001E-2</v>
          </cell>
        </row>
        <row r="967">
          <cell r="A967" t="str">
            <v>NOK_NIBOR_3M_EOD</v>
          </cell>
          <cell r="C967">
            <v>44809</v>
          </cell>
          <cell r="E967">
            <v>1.7034007616799799E-2</v>
          </cell>
        </row>
        <row r="968">
          <cell r="A968" t="str">
            <v>NOK_NIBOR_3M_EOD</v>
          </cell>
          <cell r="C968">
            <v>45173</v>
          </cell>
          <cell r="E968">
            <v>1.8380068592447899E-2</v>
          </cell>
        </row>
        <row r="969">
          <cell r="A969" t="str">
            <v>NOK_NIBOR_3M_EOD</v>
          </cell>
          <cell r="C969">
            <v>45538</v>
          </cell>
          <cell r="E969">
            <v>1.9544837320258499E-2</v>
          </cell>
        </row>
        <row r="970">
          <cell r="A970" t="str">
            <v>NOK_NIBOR_3M_EOD</v>
          </cell>
          <cell r="C970">
            <v>45903</v>
          </cell>
          <cell r="E970">
            <v>2.0495587467237002E-2</v>
          </cell>
        </row>
        <row r="971">
          <cell r="A971" t="str">
            <v>NOK_NIBOR_3M_EOD</v>
          </cell>
          <cell r="C971">
            <v>46633</v>
          </cell>
          <cell r="E971">
            <v>2.1612003554030399E-2</v>
          </cell>
        </row>
        <row r="972">
          <cell r="A972" t="str">
            <v>NOK_NIBOR_3M_EOD</v>
          </cell>
          <cell r="C972">
            <v>47729</v>
          </cell>
          <cell r="E972">
            <v>2.2304810211303001E-2</v>
          </cell>
        </row>
        <row r="973">
          <cell r="A973" t="str">
            <v>NOK_NIBOR_3M_EOD</v>
          </cell>
          <cell r="C973">
            <v>49555</v>
          </cell>
          <cell r="E973">
            <v>2.3099203369262699E-2</v>
          </cell>
        </row>
        <row r="974">
          <cell r="A974" t="str">
            <v>NOK_NIBOR_3M_EOD</v>
          </cell>
          <cell r="C974">
            <v>51382</v>
          </cell>
          <cell r="E974">
            <v>2.2989142783530502E-2</v>
          </cell>
        </row>
        <row r="975">
          <cell r="A975" t="str">
            <v>NOK_NIBOR_3M_EOD</v>
          </cell>
          <cell r="C975">
            <v>53209</v>
          </cell>
          <cell r="E975">
            <v>2.2920295898812601E-2</v>
          </cell>
        </row>
        <row r="976">
          <cell r="A976" t="str">
            <v>NOK_NIBOR_6M_EOD</v>
          </cell>
          <cell r="C976">
            <v>42432</v>
          </cell>
          <cell r="E976">
            <v>1.1525153492724999E-2</v>
          </cell>
        </row>
        <row r="977">
          <cell r="A977" t="str">
            <v>NOK_NIBOR_6M_EOD</v>
          </cell>
          <cell r="C977">
            <v>42618</v>
          </cell>
          <cell r="E977">
            <v>1.0523914014279399E-2</v>
          </cell>
        </row>
        <row r="978">
          <cell r="A978" t="str">
            <v>NOK_NIBOR_6M_EOD</v>
          </cell>
          <cell r="C978">
            <v>42982</v>
          </cell>
          <cell r="E978">
            <v>1.0251624207887101E-2</v>
          </cell>
        </row>
        <row r="979">
          <cell r="A979" t="str">
            <v>NOK_NIBOR_6M_EOD</v>
          </cell>
          <cell r="C979">
            <v>43346</v>
          </cell>
          <cell r="E979">
            <v>1.11829694944021E-2</v>
          </cell>
        </row>
        <row r="980">
          <cell r="A980" t="str">
            <v>NOK_NIBOR_6M_EOD</v>
          </cell>
          <cell r="C980">
            <v>43711</v>
          </cell>
          <cell r="E980">
            <v>1.27020836425607E-2</v>
          </cell>
        </row>
        <row r="981">
          <cell r="A981" t="str">
            <v>NOK_NIBOR_6M_EOD</v>
          </cell>
          <cell r="C981">
            <v>44077</v>
          </cell>
          <cell r="E981">
            <v>1.44178072124268E-2</v>
          </cell>
        </row>
        <row r="982">
          <cell r="A982" t="str">
            <v>NOK_NIBOR_6M_EOD</v>
          </cell>
          <cell r="C982">
            <v>44442</v>
          </cell>
          <cell r="E982">
            <v>1.6157212974842301E-2</v>
          </cell>
        </row>
        <row r="983">
          <cell r="A983" t="str">
            <v>NOK_NIBOR_6M_EOD</v>
          </cell>
          <cell r="C983">
            <v>44809</v>
          </cell>
          <cell r="E983">
            <v>1.7695238105261898E-2</v>
          </cell>
        </row>
        <row r="984">
          <cell r="A984" t="str">
            <v>NOK_NIBOR_6M_EOD</v>
          </cell>
          <cell r="C984">
            <v>45173</v>
          </cell>
          <cell r="E984">
            <v>1.9040108109208299E-2</v>
          </cell>
        </row>
        <row r="985">
          <cell r="A985" t="str">
            <v>NOK_NIBOR_6M_EOD</v>
          </cell>
          <cell r="C985">
            <v>45538</v>
          </cell>
          <cell r="E985">
            <v>2.01994431105165E-2</v>
          </cell>
        </row>
        <row r="986">
          <cell r="A986" t="str">
            <v>NOK_NIBOR_6M_EOD</v>
          </cell>
          <cell r="C986">
            <v>45903</v>
          </cell>
          <cell r="E986">
            <v>2.1144484352868601E-2</v>
          </cell>
        </row>
        <row r="987">
          <cell r="A987" t="str">
            <v>NOK_NIBOR_6M_EOD</v>
          </cell>
          <cell r="C987">
            <v>46633</v>
          </cell>
          <cell r="E987">
            <v>2.2249602537435999E-2</v>
          </cell>
        </row>
        <row r="988">
          <cell r="A988" t="str">
            <v>NOK_NIBOR_6M_EOD</v>
          </cell>
          <cell r="C988">
            <v>47729</v>
          </cell>
          <cell r="E988">
            <v>2.2931263297040101E-2</v>
          </cell>
        </row>
        <row r="989">
          <cell r="A989" t="str">
            <v>NOK_NIBOR_6M_EOD</v>
          </cell>
          <cell r="C989">
            <v>49555</v>
          </cell>
          <cell r="E989">
            <v>2.37085499545968E-2</v>
          </cell>
        </row>
        <row r="990">
          <cell r="A990" t="str">
            <v>NOK_NIBOR_6M_EOD</v>
          </cell>
          <cell r="C990">
            <v>51382</v>
          </cell>
          <cell r="E990">
            <v>2.3593205738299899E-2</v>
          </cell>
        </row>
        <row r="991">
          <cell r="A991" t="str">
            <v>NOK_NIBOR_6M_EOD</v>
          </cell>
          <cell r="C991">
            <v>53209</v>
          </cell>
          <cell r="E991">
            <v>2.3518619510649499E-2</v>
          </cell>
        </row>
        <row r="992">
          <cell r="A992" t="str">
            <v>NOK_NIBOR_EOD</v>
          </cell>
          <cell r="C992">
            <v>42249</v>
          </cell>
          <cell r="E992">
            <v>1.01387480735807E-2</v>
          </cell>
        </row>
        <row r="993">
          <cell r="A993" t="str">
            <v>NOK_NIBOR_EOD</v>
          </cell>
          <cell r="C993">
            <v>42250</v>
          </cell>
          <cell r="E993">
            <v>1.0138748073609099E-2</v>
          </cell>
        </row>
        <row r="994">
          <cell r="A994" t="str">
            <v>NOK_NIBOR_EOD</v>
          </cell>
          <cell r="C994">
            <v>42257</v>
          </cell>
          <cell r="E994">
            <v>1.1163033093349499E-2</v>
          </cell>
        </row>
        <row r="995">
          <cell r="A995" t="str">
            <v>NOK_NIBOR_EOD</v>
          </cell>
          <cell r="C995">
            <v>42354</v>
          </cell>
          <cell r="E995">
            <v>1.1272094584836001E-2</v>
          </cell>
        </row>
        <row r="996">
          <cell r="A996" t="str">
            <v>NOK_NIBOR_EOD</v>
          </cell>
          <cell r="C996">
            <v>42445</v>
          </cell>
          <cell r="E996">
            <v>1.0462405245467101E-2</v>
          </cell>
        </row>
        <row r="997">
          <cell r="A997" t="str">
            <v>NOK_NIBOR_EOD</v>
          </cell>
          <cell r="C997">
            <v>42536</v>
          </cell>
          <cell r="E997">
            <v>9.9086877378009898E-3</v>
          </cell>
        </row>
        <row r="998">
          <cell r="A998" t="str">
            <v>NOK_NIBOR_EOD</v>
          </cell>
          <cell r="C998">
            <v>42634</v>
          </cell>
          <cell r="E998">
            <v>9.5784867815841401E-3</v>
          </cell>
        </row>
        <row r="999">
          <cell r="A999" t="str">
            <v>NOK_NIBOR_EOD</v>
          </cell>
          <cell r="C999">
            <v>42982</v>
          </cell>
          <cell r="E999">
            <v>1.0252766409129701E-2</v>
          </cell>
        </row>
        <row r="1000">
          <cell r="A1000" t="str">
            <v>NOK_NIBOR_EOD</v>
          </cell>
          <cell r="C1000">
            <v>43346</v>
          </cell>
          <cell r="E1000">
            <v>1.11878310543032E-2</v>
          </cell>
        </row>
      </sheetData>
      <sheetData sheetId="8">
        <row r="2">
          <cell r="A2" t="str">
            <v>AUD_AONIA_EOD</v>
          </cell>
          <cell r="F2">
            <v>0.99994520848172697</v>
          </cell>
        </row>
        <row r="3">
          <cell r="A3" t="str">
            <v>AUD_AONIA_EOD</v>
          </cell>
          <cell r="F3">
            <v>0.99956157537983403</v>
          </cell>
        </row>
        <row r="4">
          <cell r="A4" t="str">
            <v>AUD_AONIA_EOD</v>
          </cell>
          <cell r="F4">
            <v>0.99830497972462895</v>
          </cell>
        </row>
        <row r="5">
          <cell r="A5" t="str">
            <v>AUD_AONIA_EOD</v>
          </cell>
          <cell r="F5">
            <v>0.99665899350158704</v>
          </cell>
        </row>
        <row r="6">
          <cell r="A6" t="str">
            <v>AUD_AONIA_EOD</v>
          </cell>
          <cell r="F6">
            <v>0.995146361893266</v>
          </cell>
        </row>
        <row r="7">
          <cell r="A7" t="str">
            <v>AUD_AONIA_EOD</v>
          </cell>
          <cell r="F7">
            <v>0.99355060788710703</v>
          </cell>
        </row>
        <row r="8">
          <cell r="A8" t="str">
            <v>AUD_AONIA_EOD</v>
          </cell>
          <cell r="F8">
            <v>0.99215614126975604</v>
          </cell>
        </row>
        <row r="9">
          <cell r="A9" t="str">
            <v>AUD_AONIA_EOD</v>
          </cell>
          <cell r="F9">
            <v>0.99080818307990104</v>
          </cell>
        </row>
        <row r="10">
          <cell r="A10" t="str">
            <v>AUD_AONIA_EOD</v>
          </cell>
          <cell r="F10">
            <v>0.98668757146633201</v>
          </cell>
        </row>
        <row r="11">
          <cell r="A11" t="str">
            <v>AUD_AONIA_EOD</v>
          </cell>
          <cell r="F11">
            <v>0.98267661879826196</v>
          </cell>
        </row>
        <row r="12">
          <cell r="A12" t="str">
            <v>AUD_AONIA_EOD</v>
          </cell>
          <cell r="F12">
            <v>0.974343817712233</v>
          </cell>
        </row>
        <row r="13">
          <cell r="A13" t="str">
            <v>AUD_AONIA_EOD</v>
          </cell>
          <cell r="F13">
            <v>0.96525385288384102</v>
          </cell>
        </row>
        <row r="14">
          <cell r="A14" t="str">
            <v>AUD_AONIA_EOD</v>
          </cell>
          <cell r="F14">
            <v>0.94607771763277004</v>
          </cell>
        </row>
        <row r="15">
          <cell r="A15" t="str">
            <v>AUD_AONIA_EOD</v>
          </cell>
          <cell r="F15">
            <v>0.92363110585156505</v>
          </cell>
        </row>
        <row r="16">
          <cell r="A16" t="str">
            <v>AUD_AONIA_EOD</v>
          </cell>
          <cell r="F16">
            <v>0.89838574013817896</v>
          </cell>
        </row>
        <row r="17">
          <cell r="A17" t="str">
            <v>AUD_AONIA_EOD</v>
          </cell>
          <cell r="F17">
            <v>0.84203971295726399</v>
          </cell>
        </row>
        <row r="18">
          <cell r="A18" t="str">
            <v>AUD_AONIA_EOD</v>
          </cell>
          <cell r="F18">
            <v>0.75789346387493295</v>
          </cell>
        </row>
        <row r="19">
          <cell r="A19" t="str">
            <v>AUD_AONIA_EOD</v>
          </cell>
          <cell r="F19">
            <v>0.70305724794653601</v>
          </cell>
        </row>
        <row r="20">
          <cell r="A20" t="str">
            <v>AUD_AONIA_EOD</v>
          </cell>
          <cell r="F20">
            <v>0.62708012263655</v>
          </cell>
        </row>
        <row r="21">
          <cell r="A21" t="str">
            <v>AUD_AONIA_EOD</v>
          </cell>
          <cell r="F21">
            <v>0.52016872049547602</v>
          </cell>
        </row>
        <row r="22">
          <cell r="A22" t="str">
            <v>AUD_AONIA_EOD</v>
          </cell>
          <cell r="F22">
            <v>0.43933835674416999</v>
          </cell>
        </row>
        <row r="23">
          <cell r="A23" t="str">
            <v>AUD_AONIA_EOD</v>
          </cell>
          <cell r="F23">
            <v>0.37585924983741298</v>
          </cell>
        </row>
        <row r="24">
          <cell r="A24" t="str">
            <v>AUD_AONIA_EOD</v>
          </cell>
          <cell r="F24">
            <v>0.28373384134870699</v>
          </cell>
        </row>
        <row r="25">
          <cell r="A25" t="str">
            <v>AUD_BBSW_3M_EOD</v>
          </cell>
          <cell r="F25">
            <v>0.99471764054065703</v>
          </cell>
        </row>
        <row r="26">
          <cell r="A26" t="str">
            <v>AUD_BBSW_3M_EOD</v>
          </cell>
          <cell r="F26">
            <v>0.99424613879356505</v>
          </cell>
        </row>
        <row r="27">
          <cell r="A27" t="str">
            <v>AUD_BBSW_3M_EOD</v>
          </cell>
          <cell r="F27">
            <v>0.98946346876840496</v>
          </cell>
        </row>
        <row r="28">
          <cell r="A28" t="str">
            <v>AUD_BBSW_3M_EOD</v>
          </cell>
          <cell r="F28">
            <v>0.98492815402175804</v>
          </cell>
        </row>
        <row r="29">
          <cell r="A29" t="str">
            <v>AUD_BBSW_3M_EOD</v>
          </cell>
          <cell r="F29">
            <v>0.98046837828381395</v>
          </cell>
        </row>
        <row r="30">
          <cell r="A30" t="str">
            <v>AUD_BBSW_3M_EOD</v>
          </cell>
          <cell r="F30">
            <v>0.97596363587147905</v>
          </cell>
        </row>
        <row r="31">
          <cell r="A31" t="str">
            <v>AUD_BBSW_3M_EOD</v>
          </cell>
          <cell r="F31">
            <v>0.971320005703325</v>
          </cell>
        </row>
        <row r="32">
          <cell r="A32" t="str">
            <v>AUD_BBSW_3M_EOD</v>
          </cell>
          <cell r="F32">
            <v>0.96178276874962398</v>
          </cell>
        </row>
        <row r="33">
          <cell r="A33" t="str">
            <v>AUD_BBSW_3M_EOD</v>
          </cell>
          <cell r="F33">
            <v>0.94028530154634204</v>
          </cell>
        </row>
        <row r="34">
          <cell r="A34" t="str">
            <v>AUD_BBSW_3M_EOD</v>
          </cell>
          <cell r="F34">
            <v>0.91611514118877702</v>
          </cell>
        </row>
        <row r="35">
          <cell r="A35" t="str">
            <v>AUD_BBSW_3M_EOD</v>
          </cell>
          <cell r="F35">
            <v>0.88931275152043998</v>
          </cell>
        </row>
        <row r="36">
          <cell r="A36" t="str">
            <v>AUD_BBSW_3M_EOD</v>
          </cell>
          <cell r="F36">
            <v>0.83046335310652397</v>
          </cell>
        </row>
        <row r="37">
          <cell r="A37" t="str">
            <v>AUD_BBSW_3M_EOD</v>
          </cell>
          <cell r="F37">
            <v>0.74282926186565601</v>
          </cell>
        </row>
        <row r="38">
          <cell r="A38" t="str">
            <v>AUD_BBSW_3M_EOD</v>
          </cell>
          <cell r="F38">
            <v>0.68608461454483305</v>
          </cell>
        </row>
        <row r="39">
          <cell r="A39" t="str">
            <v>AUD_BBSW_3M_EOD</v>
          </cell>
          <cell r="F39">
            <v>0.608171842783651</v>
          </cell>
        </row>
        <row r="40">
          <cell r="A40" t="str">
            <v>AUD_BBSW_3M_EOD</v>
          </cell>
          <cell r="F40">
            <v>0.49904016073549001</v>
          </cell>
        </row>
        <row r="41">
          <cell r="A41" t="str">
            <v>AUD_BBSW_3M_EOD</v>
          </cell>
          <cell r="F41">
            <v>0.41680147846052101</v>
          </cell>
        </row>
        <row r="42">
          <cell r="A42" t="str">
            <v>AUD_BBSW_3M_EOD</v>
          </cell>
          <cell r="F42">
            <v>0.353406009816851</v>
          </cell>
        </row>
        <row r="43">
          <cell r="A43" t="str">
            <v>AUD_BBSW_3M_EOD</v>
          </cell>
          <cell r="F43">
            <v>0.26127490921908098</v>
          </cell>
        </row>
        <row r="44">
          <cell r="A44" t="str">
            <v>AUD_BBSW_6M_EOD</v>
          </cell>
          <cell r="F44">
            <v>0.98922235469068898</v>
          </cell>
        </row>
        <row r="45">
          <cell r="A45" t="str">
            <v>AUD_BBSW_6M_EOD</v>
          </cell>
          <cell r="F45">
            <v>0.97951192967046097</v>
          </cell>
        </row>
        <row r="46">
          <cell r="A46" t="str">
            <v>AUD_BBSW_6M_EOD</v>
          </cell>
          <cell r="F46">
            <v>0.95954417414401205</v>
          </cell>
        </row>
        <row r="47">
          <cell r="A47" t="str">
            <v>AUD_BBSW_6M_EOD</v>
          </cell>
          <cell r="F47">
            <v>0.93722763374746099</v>
          </cell>
        </row>
        <row r="48">
          <cell r="A48" t="str">
            <v>AUD_BBSW_6M_EOD</v>
          </cell>
          <cell r="F48">
            <v>0.91250671215208201</v>
          </cell>
        </row>
        <row r="49">
          <cell r="A49" t="str">
            <v>AUD_BBSW_6M_EOD</v>
          </cell>
          <cell r="F49">
            <v>0.88520575489738096</v>
          </cell>
        </row>
        <row r="50">
          <cell r="A50" t="str">
            <v>AUD_BBSW_6M_EOD</v>
          </cell>
          <cell r="F50">
            <v>0.82581753884914</v>
          </cell>
        </row>
        <row r="51">
          <cell r="A51" t="str">
            <v>AUD_BBSW_6M_EOD</v>
          </cell>
          <cell r="F51">
            <v>0.73785774845732699</v>
          </cell>
        </row>
        <row r="52">
          <cell r="A52" t="str">
            <v>AUD_BBSW_6M_EOD</v>
          </cell>
          <cell r="F52">
            <v>0.68131446054676204</v>
          </cell>
        </row>
        <row r="53">
          <cell r="A53" t="str">
            <v>AUD_BBSW_6M_EOD</v>
          </cell>
          <cell r="F53">
            <v>0.604002273124568</v>
          </cell>
        </row>
        <row r="54">
          <cell r="A54" t="str">
            <v>AUD_BBSW_6M_EOD</v>
          </cell>
          <cell r="F54">
            <v>0.49547864847447598</v>
          </cell>
        </row>
        <row r="55">
          <cell r="A55" t="str">
            <v>AUD_BBSW_6M_EOD</v>
          </cell>
          <cell r="F55">
            <v>0.41411897449945001</v>
          </cell>
        </row>
        <row r="56">
          <cell r="A56" t="str">
            <v>AUD_BBSW_6M_EOD</v>
          </cell>
          <cell r="F56">
            <v>0.35133559421791</v>
          </cell>
        </row>
        <row r="57">
          <cell r="A57" t="str">
            <v>AUD_BBSW_6M_EOD</v>
          </cell>
          <cell r="F57">
            <v>0.258857515285145</v>
          </cell>
        </row>
        <row r="58">
          <cell r="A58" t="str">
            <v>AUD_BBSW_EOD</v>
          </cell>
          <cell r="F58">
            <v>0.99994520848172697</v>
          </cell>
        </row>
        <row r="59">
          <cell r="A59" t="str">
            <v>AUD_BBSW_EOD</v>
          </cell>
          <cell r="F59">
            <v>0.99961460300465699</v>
          </cell>
        </row>
        <row r="60">
          <cell r="A60" t="str">
            <v>AUD_BBSW_EOD</v>
          </cell>
          <cell r="F60">
            <v>0.99427335789547</v>
          </cell>
        </row>
        <row r="61">
          <cell r="A61" t="str">
            <v>AUD_BBSW_EOD</v>
          </cell>
          <cell r="F61">
            <v>0.98949055693695098</v>
          </cell>
        </row>
        <row r="62">
          <cell r="A62" t="str">
            <v>AUD_BBSW_EOD</v>
          </cell>
          <cell r="F62">
            <v>0.98495511802862701</v>
          </cell>
        </row>
        <row r="63">
          <cell r="A63" t="str">
            <v>AUD_BBSW_EOD</v>
          </cell>
          <cell r="F63">
            <v>0.98049522019702695</v>
          </cell>
        </row>
        <row r="64">
          <cell r="A64" t="str">
            <v>AUD_BBSW_EOD</v>
          </cell>
          <cell r="F64">
            <v>0.97599035446016402</v>
          </cell>
        </row>
        <row r="65">
          <cell r="A65" t="str">
            <v>AUD_BBSW_EOD</v>
          </cell>
          <cell r="F65">
            <v>0.97134659716512295</v>
          </cell>
        </row>
        <row r="66">
          <cell r="A66" t="str">
            <v>AUD_BBSW_EOD</v>
          </cell>
          <cell r="F66">
            <v>0.96178180515355605</v>
          </cell>
        </row>
        <row r="67">
          <cell r="A67" t="str">
            <v>AUD_BBSW_EOD</v>
          </cell>
          <cell r="F67">
            <v>0.94027345740409796</v>
          </cell>
        </row>
        <row r="68">
          <cell r="A68" t="str">
            <v>AUD_BBSW_EOD</v>
          </cell>
          <cell r="F68">
            <v>0.91231160964154001</v>
          </cell>
        </row>
        <row r="69">
          <cell r="A69" t="str">
            <v>AUD_BBSW_EOD</v>
          </cell>
          <cell r="F69">
            <v>0.88496685542260201</v>
          </cell>
        </row>
        <row r="70">
          <cell r="A70" t="str">
            <v>AUD_BBSW_EOD</v>
          </cell>
          <cell r="F70">
            <v>0.82544086888210699</v>
          </cell>
        </row>
        <row r="71">
          <cell r="A71" t="str">
            <v>AUD_BBSW_EOD</v>
          </cell>
          <cell r="F71">
            <v>0.73727305542236998</v>
          </cell>
        </row>
        <row r="72">
          <cell r="A72" t="str">
            <v>AUD_BBSW_EOD</v>
          </cell>
          <cell r="F72">
            <v>0.680571960310563</v>
          </cell>
        </row>
        <row r="73">
          <cell r="A73" t="str">
            <v>AUD_BBSW_EOD</v>
          </cell>
          <cell r="F73">
            <v>0.60306960448510505</v>
          </cell>
        </row>
        <row r="74">
          <cell r="A74" t="str">
            <v>AUD_BBSW_EOD</v>
          </cell>
          <cell r="F74">
            <v>0.494354647924719</v>
          </cell>
        </row>
        <row r="75">
          <cell r="A75" t="str">
            <v>AUD_BBSW_EOD</v>
          </cell>
          <cell r="F75">
            <v>0.41307650277116897</v>
          </cell>
        </row>
        <row r="76">
          <cell r="A76" t="str">
            <v>AUD_BBSW_EOD</v>
          </cell>
          <cell r="F76">
            <v>0.35053416962134298</v>
          </cell>
        </row>
        <row r="77">
          <cell r="A77" t="str">
            <v>AUD_BBSW_EOD</v>
          </cell>
          <cell r="F77">
            <v>0.25866991101123599</v>
          </cell>
        </row>
        <row r="78">
          <cell r="A78" t="str">
            <v>CAD_CDOR_1M_EOD</v>
          </cell>
          <cell r="F78">
            <v>0.99938886686278405</v>
          </cell>
        </row>
        <row r="79">
          <cell r="A79" t="str">
            <v>CAD_CDOR_1M_EOD</v>
          </cell>
          <cell r="F79">
            <v>0.99878695272289797</v>
          </cell>
        </row>
        <row r="80">
          <cell r="A80" t="str">
            <v>CAD_CDOR_1M_EOD</v>
          </cell>
          <cell r="F80">
            <v>0.99828211709127501</v>
          </cell>
        </row>
        <row r="81">
          <cell r="A81" t="str">
            <v>CAD_CDOR_1M_EOD</v>
          </cell>
          <cell r="F81">
            <v>0.99685703224283795</v>
          </cell>
        </row>
        <row r="82">
          <cell r="A82" t="str">
            <v>CAD_CDOR_1M_EOD</v>
          </cell>
          <cell r="F82">
            <v>0.995370394060341</v>
          </cell>
        </row>
        <row r="83">
          <cell r="A83" t="str">
            <v>CAD_CDOR_1M_EOD</v>
          </cell>
          <cell r="F83">
            <v>0.99322665248877695</v>
          </cell>
        </row>
        <row r="84">
          <cell r="A84" t="str">
            <v>CAD_CDOR_1M_EOD</v>
          </cell>
          <cell r="F84">
            <v>0.986706213627077</v>
          </cell>
        </row>
        <row r="85">
          <cell r="A85" t="str">
            <v>CAD_CDOR_1M_EOD</v>
          </cell>
          <cell r="F85">
            <v>0.97678420977024105</v>
          </cell>
        </row>
        <row r="86">
          <cell r="A86" t="str">
            <v>CAD_CDOR_1M_EOD</v>
          </cell>
          <cell r="F86">
            <v>0.96437798428151</v>
          </cell>
        </row>
        <row r="87">
          <cell r="A87" t="str">
            <v>CAD_CDOR_1M_EOD</v>
          </cell>
          <cell r="F87">
            <v>0.94862442603580199</v>
          </cell>
        </row>
        <row r="88">
          <cell r="A88" t="str">
            <v>CAD_CDOR_1M_EOD</v>
          </cell>
          <cell r="F88">
            <v>0.92866921762088295</v>
          </cell>
        </row>
        <row r="89">
          <cell r="A89" t="str">
            <v>CAD_CDOR_1M_EOD</v>
          </cell>
          <cell r="F89">
            <v>0.90548453193245204</v>
          </cell>
        </row>
        <row r="90">
          <cell r="A90" t="str">
            <v>CAD_CDOR_1M_EOD</v>
          </cell>
          <cell r="F90">
            <v>0.880400922074008</v>
          </cell>
        </row>
        <row r="91">
          <cell r="A91" t="str">
            <v>CAD_CDOR_1M_EOD</v>
          </cell>
          <cell r="F91">
            <v>0.85380182549208705</v>
          </cell>
        </row>
        <row r="92">
          <cell r="A92" t="str">
            <v>CAD_CDOR_1M_EOD</v>
          </cell>
          <cell r="F92">
            <v>0.82702370152778104</v>
          </cell>
        </row>
        <row r="93">
          <cell r="A93" t="str">
            <v>CAD_CDOR_1M_EOD</v>
          </cell>
          <cell r="F93">
            <v>0.77355331535139904</v>
          </cell>
        </row>
        <row r="94">
          <cell r="A94" t="str">
            <v>CAD_CDOR_1M_EOD</v>
          </cell>
          <cell r="F94">
            <v>0.69812129050236105</v>
          </cell>
        </row>
        <row r="95">
          <cell r="A95" t="str">
            <v>CAD_CDOR_1M_EOD</v>
          </cell>
          <cell r="F95">
            <v>0.59881585136320503</v>
          </cell>
        </row>
        <row r="96">
          <cell r="A96" t="str">
            <v>CAD_CDOR_1M_EOD</v>
          </cell>
          <cell r="F96">
            <v>0.52289585531645799</v>
          </cell>
        </row>
        <row r="97">
          <cell r="A97" t="str">
            <v>CAD_CDOR_1M_EOD</v>
          </cell>
          <cell r="F97">
            <v>0.45617453482081299</v>
          </cell>
        </row>
        <row r="98">
          <cell r="A98" t="str">
            <v>CAD_CDOR_3M_EOD</v>
          </cell>
          <cell r="F98">
            <v>0.998148530189372</v>
          </cell>
        </row>
        <row r="99">
          <cell r="A99" t="str">
            <v>CAD_CDOR_3M_EOD</v>
          </cell>
          <cell r="F99">
            <v>0.99798117140207099</v>
          </cell>
        </row>
        <row r="100">
          <cell r="A100" t="str">
            <v>CAD_CDOR_3M_EOD</v>
          </cell>
          <cell r="F100">
            <v>0.99642926149170097</v>
          </cell>
        </row>
        <row r="101">
          <cell r="A101" t="str">
            <v>CAD_CDOR_3M_EOD</v>
          </cell>
          <cell r="F101">
            <v>0.99490553423230399</v>
          </cell>
        </row>
        <row r="102">
          <cell r="A102" t="str">
            <v>CAD_CDOR_3M_EOD</v>
          </cell>
          <cell r="F102">
            <v>0.99320250260376197</v>
          </cell>
        </row>
        <row r="103">
          <cell r="A103" t="str">
            <v>CAD_CDOR_3M_EOD</v>
          </cell>
          <cell r="F103">
            <v>0.98575502991678299</v>
          </cell>
        </row>
        <row r="104">
          <cell r="A104" t="str">
            <v>CAD_CDOR_3M_EOD</v>
          </cell>
          <cell r="F104">
            <v>0.97530891939056796</v>
          </cell>
        </row>
        <row r="105">
          <cell r="A105" t="str">
            <v>CAD_CDOR_3M_EOD</v>
          </cell>
          <cell r="F105">
            <v>0.962137100473476</v>
          </cell>
        </row>
        <row r="106">
          <cell r="A106" t="str">
            <v>CAD_CDOR_3M_EOD</v>
          </cell>
          <cell r="F106">
            <v>0.94557649748439498</v>
          </cell>
        </row>
        <row r="107">
          <cell r="A107" t="str">
            <v>CAD_CDOR_3M_EOD</v>
          </cell>
          <cell r="F107">
            <v>0.92524608515656004</v>
          </cell>
        </row>
        <row r="108">
          <cell r="A108" t="str">
            <v>CAD_CDOR_3M_EOD</v>
          </cell>
          <cell r="F108">
            <v>0.90170397213903997</v>
          </cell>
        </row>
        <row r="109">
          <cell r="A109" t="str">
            <v>CAD_CDOR_3M_EOD</v>
          </cell>
          <cell r="F109">
            <v>0.87626531955105702</v>
          </cell>
        </row>
        <row r="110">
          <cell r="A110" t="str">
            <v>CAD_CDOR_3M_EOD</v>
          </cell>
          <cell r="F110">
            <v>0.84949572967699005</v>
          </cell>
        </row>
        <row r="111">
          <cell r="A111" t="str">
            <v>CAD_CDOR_3M_EOD</v>
          </cell>
          <cell r="F111">
            <v>0.82267835262415201</v>
          </cell>
        </row>
        <row r="112">
          <cell r="A112" t="str">
            <v>CAD_CDOR_3M_EOD</v>
          </cell>
          <cell r="F112">
            <v>0.76907078104099402</v>
          </cell>
        </row>
        <row r="113">
          <cell r="A113" t="str">
            <v>CAD_CDOR_3M_EOD</v>
          </cell>
          <cell r="F113">
            <v>0.69377712963885196</v>
          </cell>
        </row>
        <row r="114">
          <cell r="A114" t="str">
            <v>CAD_CDOR_3M_EOD</v>
          </cell>
          <cell r="F114">
            <v>0.59544618320119902</v>
          </cell>
        </row>
        <row r="115">
          <cell r="A115" t="str">
            <v>CAD_CDOR_3M_EOD</v>
          </cell>
          <cell r="F115">
            <v>0.51955026583018304</v>
          </cell>
        </row>
        <row r="116">
          <cell r="A116" t="str">
            <v>CAD_CDOR_3M_EOD</v>
          </cell>
          <cell r="F116">
            <v>0.45430993957913901</v>
          </cell>
        </row>
        <row r="117">
          <cell r="A117" t="str">
            <v>CAD_CDOR_EOD</v>
          </cell>
          <cell r="F117">
            <v>0.99998368245804703</v>
          </cell>
        </row>
        <row r="118">
          <cell r="A118" t="str">
            <v>CAD_CDOR_EOD</v>
          </cell>
          <cell r="F118">
            <v>0.99987990143536998</v>
          </cell>
        </row>
        <row r="119">
          <cell r="A119" t="str">
            <v>CAD_CDOR_EOD</v>
          </cell>
          <cell r="F119">
            <v>0.99801952969249097</v>
          </cell>
        </row>
        <row r="120">
          <cell r="A120" t="str">
            <v>CAD_CDOR_EOD</v>
          </cell>
          <cell r="F120">
            <v>0.99646756013308901</v>
          </cell>
        </row>
        <row r="121">
          <cell r="A121" t="str">
            <v>CAD_CDOR_EOD</v>
          </cell>
          <cell r="F121">
            <v>0.99494377430788405</v>
          </cell>
        </row>
        <row r="122">
          <cell r="A122" t="str">
            <v>CAD_CDOR_EOD</v>
          </cell>
          <cell r="F122">
            <v>0.99324067722181397</v>
          </cell>
        </row>
        <row r="123">
          <cell r="A123" t="str">
            <v>CAD_CDOR_EOD</v>
          </cell>
          <cell r="F123">
            <v>0.985752551299096</v>
          </cell>
        </row>
        <row r="124">
          <cell r="A124" t="str">
            <v>CAD_CDOR_EOD</v>
          </cell>
          <cell r="F124">
            <v>0.97529674972561997</v>
          </cell>
        </row>
        <row r="125">
          <cell r="A125" t="str">
            <v>CAD_CDOR_EOD</v>
          </cell>
          <cell r="F125">
            <v>0.96209841270363305</v>
          </cell>
        </row>
        <row r="126">
          <cell r="A126" t="str">
            <v>CAD_CDOR_EOD</v>
          </cell>
          <cell r="F126">
            <v>0.94549213494360196</v>
          </cell>
        </row>
        <row r="127">
          <cell r="A127" t="str">
            <v>CAD_CDOR_EOD</v>
          </cell>
          <cell r="F127">
            <v>0.92509205096348002</v>
          </cell>
        </row>
        <row r="128">
          <cell r="A128" t="str">
            <v>CAD_CDOR_EOD</v>
          </cell>
          <cell r="F128">
            <v>0.90145162262367295</v>
          </cell>
        </row>
        <row r="129">
          <cell r="A129" t="str">
            <v>CAD_CDOR_EOD</v>
          </cell>
          <cell r="F129">
            <v>0.87589174339371501</v>
          </cell>
        </row>
        <row r="130">
          <cell r="A130" t="str">
            <v>CAD_CDOR_EOD</v>
          </cell>
          <cell r="F130">
            <v>0.84898209093073995</v>
          </cell>
        </row>
        <row r="131">
          <cell r="A131" t="str">
            <v>CAD_CDOR_EOD</v>
          </cell>
          <cell r="F131">
            <v>0.82201886712157601</v>
          </cell>
        </row>
        <row r="132">
          <cell r="A132" t="str">
            <v>CAD_CDOR_EOD</v>
          </cell>
          <cell r="F132">
            <v>0.76811996024284102</v>
          </cell>
        </row>
        <row r="133">
          <cell r="A133" t="str">
            <v>CAD_CDOR_EOD</v>
          </cell>
          <cell r="F133">
            <v>0.69242221860089104</v>
          </cell>
        </row>
        <row r="134">
          <cell r="A134" t="str">
            <v>CAD_CDOR_EOD</v>
          </cell>
          <cell r="F134">
            <v>0.59378284229534595</v>
          </cell>
        </row>
        <row r="135">
          <cell r="A135" t="str">
            <v>CAD_CDOR_EOD</v>
          </cell>
          <cell r="F135">
            <v>0.51791116091038403</v>
          </cell>
        </row>
        <row r="136">
          <cell r="A136" t="str">
            <v>CAD_CDOR_EOD</v>
          </cell>
          <cell r="F136">
            <v>0.45272782613671197</v>
          </cell>
        </row>
        <row r="137">
          <cell r="A137" t="str">
            <v>CAD_CORRA_EOD</v>
          </cell>
          <cell r="F137">
            <v>0.99998368245804703</v>
          </cell>
        </row>
        <row r="138">
          <cell r="A138" t="str">
            <v>CAD_CORRA_EOD</v>
          </cell>
          <cell r="F138">
            <v>0.999885118440071</v>
          </cell>
        </row>
        <row r="139">
          <cell r="A139" t="str">
            <v>CAD_CORRA_EOD</v>
          </cell>
          <cell r="F139">
            <v>0.99960574932542601</v>
          </cell>
        </row>
        <row r="140">
          <cell r="A140" t="str">
            <v>CAD_CORRA_EOD</v>
          </cell>
          <cell r="F140">
            <v>0.99923999239084305</v>
          </cell>
        </row>
        <row r="141">
          <cell r="A141" t="str">
            <v>CAD_CORRA_EOD</v>
          </cell>
          <cell r="F141">
            <v>0.99891072006842996</v>
          </cell>
        </row>
        <row r="142">
          <cell r="A142" t="str">
            <v>CAD_CORRA_EOD</v>
          </cell>
          <cell r="F142">
            <v>0.99857582733271699</v>
          </cell>
        </row>
        <row r="143">
          <cell r="A143" t="str">
            <v>CAD_CORRA_EOD</v>
          </cell>
          <cell r="F143">
            <v>0.99829309361687901</v>
          </cell>
        </row>
        <row r="144">
          <cell r="A144" t="str">
            <v>CAD_CORRA_EOD</v>
          </cell>
          <cell r="F144">
            <v>0.998029586098934</v>
          </cell>
        </row>
        <row r="145">
          <cell r="A145" t="str">
            <v>CAD_CORRA_EOD</v>
          </cell>
          <cell r="F145">
            <v>0.99772690620117099</v>
          </cell>
        </row>
        <row r="146">
          <cell r="A146" t="str">
            <v>CAD_CORRA_EOD</v>
          </cell>
          <cell r="F146">
            <v>0.99747018057876502</v>
          </cell>
        </row>
        <row r="147">
          <cell r="A147" t="str">
            <v>CAD_CORRA_EOD</v>
          </cell>
          <cell r="F147">
            <v>0.99718153859033898</v>
          </cell>
        </row>
        <row r="148">
          <cell r="A148" t="str">
            <v>CAD_CORRA_EOD</v>
          </cell>
          <cell r="F148">
            <v>0.99687474421466504</v>
          </cell>
        </row>
        <row r="149">
          <cell r="A149" t="str">
            <v>CAD_CORRA_EOD</v>
          </cell>
          <cell r="F149">
            <v>0.99659022448407497</v>
          </cell>
        </row>
        <row r="150">
          <cell r="A150" t="str">
            <v>CAD_CORRA_EOD</v>
          </cell>
          <cell r="F150">
            <v>0.99628234342747801</v>
          </cell>
        </row>
        <row r="151">
          <cell r="A151" t="str">
            <v>CAD_CORRA_EOD</v>
          </cell>
          <cell r="F151">
            <v>0.99409192573257898</v>
          </cell>
        </row>
        <row r="152">
          <cell r="A152" t="str">
            <v>CAD_CORRA_EOD</v>
          </cell>
          <cell r="F152">
            <v>0.99116084251508496</v>
          </cell>
        </row>
        <row r="153">
          <cell r="A153" t="str">
            <v>CAD_CORRA_EOD</v>
          </cell>
          <cell r="F153">
            <v>0.98338830031038005</v>
          </cell>
        </row>
        <row r="154">
          <cell r="A154" t="str">
            <v>CAD_CORRA_EOD</v>
          </cell>
          <cell r="F154">
            <v>0.97288522645856101</v>
          </cell>
        </row>
        <row r="155">
          <cell r="A155" t="str">
            <v>CAD_CORRA_EOD</v>
          </cell>
          <cell r="F155">
            <v>0.95891725070141698</v>
          </cell>
        </row>
        <row r="156">
          <cell r="A156" t="str">
            <v>CAD_CORRA_EOD</v>
          </cell>
          <cell r="F156">
            <v>0.91942530898164698</v>
          </cell>
        </row>
        <row r="157">
          <cell r="A157" t="str">
            <v>CAD_CORRA_EOD</v>
          </cell>
          <cell r="F157">
            <v>0.84589331555374203</v>
          </cell>
        </row>
        <row r="158">
          <cell r="A158" t="str">
            <v>CAD_CORRA_EOD</v>
          </cell>
          <cell r="F158">
            <v>0.79426718099062699</v>
          </cell>
        </row>
        <row r="159">
          <cell r="A159" t="str">
            <v>CAD_CORRA_EOD</v>
          </cell>
          <cell r="F159">
            <v>0.72290785294581905</v>
          </cell>
        </row>
        <row r="160">
          <cell r="A160" t="str">
            <v>CAD_CORRA_EOD</v>
          </cell>
          <cell r="F160">
            <v>0.62859978478971101</v>
          </cell>
        </row>
        <row r="161">
          <cell r="A161" t="str">
            <v>CAD_CORRA_EOD</v>
          </cell>
          <cell r="F161">
            <v>0.49225796481328299</v>
          </cell>
        </row>
        <row r="162">
          <cell r="A162" t="str">
            <v>CHF_LIBOR_12M_EOD</v>
          </cell>
          <cell r="F162">
            <v>1.0057991798938</v>
          </cell>
        </row>
        <row r="163">
          <cell r="A163" t="str">
            <v>CHF_LIBOR_12M_EOD</v>
          </cell>
          <cell r="F163">
            <v>1.0102543791926799</v>
          </cell>
        </row>
        <row r="164">
          <cell r="A164" t="str">
            <v>CHF_LIBOR_12M_EOD</v>
          </cell>
          <cell r="F164">
            <v>1.01274686880819</v>
          </cell>
        </row>
        <row r="165">
          <cell r="A165" t="str">
            <v>CHF_LIBOR_12M_EOD</v>
          </cell>
          <cell r="F165">
            <v>1.01237612514398</v>
          </cell>
        </row>
        <row r="166">
          <cell r="A166" t="str">
            <v>CHF_LIBOR_12M_EOD</v>
          </cell>
          <cell r="F166">
            <v>1.0086087737170799</v>
          </cell>
        </row>
        <row r="167">
          <cell r="A167" t="str">
            <v>CHF_LIBOR_12M_EOD</v>
          </cell>
          <cell r="F167">
            <v>1.00184485891383</v>
          </cell>
        </row>
        <row r="168">
          <cell r="A168" t="str">
            <v>CHF_LIBOR_12M_EOD</v>
          </cell>
          <cell r="F168">
            <v>0.99264488566267595</v>
          </cell>
        </row>
        <row r="169">
          <cell r="A169" t="str">
            <v>CHF_LIBOR_12M_EOD</v>
          </cell>
          <cell r="F169">
            <v>0.98218272423874398</v>
          </cell>
        </row>
        <row r="170">
          <cell r="A170" t="str">
            <v>CHF_LIBOR_12M_EOD</v>
          </cell>
          <cell r="F170">
            <v>0.97101083927687204</v>
          </cell>
        </row>
        <row r="171">
          <cell r="A171" t="str">
            <v>CHF_LIBOR_12M_EOD</v>
          </cell>
          <cell r="F171">
            <v>0.95979350766287996</v>
          </cell>
        </row>
        <row r="172">
          <cell r="A172" t="str">
            <v>CHF_LIBOR_12M_EOD</v>
          </cell>
          <cell r="F172">
            <v>0.93577176837456899</v>
          </cell>
        </row>
        <row r="173">
          <cell r="A173" t="str">
            <v>CHF_LIBOR_12M_EOD</v>
          </cell>
          <cell r="F173">
            <v>0.90058366913285404</v>
          </cell>
        </row>
        <row r="174">
          <cell r="A174" t="str">
            <v>CHF_LIBOR_12M_EOD</v>
          </cell>
          <cell r="F174">
            <v>0.84488029013731403</v>
          </cell>
        </row>
        <row r="175">
          <cell r="A175" t="str">
            <v>CHF_LIBOR_12M_EOD</v>
          </cell>
          <cell r="F175">
            <v>0.79763313870608998</v>
          </cell>
        </row>
        <row r="176">
          <cell r="A176" t="str">
            <v>CHF_LIBOR_12M_EOD</v>
          </cell>
          <cell r="F176">
            <v>0.756502336579574</v>
          </cell>
        </row>
        <row r="177">
          <cell r="A177" t="str">
            <v>CHF_LIBOR_12M_EOD</v>
          </cell>
          <cell r="F177">
            <v>0.67253455268692697</v>
          </cell>
        </row>
        <row r="178">
          <cell r="A178" t="str">
            <v>CHF_LIBOR_3M_EOD</v>
          </cell>
          <cell r="F178">
            <v>1.0018738002569501</v>
          </cell>
        </row>
        <row r="179">
          <cell r="A179" t="str">
            <v>CHF_LIBOR_3M_EOD</v>
          </cell>
          <cell r="F179">
            <v>1.0021512360409099</v>
          </cell>
        </row>
        <row r="180">
          <cell r="A180" t="str">
            <v>CHF_LIBOR_3M_EOD</v>
          </cell>
          <cell r="F180">
            <v>1.00402983722373</v>
          </cell>
        </row>
        <row r="181">
          <cell r="A181" t="str">
            <v>CHF_LIBOR_3M_EOD</v>
          </cell>
          <cell r="F181">
            <v>1.0059382197310101</v>
          </cell>
        </row>
        <row r="182">
          <cell r="A182" t="str">
            <v>CHF_LIBOR_3M_EOD</v>
          </cell>
          <cell r="F182">
            <v>1.0079707904672099</v>
          </cell>
        </row>
        <row r="183">
          <cell r="A183" t="str">
            <v>CHF_LIBOR_3M_EOD</v>
          </cell>
          <cell r="F183">
            <v>1.01469107952156</v>
          </cell>
        </row>
        <row r="184">
          <cell r="A184" t="str">
            <v>CHF_LIBOR_3M_EOD</v>
          </cell>
          <cell r="F184">
            <v>1.01994219302407</v>
          </cell>
        </row>
        <row r="185">
          <cell r="A185" t="str">
            <v>CHF_LIBOR_3M_EOD</v>
          </cell>
          <cell r="F185">
            <v>1.0223787880949999</v>
          </cell>
        </row>
        <row r="186">
          <cell r="A186" t="str">
            <v>CHF_LIBOR_3M_EOD</v>
          </cell>
          <cell r="F186">
            <v>1.0214473819218699</v>
          </cell>
        </row>
        <row r="187">
          <cell r="A187" t="str">
            <v>CHF_LIBOR_3M_EOD</v>
          </cell>
          <cell r="F187">
            <v>1.0172990606013801</v>
          </cell>
        </row>
        <row r="188">
          <cell r="A188" t="str">
            <v>CHF_LIBOR_3M_EOD</v>
          </cell>
          <cell r="F188">
            <v>1.0105218517394301</v>
          </cell>
        </row>
        <row r="189">
          <cell r="A189" t="str">
            <v>CHF_LIBOR_3M_EOD</v>
          </cell>
          <cell r="F189">
            <v>1.0021894553780599</v>
          </cell>
        </row>
        <row r="190">
          <cell r="A190" t="str">
            <v>CHF_LIBOR_3M_EOD</v>
          </cell>
          <cell r="F190">
            <v>0.99325968491704597</v>
          </cell>
        </row>
        <row r="191">
          <cell r="A191" t="str">
            <v>CHF_LIBOR_3M_EOD</v>
          </cell>
          <cell r="F191">
            <v>0.98374115753981595</v>
          </cell>
        </row>
        <row r="192">
          <cell r="A192" t="str">
            <v>CHF_LIBOR_3M_EOD</v>
          </cell>
          <cell r="F192">
            <v>0.96293743667843301</v>
          </cell>
        </row>
        <row r="193">
          <cell r="A193" t="str">
            <v>CHF_LIBOR_3M_EOD</v>
          </cell>
          <cell r="F193">
            <v>0.93116309700465005</v>
          </cell>
        </row>
        <row r="194">
          <cell r="A194" t="str">
            <v>CHF_LIBOR_3M_EOD</v>
          </cell>
          <cell r="F194">
            <v>0.879592241014028</v>
          </cell>
        </row>
        <row r="195">
          <cell r="A195" t="str">
            <v>CHF_LIBOR_3M_EOD</v>
          </cell>
          <cell r="F195">
            <v>0.83657669253727795</v>
          </cell>
        </row>
        <row r="196">
          <cell r="A196" t="str">
            <v>CHF_LIBOR_3M_EOD</v>
          </cell>
          <cell r="F196">
            <v>0.79913233128663796</v>
          </cell>
        </row>
        <row r="197">
          <cell r="A197" t="str">
            <v>CHF_LIBOR_3M_EOD</v>
          </cell>
          <cell r="F197">
            <v>0.742896071337665</v>
          </cell>
        </row>
        <row r="198">
          <cell r="A198" t="str">
            <v>CHF_LIBOR_6M_EOD</v>
          </cell>
          <cell r="F198">
            <v>1.00345673215534</v>
          </cell>
        </row>
        <row r="199">
          <cell r="A199" t="str">
            <v>CHF_LIBOR_6M_EOD</v>
          </cell>
          <cell r="F199">
            <v>1.00682289347624</v>
          </cell>
        </row>
        <row r="200">
          <cell r="A200" t="str">
            <v>CHF_LIBOR_6M_EOD</v>
          </cell>
          <cell r="F200">
            <v>1.00989539657995</v>
          </cell>
        </row>
        <row r="201">
          <cell r="A201" t="str">
            <v>CHF_LIBOR_6M_EOD</v>
          </cell>
          <cell r="F201">
            <v>1.01275380842423</v>
          </cell>
        </row>
        <row r="202">
          <cell r="A202" t="str">
            <v>CHF_LIBOR_6M_EOD</v>
          </cell>
          <cell r="F202">
            <v>1.0166500406731001</v>
          </cell>
        </row>
        <row r="203">
          <cell r="A203" t="str">
            <v>CHF_LIBOR_6M_EOD</v>
          </cell>
          <cell r="F203">
            <v>1.0176792904838801</v>
          </cell>
        </row>
        <row r="204">
          <cell r="A204" t="str">
            <v>CHF_LIBOR_6M_EOD</v>
          </cell>
          <cell r="F204">
            <v>1.0153322459596299</v>
          </cell>
        </row>
        <row r="205">
          <cell r="A205" t="str">
            <v>CHF_LIBOR_6M_EOD</v>
          </cell>
          <cell r="F205">
            <v>1.0096988827165001</v>
          </cell>
        </row>
        <row r="206">
          <cell r="A206" t="str">
            <v>CHF_LIBOR_6M_EOD</v>
          </cell>
          <cell r="F206">
            <v>1.00154470705515</v>
          </cell>
        </row>
        <row r="207">
          <cell r="A207" t="str">
            <v>CHF_LIBOR_6M_EOD</v>
          </cell>
          <cell r="F207">
            <v>0.99203424209458702</v>
          </cell>
        </row>
        <row r="208">
          <cell r="A208" t="str">
            <v>CHF_LIBOR_6M_EOD</v>
          </cell>
          <cell r="F208">
            <v>0.98217840818044799</v>
          </cell>
        </row>
        <row r="209">
          <cell r="A209" t="str">
            <v>CHF_LIBOR_6M_EOD</v>
          </cell>
          <cell r="F209">
            <v>0.97180723075313502</v>
          </cell>
        </row>
        <row r="210">
          <cell r="A210" t="str">
            <v>CHF_LIBOR_6M_EOD</v>
          </cell>
          <cell r="F210">
            <v>0.95011586845371399</v>
          </cell>
        </row>
        <row r="211">
          <cell r="A211" t="str">
            <v>CHF_LIBOR_6M_EOD</v>
          </cell>
          <cell r="F211">
            <v>0.91820055941735901</v>
          </cell>
        </row>
        <row r="212">
          <cell r="A212" t="str">
            <v>CHF_LIBOR_6M_EOD</v>
          </cell>
          <cell r="F212">
            <v>0.86694876973506796</v>
          </cell>
        </row>
        <row r="213">
          <cell r="A213" t="str">
            <v>CHF_LIBOR_6M_EOD</v>
          </cell>
          <cell r="F213">
            <v>0.82373859802406602</v>
          </cell>
        </row>
        <row r="214">
          <cell r="A214" t="str">
            <v>CHF_LIBOR_6M_EOD</v>
          </cell>
          <cell r="F214">
            <v>0.78631161272707994</v>
          </cell>
        </row>
        <row r="215">
          <cell r="A215" t="str">
            <v>CHF_LIBOR_6M_EOD</v>
          </cell>
          <cell r="F215">
            <v>0.72679823894323203</v>
          </cell>
        </row>
        <row r="216">
          <cell r="A216" t="str">
            <v>CHF_LIBOR_EOD</v>
          </cell>
          <cell r="F216">
            <v>1.0000215560202099</v>
          </cell>
        </row>
        <row r="217">
          <cell r="A217" t="str">
            <v>CHF_LIBOR_EOD</v>
          </cell>
          <cell r="F217">
            <v>1.0000431125050799</v>
          </cell>
        </row>
        <row r="218">
          <cell r="A218" t="str">
            <v>CHF_LIBOR_EOD</v>
          </cell>
          <cell r="F218">
            <v>1.0001988934827399</v>
          </cell>
        </row>
        <row r="219">
          <cell r="A219" t="str">
            <v>CHF_LIBOR_EOD</v>
          </cell>
          <cell r="F219">
            <v>1.0021814845611501</v>
          </cell>
        </row>
        <row r="220">
          <cell r="A220" t="str">
            <v>CHF_LIBOR_EOD</v>
          </cell>
          <cell r="F220">
            <v>1.0040601424469</v>
          </cell>
        </row>
        <row r="221">
          <cell r="A221" t="str">
            <v>CHF_LIBOR_EOD</v>
          </cell>
          <cell r="F221">
            <v>1.0059685825560101</v>
          </cell>
        </row>
        <row r="222">
          <cell r="A222" t="str">
            <v>CHF_LIBOR_EOD</v>
          </cell>
          <cell r="F222">
            <v>1.0080012146424899</v>
          </cell>
        </row>
        <row r="223">
          <cell r="A223" t="str">
            <v>CHF_LIBOR_EOD</v>
          </cell>
          <cell r="F223">
            <v>1.0127642122184499</v>
          </cell>
        </row>
        <row r="224">
          <cell r="A224" t="str">
            <v>CHF_LIBOR_EOD</v>
          </cell>
          <cell r="F224">
            <v>1.01665587647422</v>
          </cell>
        </row>
        <row r="225">
          <cell r="A225" t="str">
            <v>CHF_LIBOR_EOD</v>
          </cell>
          <cell r="F225">
            <v>1.01767618286763</v>
          </cell>
        </row>
        <row r="226">
          <cell r="A226" t="str">
            <v>CHF_LIBOR_EOD</v>
          </cell>
          <cell r="F226">
            <v>1.0153103152184799</v>
          </cell>
        </row>
        <row r="227">
          <cell r="A227" t="str">
            <v>CHF_LIBOR_EOD</v>
          </cell>
          <cell r="F227">
            <v>1.00964143303622</v>
          </cell>
        </row>
        <row r="228">
          <cell r="A228" t="str">
            <v>CHF_LIBOR_EOD</v>
          </cell>
          <cell r="F228">
            <v>1.00143387614294</v>
          </cell>
        </row>
        <row r="229">
          <cell r="A229" t="str">
            <v>CHF_LIBOR_EOD</v>
          </cell>
          <cell r="F229">
            <v>0.99185627551107503</v>
          </cell>
        </row>
        <row r="230">
          <cell r="A230" t="str">
            <v>CHF_LIBOR_EOD</v>
          </cell>
          <cell r="F230">
            <v>0.98193311183477805</v>
          </cell>
        </row>
        <row r="231">
          <cell r="A231" t="str">
            <v>CHF_LIBOR_EOD</v>
          </cell>
          <cell r="F231">
            <v>0.97149267366248504</v>
          </cell>
        </row>
        <row r="232">
          <cell r="A232" t="str">
            <v>CHF_LIBOR_EOD</v>
          </cell>
          <cell r="F232">
            <v>0.94966985320842501</v>
          </cell>
        </row>
        <row r="233">
          <cell r="A233" t="str">
            <v>CHF_LIBOR_EOD</v>
          </cell>
          <cell r="F233">
            <v>0.91760299117556898</v>
          </cell>
        </row>
        <row r="234">
          <cell r="A234" t="str">
            <v>CHF_LIBOR_EOD</v>
          </cell>
          <cell r="F234">
            <v>0.86616395402892798</v>
          </cell>
        </row>
        <row r="235">
          <cell r="A235" t="str">
            <v>CHF_LIBOR_EOD</v>
          </cell>
          <cell r="F235">
            <v>0.822868807251948</v>
          </cell>
        </row>
        <row r="236">
          <cell r="A236" t="str">
            <v>CHF_LIBOR_EOD</v>
          </cell>
          <cell r="F236">
            <v>0.78541478582874702</v>
          </cell>
        </row>
        <row r="237">
          <cell r="A237" t="str">
            <v>CHF_LIBOR_EOD</v>
          </cell>
          <cell r="F237">
            <v>0.72599805307891396</v>
          </cell>
        </row>
        <row r="238">
          <cell r="A238" t="str">
            <v>CHF_TOIS_EOD</v>
          </cell>
          <cell r="F238">
            <v>1.0000145835460099</v>
          </cell>
        </row>
        <row r="239">
          <cell r="A239" t="str">
            <v>CHF_TOIS_EOD</v>
          </cell>
          <cell r="F239">
            <v>1.0000292367521899</v>
          </cell>
        </row>
        <row r="240">
          <cell r="A240" t="str">
            <v>CHF_TOIS_EOD</v>
          </cell>
          <cell r="F240">
            <v>1.0005028080813501</v>
          </cell>
        </row>
        <row r="241">
          <cell r="A241" t="str">
            <v>CHF_TOIS_EOD</v>
          </cell>
          <cell r="F241">
            <v>1.00095953132104</v>
          </cell>
        </row>
        <row r="242">
          <cell r="A242" t="str">
            <v>CHF_TOIS_EOD</v>
          </cell>
          <cell r="F242">
            <v>1.0014265606131001</v>
          </cell>
        </row>
        <row r="243">
          <cell r="A243" t="str">
            <v>CHF_TOIS_EOD</v>
          </cell>
          <cell r="F243">
            <v>1.0019440074144801</v>
          </cell>
        </row>
        <row r="244">
          <cell r="A244" t="str">
            <v>CHF_TOIS_EOD</v>
          </cell>
          <cell r="F244">
            <v>1.0024390061443</v>
          </cell>
        </row>
        <row r="245">
          <cell r="A245" t="str">
            <v>CHF_TOIS_EOD</v>
          </cell>
          <cell r="F245">
            <v>1.0028843579811899</v>
          </cell>
        </row>
        <row r="246">
          <cell r="A246" t="str">
            <v>CHF_TOIS_EOD</v>
          </cell>
          <cell r="F246">
            <v>1.003391285065</v>
          </cell>
        </row>
        <row r="247">
          <cell r="A247" t="str">
            <v>CHF_TOIS_EOD</v>
          </cell>
          <cell r="F247">
            <v>1.00385316441988</v>
          </cell>
        </row>
        <row r="248">
          <cell r="A248" t="str">
            <v>CHF_TOIS_EOD</v>
          </cell>
          <cell r="F248">
            <v>1.0043530113393699</v>
          </cell>
        </row>
        <row r="249">
          <cell r="A249" t="str">
            <v>CHF_TOIS_EOD</v>
          </cell>
          <cell r="F249">
            <v>1.00487021646567</v>
          </cell>
        </row>
        <row r="250">
          <cell r="A250" t="str">
            <v>CHF_TOIS_EOD</v>
          </cell>
          <cell r="F250">
            <v>1.0053179538710699</v>
          </cell>
        </row>
        <row r="251">
          <cell r="A251" t="str">
            <v>CHF_TOIS_EOD</v>
          </cell>
          <cell r="F251">
            <v>1.0059660759489799</v>
          </cell>
        </row>
        <row r="252">
          <cell r="A252" t="str">
            <v>CHF_TOIS_EOD</v>
          </cell>
          <cell r="F252">
            <v>1.0073480210169601</v>
          </cell>
        </row>
        <row r="253">
          <cell r="A253" t="str">
            <v>CHF_TOIS_EOD</v>
          </cell>
          <cell r="F253">
            <v>1.00872586381953</v>
          </cell>
        </row>
        <row r="254">
          <cell r="A254" t="str">
            <v>CHF_TOIS_EOD</v>
          </cell>
          <cell r="F254">
            <v>1.0100922293266199</v>
          </cell>
        </row>
        <row r="255">
          <cell r="A255" t="str">
            <v>CHF_TOIS_EOD</v>
          </cell>
          <cell r="F255">
            <v>1.01148431698538</v>
          </cell>
        </row>
        <row r="256">
          <cell r="A256" t="str">
            <v>CHF_TOIS_EOD</v>
          </cell>
          <cell r="F256">
            <v>1.0154952947395499</v>
          </cell>
        </row>
        <row r="257">
          <cell r="A257" t="str">
            <v>CHF_TOIS_EOD</v>
          </cell>
          <cell r="F257">
            <v>1.0180103637342399</v>
          </cell>
        </row>
        <row r="258">
          <cell r="A258" t="str">
            <v>CHF_TOIS_EOD</v>
          </cell>
          <cell r="F258">
            <v>1.01806246896686</v>
          </cell>
        </row>
        <row r="259">
          <cell r="A259" t="str">
            <v>CHF_TOIS_EOD</v>
          </cell>
          <cell r="F259">
            <v>1.0148467020005401</v>
          </cell>
        </row>
        <row r="260">
          <cell r="A260" t="str">
            <v>CHF_TOIS_EOD</v>
          </cell>
          <cell r="F260">
            <v>1.0092127815287</v>
          </cell>
        </row>
        <row r="261">
          <cell r="A261" t="str">
            <v>CHF_TOIS_EOD</v>
          </cell>
          <cell r="F261">
            <v>1.0018777894980899</v>
          </cell>
        </row>
        <row r="262">
          <cell r="A262" t="str">
            <v>CHF_TOIS_EOD</v>
          </cell>
          <cell r="F262">
            <v>0.99380344428228695</v>
          </cell>
        </row>
        <row r="263">
          <cell r="A263" t="str">
            <v>CHF_TOIS_EOD</v>
          </cell>
          <cell r="F263">
            <v>0.98495174562522703</v>
          </cell>
        </row>
        <row r="264">
          <cell r="A264" t="str">
            <v>CHF_TOIS_EOD</v>
          </cell>
          <cell r="F264">
            <v>0.96468196017839303</v>
          </cell>
        </row>
        <row r="265">
          <cell r="A265" t="str">
            <v>CHF_TOIS_EOD</v>
          </cell>
          <cell r="F265">
            <v>0.93412682015042603</v>
          </cell>
        </row>
        <row r="266">
          <cell r="A266" t="str">
            <v>CHF_TOIS_EOD</v>
          </cell>
          <cell r="F266">
            <v>0.885073571889892</v>
          </cell>
        </row>
        <row r="267">
          <cell r="A267" t="str">
            <v>CHF_TOIS_EOD</v>
          </cell>
          <cell r="F267">
            <v>0.84276236257707304</v>
          </cell>
        </row>
        <row r="268">
          <cell r="A268" t="str">
            <v>CHF_TOIS_EOD</v>
          </cell>
          <cell r="F268">
            <v>0.80840962674218597</v>
          </cell>
        </row>
        <row r="269">
          <cell r="A269" t="str">
            <v>CHF_TOIS_EOD</v>
          </cell>
          <cell r="F269">
            <v>0.758961547390266</v>
          </cell>
        </row>
        <row r="270">
          <cell r="A270" t="str">
            <v>CZK_PRIBOR_3M_EOD</v>
          </cell>
          <cell r="F270">
            <v>0.99919980060422897</v>
          </cell>
        </row>
        <row r="271">
          <cell r="A271" t="str">
            <v>CZK_PRIBOR_3M_EOD</v>
          </cell>
          <cell r="F271">
            <v>0.99841281473784604</v>
          </cell>
        </row>
        <row r="272">
          <cell r="A272" t="str">
            <v>CZK_PRIBOR_3M_EOD</v>
          </cell>
          <cell r="F272">
            <v>0.99773755815305798</v>
          </cell>
        </row>
        <row r="273">
          <cell r="A273" t="str">
            <v>CZK_PRIBOR_3M_EOD</v>
          </cell>
          <cell r="F273">
            <v>0.99710211107107505</v>
          </cell>
        </row>
        <row r="274">
          <cell r="A274" t="str">
            <v>CZK_PRIBOR_3M_EOD</v>
          </cell>
          <cell r="F274">
            <v>0.99465431795188097</v>
          </cell>
        </row>
        <row r="275">
          <cell r="A275" t="str">
            <v>CZK_PRIBOR_3M_EOD</v>
          </cell>
          <cell r="F275">
            <v>0.98960908478405496</v>
          </cell>
        </row>
        <row r="276">
          <cell r="A276" t="str">
            <v>CZK_PRIBOR_3M_EOD</v>
          </cell>
          <cell r="F276">
            <v>0.98191007503260797</v>
          </cell>
        </row>
        <row r="277">
          <cell r="A277" t="str">
            <v>CZK_PRIBOR_3M_EOD</v>
          </cell>
          <cell r="F277">
            <v>0.97191795191591601</v>
          </cell>
        </row>
        <row r="278">
          <cell r="A278" t="str">
            <v>CZK_PRIBOR_3M_EOD</v>
          </cell>
          <cell r="F278">
            <v>0.96036505698569197</v>
          </cell>
        </row>
        <row r="279">
          <cell r="A279" t="str">
            <v>CZK_PRIBOR_3M_EOD</v>
          </cell>
          <cell r="F279">
            <v>0.94751611694214599</v>
          </cell>
        </row>
        <row r="280">
          <cell r="A280" t="str">
            <v>CZK_PRIBOR_3M_EOD</v>
          </cell>
          <cell r="F280">
            <v>0.93260074938161397</v>
          </cell>
        </row>
        <row r="281">
          <cell r="A281" t="str">
            <v>CZK_PRIBOR_3M_EOD</v>
          </cell>
          <cell r="F281">
            <v>0.91577248162784797</v>
          </cell>
        </row>
        <row r="282">
          <cell r="A282" t="str">
            <v>CZK_PRIBOR_3M_EOD</v>
          </cell>
          <cell r="F282">
            <v>0.898359665907004</v>
          </cell>
        </row>
        <row r="283">
          <cell r="A283" t="str">
            <v>CZK_PRIBOR_3M_EOD</v>
          </cell>
          <cell r="F283">
            <v>0.86426628705773301</v>
          </cell>
        </row>
        <row r="284">
          <cell r="A284" t="str">
            <v>CZK_PRIBOR_3M_EOD</v>
          </cell>
          <cell r="F284">
            <v>0.81035905319298196</v>
          </cell>
        </row>
        <row r="285">
          <cell r="A285" t="str">
            <v>CZK_PRIBOR_3M_EOD</v>
          </cell>
          <cell r="F285">
            <v>0.72807507567094798</v>
          </cell>
        </row>
        <row r="286">
          <cell r="A286" t="str">
            <v>CZK_PRIBOR_3M_EOD</v>
          </cell>
          <cell r="F286">
            <v>0.67241792618574203</v>
          </cell>
        </row>
        <row r="287">
          <cell r="A287" t="str">
            <v>CZK_PRIBOR_3M_EOD</v>
          </cell>
          <cell r="F287">
            <v>0.62045932421072703</v>
          </cell>
        </row>
        <row r="288">
          <cell r="A288" t="str">
            <v>CZK_PRIBOR_6M_EOD</v>
          </cell>
          <cell r="F288">
            <v>0.99801061064528995</v>
          </cell>
        </row>
        <row r="289">
          <cell r="A289" t="str">
            <v>CZK_PRIBOR_6M_EOD</v>
          </cell>
          <cell r="F289">
            <v>0.996286205271667</v>
          </cell>
        </row>
        <row r="290">
          <cell r="A290" t="str">
            <v>CZK_PRIBOR_6M_EOD</v>
          </cell>
          <cell r="F290">
            <v>0.99471952864137303</v>
          </cell>
        </row>
        <row r="291">
          <cell r="A291" t="str">
            <v>CZK_PRIBOR_6M_EOD</v>
          </cell>
          <cell r="F291">
            <v>0.992800568613184</v>
          </cell>
        </row>
        <row r="292">
          <cell r="A292" t="str">
            <v>CZK_PRIBOR_6M_EOD</v>
          </cell>
          <cell r="F292">
            <v>0.98684544546604702</v>
          </cell>
        </row>
        <row r="293">
          <cell r="A293" t="str">
            <v>CZK_PRIBOR_6M_EOD</v>
          </cell>
          <cell r="F293">
            <v>0.97799501325405502</v>
          </cell>
        </row>
        <row r="294">
          <cell r="A294" t="str">
            <v>CZK_PRIBOR_6M_EOD</v>
          </cell>
          <cell r="F294">
            <v>0.96670717390779604</v>
          </cell>
        </row>
        <row r="295">
          <cell r="A295" t="str">
            <v>CZK_PRIBOR_6M_EOD</v>
          </cell>
          <cell r="F295">
            <v>0.95389124838542105</v>
          </cell>
        </row>
        <row r="296">
          <cell r="A296" t="str">
            <v>CZK_PRIBOR_6M_EOD</v>
          </cell>
          <cell r="F296">
            <v>0.93952282813063703</v>
          </cell>
        </row>
        <row r="297">
          <cell r="A297" t="str">
            <v>CZK_PRIBOR_6M_EOD</v>
          </cell>
          <cell r="F297">
            <v>0.92332110772047504</v>
          </cell>
        </row>
        <row r="298">
          <cell r="A298" t="str">
            <v>CZK_PRIBOR_6M_EOD</v>
          </cell>
          <cell r="F298">
            <v>0.90493474435667998</v>
          </cell>
        </row>
        <row r="299">
          <cell r="A299" t="str">
            <v>CZK_PRIBOR_6M_EOD</v>
          </cell>
          <cell r="F299">
            <v>0.88696865768713096</v>
          </cell>
        </row>
        <row r="300">
          <cell r="A300" t="str">
            <v>CZK_PRIBOR_6M_EOD</v>
          </cell>
          <cell r="F300">
            <v>0.85061303100600605</v>
          </cell>
        </row>
        <row r="301">
          <cell r="A301" t="str">
            <v>CZK_PRIBOR_6M_EOD</v>
          </cell>
          <cell r="F301">
            <v>0.79577924447682102</v>
          </cell>
        </row>
        <row r="302">
          <cell r="A302" t="str">
            <v>CZK_PRIBOR_6M_EOD</v>
          </cell>
          <cell r="F302">
            <v>0.71332724083301202</v>
          </cell>
        </row>
        <row r="303">
          <cell r="A303" t="str">
            <v>CZK_PRIBOR_6M_EOD</v>
          </cell>
          <cell r="F303">
            <v>0.657963936726084</v>
          </cell>
        </row>
        <row r="304">
          <cell r="A304" t="str">
            <v>CZK_PRIBOR_6M_EOD</v>
          </cell>
          <cell r="F304">
            <v>0.60641287155507695</v>
          </cell>
        </row>
        <row r="305">
          <cell r="A305" t="str">
            <v>CZK_PRIBOR_EOD</v>
          </cell>
          <cell r="F305">
            <v>0.99999611112623399</v>
          </cell>
        </row>
        <row r="306">
          <cell r="A306" t="str">
            <v>CZK_PRIBOR_EOD</v>
          </cell>
          <cell r="F306">
            <v>0.99999222226759199</v>
          </cell>
        </row>
        <row r="307">
          <cell r="A307" t="str">
            <v>CZK_PRIBOR_EOD</v>
          </cell>
          <cell r="F307">
            <v>0.99996305667843899</v>
          </cell>
        </row>
        <row r="308">
          <cell r="A308" t="str">
            <v>CZK_PRIBOR_EOD</v>
          </cell>
          <cell r="F308">
            <v>0.99979670646721697</v>
          </cell>
        </row>
        <row r="309">
          <cell r="A309" t="str">
            <v>CZK_PRIBOR_EOD</v>
          </cell>
          <cell r="F309">
            <v>0.99958572407313595</v>
          </cell>
        </row>
        <row r="310">
          <cell r="A310" t="str">
            <v>CZK_PRIBOR_EOD</v>
          </cell>
          <cell r="F310">
            <v>0.99920923081200297</v>
          </cell>
        </row>
        <row r="311">
          <cell r="A311" t="str">
            <v>CZK_PRIBOR_EOD</v>
          </cell>
          <cell r="F311">
            <v>0.998422237518237</v>
          </cell>
        </row>
        <row r="312">
          <cell r="A312" t="str">
            <v>CZK_PRIBOR_EOD</v>
          </cell>
          <cell r="F312">
            <v>0.99774697456053896</v>
          </cell>
        </row>
        <row r="313">
          <cell r="A313" t="str">
            <v>CZK_PRIBOR_EOD</v>
          </cell>
          <cell r="F313">
            <v>0.99711152148135795</v>
          </cell>
        </row>
        <row r="314">
          <cell r="A314" t="str">
            <v>CZK_PRIBOR_EOD</v>
          </cell>
          <cell r="F314">
            <v>0.992810178367178</v>
          </cell>
        </row>
        <row r="315">
          <cell r="A315" t="str">
            <v>CZK_PRIBOR_EOD</v>
          </cell>
          <cell r="F315">
            <v>0.98685118912073799</v>
          </cell>
        </row>
        <row r="316">
          <cell r="A316" t="str">
            <v>CZK_PRIBOR_EOD</v>
          </cell>
          <cell r="F316">
            <v>0.97799865659076601</v>
          </cell>
        </row>
        <row r="317">
          <cell r="A317" t="str">
            <v>CZK_PRIBOR_EOD</v>
          </cell>
          <cell r="F317">
            <v>0.96671082413234799</v>
          </cell>
        </row>
        <row r="318">
          <cell r="A318" t="str">
            <v>CZK_PRIBOR_EOD</v>
          </cell>
          <cell r="F318">
            <v>0.95389483604690795</v>
          </cell>
        </row>
        <row r="319">
          <cell r="A319" t="str">
            <v>CZK_PRIBOR_EOD</v>
          </cell>
          <cell r="F319">
            <v>0.93952636219502195</v>
          </cell>
        </row>
        <row r="320">
          <cell r="A320" t="str">
            <v>CZK_PRIBOR_EOD</v>
          </cell>
          <cell r="F320">
            <v>0.92331902884785499</v>
          </cell>
        </row>
        <row r="321">
          <cell r="A321" t="str">
            <v>CZK_PRIBOR_EOD</v>
          </cell>
          <cell r="F321">
            <v>0.90493272238607503</v>
          </cell>
        </row>
        <row r="322">
          <cell r="A322" t="str">
            <v>CZK_PRIBOR_EOD</v>
          </cell>
          <cell r="F322">
            <v>0.886966674234139</v>
          </cell>
        </row>
        <row r="323">
          <cell r="A323" t="str">
            <v>CZK_PRIBOR_EOD</v>
          </cell>
          <cell r="F323">
            <v>0.85061112948887596</v>
          </cell>
        </row>
        <row r="324">
          <cell r="A324" t="str">
            <v>CZK_PRIBOR_EOD</v>
          </cell>
          <cell r="F324">
            <v>0.79577598584947595</v>
          </cell>
        </row>
        <row r="325">
          <cell r="A325" t="str">
            <v>CZK_PRIBOR_EOD</v>
          </cell>
          <cell r="F325">
            <v>0.71332672419501097</v>
          </cell>
        </row>
        <row r="326">
          <cell r="A326" t="str">
            <v>CZK_PRIBOR_EOD</v>
          </cell>
          <cell r="F326">
            <v>0.65796284334103405</v>
          </cell>
        </row>
        <row r="327">
          <cell r="A327" t="str">
            <v>CZK_PRIBOR_EOD</v>
          </cell>
          <cell r="F327">
            <v>0.60641115617475705</v>
          </cell>
        </row>
        <row r="328">
          <cell r="A328" t="str">
            <v>DKK_CIBOR_3M_EOD</v>
          </cell>
          <cell r="F328">
            <v>1.0001679445641101</v>
          </cell>
        </row>
        <row r="329">
          <cell r="A329" t="str">
            <v>DKK_CIBOR_3M_EOD</v>
          </cell>
          <cell r="F329">
            <v>1.0000808055436401</v>
          </cell>
        </row>
        <row r="330">
          <cell r="A330" t="str">
            <v>DKK_CIBOR_3M_EOD</v>
          </cell>
          <cell r="F330">
            <v>0.99993925858636501</v>
          </cell>
        </row>
        <row r="331">
          <cell r="A331" t="str">
            <v>DKK_CIBOR_3M_EOD</v>
          </cell>
          <cell r="F331">
            <v>0.99967392846452596</v>
          </cell>
        </row>
        <row r="332">
          <cell r="A332" t="str">
            <v>DKK_CIBOR_3M_EOD</v>
          </cell>
          <cell r="F332">
            <v>0.99926861401175404</v>
          </cell>
        </row>
        <row r="333">
          <cell r="A333" t="str">
            <v>DKK_CIBOR_3M_EOD</v>
          </cell>
          <cell r="F333">
            <v>0.99876999196542304</v>
          </cell>
        </row>
        <row r="334">
          <cell r="A334" t="str">
            <v>DKK_CIBOR_3M_EOD</v>
          </cell>
          <cell r="F334">
            <v>0.99818771579957399</v>
          </cell>
        </row>
        <row r="335">
          <cell r="A335" t="str">
            <v>DKK_CIBOR_3M_EOD</v>
          </cell>
          <cell r="F335">
            <v>0.99675287995388595</v>
          </cell>
        </row>
        <row r="336">
          <cell r="A336" t="str">
            <v>DKK_CIBOR_3M_EOD</v>
          </cell>
          <cell r="F336">
            <v>0.99113429616687598</v>
          </cell>
        </row>
        <row r="337">
          <cell r="A337" t="str">
            <v>DKK_CIBOR_3M_EOD</v>
          </cell>
          <cell r="F337">
            <v>0.98142952238391801</v>
          </cell>
        </row>
        <row r="338">
          <cell r="A338" t="str">
            <v>DKK_CIBOR_3M_EOD</v>
          </cell>
          <cell r="F338">
            <v>0.96849360897202896</v>
          </cell>
        </row>
        <row r="339">
          <cell r="A339" t="str">
            <v>DKK_CIBOR_3M_EOD</v>
          </cell>
          <cell r="F339">
            <v>0.95310515018212705</v>
          </cell>
        </row>
        <row r="340">
          <cell r="A340" t="str">
            <v>DKK_CIBOR_3M_EOD</v>
          </cell>
          <cell r="F340">
            <v>0.93510423352090599</v>
          </cell>
        </row>
        <row r="341">
          <cell r="A341" t="str">
            <v>DKK_CIBOR_3M_EOD</v>
          </cell>
          <cell r="F341">
            <v>0.91515702923037801</v>
          </cell>
        </row>
        <row r="342">
          <cell r="A342" t="str">
            <v>DKK_CIBOR_3M_EOD</v>
          </cell>
          <cell r="F342">
            <v>0.89384691632493596</v>
          </cell>
        </row>
        <row r="343">
          <cell r="A343" t="str">
            <v>DKK_CIBOR_3M_EOD</v>
          </cell>
          <cell r="F343">
            <v>0.87208957970982703</v>
          </cell>
        </row>
        <row r="344">
          <cell r="A344" t="str">
            <v>DKK_CIBOR_3M_EOD</v>
          </cell>
          <cell r="F344">
            <v>0.82893430142731395</v>
          </cell>
        </row>
        <row r="345">
          <cell r="A345" t="str">
            <v>DKK_CIBOR_3M_EOD</v>
          </cell>
          <cell r="F345">
            <v>0.76699064095895597</v>
          </cell>
        </row>
        <row r="346">
          <cell r="A346" t="str">
            <v>DKK_CIBOR_3M_EOD</v>
          </cell>
          <cell r="F346">
            <v>0.67993335254043397</v>
          </cell>
        </row>
        <row r="347">
          <cell r="A347" t="str">
            <v>DKK_CIBOR_3M_EOD</v>
          </cell>
          <cell r="F347">
            <v>0.61372234812168902</v>
          </cell>
        </row>
        <row r="348">
          <cell r="A348" t="str">
            <v>DKK_CIBOR_3M_EOD</v>
          </cell>
          <cell r="F348">
            <v>0.556858756968032</v>
          </cell>
        </row>
        <row r="349">
          <cell r="A349" t="str">
            <v>DKK_CIBOR_6M_EOD</v>
          </cell>
          <cell r="F349">
            <v>0.99919564398847105</v>
          </cell>
        </row>
        <row r="350">
          <cell r="A350" t="str">
            <v>DKK_CIBOR_6M_EOD</v>
          </cell>
          <cell r="F350">
            <v>0.99775821353140604</v>
          </cell>
        </row>
        <row r="351">
          <cell r="A351" t="str">
            <v>DKK_CIBOR_6M_EOD</v>
          </cell>
          <cell r="F351">
            <v>0.99353696238179801</v>
          </cell>
        </row>
        <row r="352">
          <cell r="A352" t="str">
            <v>DKK_CIBOR_6M_EOD</v>
          </cell>
          <cell r="F352">
            <v>0.98662048924746604</v>
          </cell>
        </row>
        <row r="353">
          <cell r="A353" t="str">
            <v>DKK_CIBOR_6M_EOD</v>
          </cell>
          <cell r="F353">
            <v>0.97578301843719095</v>
          </cell>
        </row>
        <row r="354">
          <cell r="A354" t="str">
            <v>DKK_CIBOR_6M_EOD</v>
          </cell>
          <cell r="F354">
            <v>0.96179531998052803</v>
          </cell>
        </row>
        <row r="355">
          <cell r="A355" t="str">
            <v>DKK_CIBOR_6M_EOD</v>
          </cell>
          <cell r="F355">
            <v>0.94551540656639099</v>
          </cell>
        </row>
        <row r="356">
          <cell r="A356" t="str">
            <v>DKK_CIBOR_6M_EOD</v>
          </cell>
          <cell r="F356">
            <v>0.92677151609651998</v>
          </cell>
        </row>
        <row r="357">
          <cell r="A357" t="str">
            <v>DKK_CIBOR_6M_EOD</v>
          </cell>
          <cell r="F357">
            <v>0.90624823550285705</v>
          </cell>
        </row>
        <row r="358">
          <cell r="A358" t="str">
            <v>DKK_CIBOR_6M_EOD</v>
          </cell>
          <cell r="F358">
            <v>0.88454374335334096</v>
          </cell>
        </row>
        <row r="359">
          <cell r="A359" t="str">
            <v>DKK_CIBOR_6M_EOD</v>
          </cell>
          <cell r="F359">
            <v>0.86254855718859302</v>
          </cell>
        </row>
        <row r="360">
          <cell r="A360" t="str">
            <v>DKK_CIBOR_6M_EOD</v>
          </cell>
          <cell r="F360">
            <v>0.81940253675541097</v>
          </cell>
        </row>
        <row r="361">
          <cell r="A361" t="str">
            <v>DKK_CIBOR_6M_EOD</v>
          </cell>
          <cell r="F361">
            <v>0.75779143820318895</v>
          </cell>
        </row>
        <row r="362">
          <cell r="A362" t="str">
            <v>DKK_CIBOR_6M_EOD</v>
          </cell>
          <cell r="F362">
            <v>0.67130920799121196</v>
          </cell>
        </row>
        <row r="363">
          <cell r="A363" t="str">
            <v>DKK_CIBOR_6M_EOD</v>
          </cell>
          <cell r="F363">
            <v>0.60559815153136998</v>
          </cell>
        </row>
        <row r="364">
          <cell r="A364" t="str">
            <v>DKK_CIBOR_6M_EOD</v>
          </cell>
          <cell r="F364">
            <v>0.54921662353080802</v>
          </cell>
        </row>
        <row r="365">
          <cell r="A365" t="str">
            <v>DKK_CIBOR_EOD</v>
          </cell>
          <cell r="F365">
            <v>1.0000113417953</v>
          </cell>
        </row>
        <row r="366">
          <cell r="A366" t="str">
            <v>DKK_CIBOR_EOD</v>
          </cell>
          <cell r="F366">
            <v>1.00000962788991</v>
          </cell>
        </row>
        <row r="367">
          <cell r="A367" t="str">
            <v>DKK_CIBOR_EOD</v>
          </cell>
          <cell r="F367">
            <v>1.00008011964835</v>
          </cell>
        </row>
        <row r="368">
          <cell r="A368" t="str">
            <v>DKK_CIBOR_EOD</v>
          </cell>
          <cell r="F368">
            <v>1.0002125942396101</v>
          </cell>
        </row>
        <row r="369">
          <cell r="A369" t="str">
            <v>DKK_CIBOR_EOD</v>
          </cell>
          <cell r="F369">
            <v>1.00007102862956</v>
          </cell>
        </row>
        <row r="370">
          <cell r="A370" t="str">
            <v>DKK_CIBOR_EOD</v>
          </cell>
          <cell r="F370">
            <v>0.99980566354302702</v>
          </cell>
        </row>
        <row r="371">
          <cell r="A371" t="str">
            <v>DKK_CIBOR_EOD</v>
          </cell>
          <cell r="F371">
            <v>0.99940029567865196</v>
          </cell>
        </row>
        <row r="372">
          <cell r="A372" t="str">
            <v>DKK_CIBOR_EOD</v>
          </cell>
          <cell r="F372">
            <v>0.99890160792452898</v>
          </cell>
        </row>
        <row r="373">
          <cell r="A373" t="str">
            <v>DKK_CIBOR_EOD</v>
          </cell>
          <cell r="F373">
            <v>0.99831925502576402</v>
          </cell>
        </row>
        <row r="374">
          <cell r="A374" t="str">
            <v>DKK_CIBOR_EOD</v>
          </cell>
          <cell r="F374">
            <v>0.99354318298002597</v>
          </cell>
        </row>
        <row r="375">
          <cell r="A375" t="str">
            <v>DKK_CIBOR_EOD</v>
          </cell>
          <cell r="F375">
            <v>0.98662332995359103</v>
          </cell>
        </row>
        <row r="376">
          <cell r="A376" t="str">
            <v>DKK_CIBOR_EOD</v>
          </cell>
          <cell r="F376">
            <v>0.97578230465509697</v>
          </cell>
        </row>
        <row r="377">
          <cell r="A377" t="str">
            <v>DKK_CIBOR_EOD</v>
          </cell>
          <cell r="F377">
            <v>0.96179501466497597</v>
          </cell>
        </row>
        <row r="378">
          <cell r="A378" t="str">
            <v>DKK_CIBOR_EOD</v>
          </cell>
          <cell r="F378">
            <v>0.94551498237071396</v>
          </cell>
        </row>
        <row r="379">
          <cell r="A379" t="str">
            <v>DKK_CIBOR_EOD</v>
          </cell>
          <cell r="F379">
            <v>0.92677113449425197</v>
          </cell>
        </row>
        <row r="380">
          <cell r="A380" t="str">
            <v>DKK_CIBOR_EOD</v>
          </cell>
          <cell r="F380">
            <v>0.90624267089775701</v>
          </cell>
        </row>
        <row r="381">
          <cell r="A381" t="str">
            <v>DKK_CIBOR_EOD</v>
          </cell>
          <cell r="F381">
            <v>0.88453732292651199</v>
          </cell>
        </row>
        <row r="382">
          <cell r="A382" t="str">
            <v>DKK_CIBOR_EOD</v>
          </cell>
          <cell r="F382">
            <v>0.86254229497696999</v>
          </cell>
        </row>
        <row r="383">
          <cell r="A383" t="str">
            <v>DKK_CIBOR_EOD</v>
          </cell>
          <cell r="F383">
            <v>0.81939658906553403</v>
          </cell>
        </row>
        <row r="384">
          <cell r="A384" t="str">
            <v>DKK_CIBOR_EOD</v>
          </cell>
          <cell r="F384">
            <v>0.75778525213351899</v>
          </cell>
        </row>
        <row r="385">
          <cell r="A385" t="str">
            <v>DKK_CIBOR_EOD</v>
          </cell>
          <cell r="F385">
            <v>0.67130442428253301</v>
          </cell>
        </row>
        <row r="386">
          <cell r="A386" t="str">
            <v>DKK_CIBOR_EOD</v>
          </cell>
          <cell r="F386">
            <v>0.60559360374544102</v>
          </cell>
        </row>
        <row r="387">
          <cell r="A387" t="str">
            <v>DKK_CIBOR_EOD</v>
          </cell>
          <cell r="F387">
            <v>0.54921198179687103</v>
          </cell>
        </row>
        <row r="388">
          <cell r="A388" t="str">
            <v>EUR_EONIA_EOD</v>
          </cell>
          <cell r="F388">
            <v>1.0000034722342801</v>
          </cell>
        </row>
        <row r="389">
          <cell r="A389" t="str">
            <v>EUR_EONIA_EOD</v>
          </cell>
          <cell r="F389">
            <v>1.0000069444806099</v>
          </cell>
        </row>
        <row r="390">
          <cell r="A390" t="str">
            <v>EUR_EONIA_EOD</v>
          </cell>
          <cell r="F390">
            <v>1.0000326119843199</v>
          </cell>
        </row>
        <row r="391">
          <cell r="A391" t="str">
            <v>EUR_EONIA_EOD</v>
          </cell>
          <cell r="F391">
            <v>1.00005672508204</v>
          </cell>
        </row>
        <row r="392">
          <cell r="A392" t="str">
            <v>EUR_EONIA_EOD</v>
          </cell>
          <cell r="F392">
            <v>1.0000813255292</v>
          </cell>
        </row>
        <row r="393">
          <cell r="A393" t="str">
            <v>EUR_EONIA_EOD</v>
          </cell>
          <cell r="F393">
            <v>1.00011732780079</v>
          </cell>
        </row>
        <row r="394">
          <cell r="A394" t="str">
            <v>EUR_EONIA_EOD</v>
          </cell>
          <cell r="F394">
            <v>1.00022642472067</v>
          </cell>
        </row>
        <row r="395">
          <cell r="A395" t="str">
            <v>EUR_EONIA_EOD</v>
          </cell>
          <cell r="F395">
            <v>1.00033756299197</v>
          </cell>
        </row>
        <row r="396">
          <cell r="A396" t="str">
            <v>EUR_EONIA_EOD</v>
          </cell>
          <cell r="F396">
            <v>1.00044675198829</v>
          </cell>
        </row>
        <row r="397">
          <cell r="A397" t="str">
            <v>EUR_EONIA_EOD</v>
          </cell>
          <cell r="F397">
            <v>1.0005703906818699</v>
          </cell>
        </row>
        <row r="398">
          <cell r="A398" t="str">
            <v>EUR_EONIA_EOD</v>
          </cell>
          <cell r="F398">
            <v>1.0006899153478399</v>
          </cell>
        </row>
        <row r="399">
          <cell r="A399" t="str">
            <v>EUR_EONIA_EOD</v>
          </cell>
          <cell r="F399">
            <v>1.00081753718452</v>
          </cell>
        </row>
        <row r="400">
          <cell r="A400" t="str">
            <v>EUR_EONIA_EOD</v>
          </cell>
          <cell r="F400">
            <v>1.0009308662283201</v>
          </cell>
        </row>
        <row r="401">
          <cell r="A401" t="str">
            <v>EUR_EONIA_EOD</v>
          </cell>
          <cell r="F401">
            <v>1.0010583894756899</v>
          </cell>
        </row>
        <row r="402">
          <cell r="A402" t="str">
            <v>EUR_EONIA_EOD</v>
          </cell>
          <cell r="F402">
            <v>1.00118385696247</v>
          </cell>
        </row>
        <row r="403">
          <cell r="A403" t="str">
            <v>EUR_EONIA_EOD</v>
          </cell>
          <cell r="F403">
            <v>1.00134564161299</v>
          </cell>
        </row>
        <row r="404">
          <cell r="A404" t="str">
            <v>EUR_EONIA_EOD</v>
          </cell>
          <cell r="F404">
            <v>1.00147770722651</v>
          </cell>
        </row>
        <row r="405">
          <cell r="A405" t="str">
            <v>EUR_EONIA_EOD</v>
          </cell>
          <cell r="F405">
            <v>1.0018457843480999</v>
          </cell>
        </row>
        <row r="406">
          <cell r="A406" t="str">
            <v>EUR_EONIA_EOD</v>
          </cell>
          <cell r="F406">
            <v>1.0021427697663701</v>
          </cell>
        </row>
        <row r="407">
          <cell r="A407" t="str">
            <v>EUR_EONIA_EOD</v>
          </cell>
          <cell r="F407">
            <v>1.0023436574208799</v>
          </cell>
        </row>
        <row r="408">
          <cell r="A408" t="str">
            <v>EUR_EONIA_EOD</v>
          </cell>
          <cell r="F408">
            <v>1.00240073824826</v>
          </cell>
        </row>
        <row r="409">
          <cell r="A409" t="str">
            <v>EUR_EONIA_EOD</v>
          </cell>
          <cell r="F409">
            <v>1.0014769846153899</v>
          </cell>
        </row>
        <row r="410">
          <cell r="A410" t="str">
            <v>EUR_EONIA_EOD</v>
          </cell>
          <cell r="F410">
            <v>0.99723432363189701</v>
          </cell>
        </row>
        <row r="411">
          <cell r="A411" t="str">
            <v>EUR_EONIA_EOD</v>
          </cell>
          <cell r="F411">
            <v>0.98965483939344701</v>
          </cell>
        </row>
        <row r="412">
          <cell r="A412" t="str">
            <v>EUR_EONIA_EOD</v>
          </cell>
          <cell r="F412">
            <v>0.97875611656115802</v>
          </cell>
        </row>
        <row r="413">
          <cell r="A413" t="str">
            <v>EUR_EONIA_EOD</v>
          </cell>
          <cell r="F413">
            <v>0.96486126055034405</v>
          </cell>
        </row>
        <row r="414">
          <cell r="A414" t="str">
            <v>EUR_EONIA_EOD</v>
          </cell>
          <cell r="F414">
            <v>0.94879506193487995</v>
          </cell>
        </row>
        <row r="415">
          <cell r="A415" t="str">
            <v>EUR_EONIA_EOD</v>
          </cell>
          <cell r="F415">
            <v>0.93109603991405099</v>
          </cell>
        </row>
        <row r="416">
          <cell r="A416" t="str">
            <v>EUR_EONIA_EOD</v>
          </cell>
          <cell r="F416">
            <v>0.91262030258493998</v>
          </cell>
        </row>
        <row r="417">
          <cell r="A417" t="str">
            <v>EUR_EONIA_EOD</v>
          </cell>
          <cell r="F417">
            <v>0.87494092458097406</v>
          </cell>
        </row>
        <row r="418">
          <cell r="A418" t="str">
            <v>EUR_EONIA_EOD</v>
          </cell>
          <cell r="F418">
            <v>0.81946831946634502</v>
          </cell>
        </row>
        <row r="419">
          <cell r="A419" t="str">
            <v>EUR_EONIA_EOD</v>
          </cell>
          <cell r="F419">
            <v>0.73985088328825399</v>
          </cell>
        </row>
        <row r="420">
          <cell r="A420" t="str">
            <v>EUR_EONIA_EOD</v>
          </cell>
          <cell r="F420">
            <v>0.67750030459979804</v>
          </cell>
        </row>
        <row r="421">
          <cell r="A421" t="str">
            <v>EUR_EONIA_EOD</v>
          </cell>
          <cell r="F421">
            <v>0.62308650098741503</v>
          </cell>
        </row>
        <row r="422">
          <cell r="A422" t="str">
            <v>EUR_EONIA_EOD</v>
          </cell>
          <cell r="F422">
            <v>0.52568697911377904</v>
          </cell>
        </row>
        <row r="423">
          <cell r="A423" t="str">
            <v>EUR_EONIA_EOD</v>
          </cell>
          <cell r="F423">
            <v>0.45680827233642102</v>
          </cell>
        </row>
        <row r="424">
          <cell r="A424" t="str">
            <v>EUR_EONIA_EOD</v>
          </cell>
          <cell r="F424">
            <v>0.39863909166235201</v>
          </cell>
        </row>
        <row r="425">
          <cell r="A425" t="str">
            <v>EUR_EURIBOR_12M_EOD</v>
          </cell>
          <cell r="F425">
            <v>0.99834800398825696</v>
          </cell>
        </row>
        <row r="426">
          <cell r="A426" t="str">
            <v>EUR_EURIBOR_12M_EOD</v>
          </cell>
          <cell r="F426">
            <v>0.99828643823234997</v>
          </cell>
        </row>
        <row r="427">
          <cell r="A427" t="str">
            <v>EUR_EURIBOR_12M_EOD</v>
          </cell>
          <cell r="F427">
            <v>0.99805443179485198</v>
          </cell>
        </row>
        <row r="428">
          <cell r="A428" t="str">
            <v>EUR_EURIBOR_12M_EOD</v>
          </cell>
          <cell r="F428">
            <v>0.997921752151254</v>
          </cell>
        </row>
        <row r="429">
          <cell r="A429" t="str">
            <v>EUR_EURIBOR_12M_EOD</v>
          </cell>
          <cell r="F429">
            <v>0.99774011344757296</v>
          </cell>
        </row>
        <row r="430">
          <cell r="A430" t="str">
            <v>EUR_EURIBOR_12M_EOD</v>
          </cell>
          <cell r="F430">
            <v>0.99750246819494703</v>
          </cell>
        </row>
        <row r="431">
          <cell r="A431" t="str">
            <v>EUR_EURIBOR_12M_EOD</v>
          </cell>
          <cell r="F431">
            <v>0.99731757409824695</v>
          </cell>
        </row>
        <row r="432">
          <cell r="A432" t="str">
            <v>EUR_EURIBOR_12M_EOD</v>
          </cell>
          <cell r="F432">
            <v>0.99699312365120796</v>
          </cell>
        </row>
        <row r="433">
          <cell r="A433" t="str">
            <v>EUR_EURIBOR_12M_EOD</v>
          </cell>
          <cell r="F433">
            <v>0.99674314950905396</v>
          </cell>
        </row>
        <row r="434">
          <cell r="A434" t="str">
            <v>EUR_EURIBOR_12M_EOD</v>
          </cell>
          <cell r="F434">
            <v>0.99646149120968697</v>
          </cell>
        </row>
        <row r="435">
          <cell r="A435" t="str">
            <v>EUR_EURIBOR_12M_EOD</v>
          </cell>
          <cell r="F435">
            <v>0.99621422560108996</v>
          </cell>
        </row>
        <row r="436">
          <cell r="A436" t="str">
            <v>EUR_EURIBOR_12M_EOD</v>
          </cell>
          <cell r="F436">
            <v>0.99592036415032703</v>
          </cell>
        </row>
        <row r="437">
          <cell r="A437" t="str">
            <v>EUR_EURIBOR_12M_EOD</v>
          </cell>
          <cell r="F437">
            <v>0.99563130150970003</v>
          </cell>
        </row>
        <row r="438">
          <cell r="A438" t="str">
            <v>EUR_EURIBOR_12M_EOD</v>
          </cell>
          <cell r="F438">
            <v>0.99067543665963498</v>
          </cell>
        </row>
        <row r="439">
          <cell r="A439" t="str">
            <v>EUR_EURIBOR_12M_EOD</v>
          </cell>
          <cell r="F439">
            <v>0.98235467689004796</v>
          </cell>
        </row>
        <row r="440">
          <cell r="A440" t="str">
            <v>EUR_EURIBOR_12M_EOD</v>
          </cell>
          <cell r="F440">
            <v>0.97098554949309301</v>
          </cell>
        </row>
        <row r="441">
          <cell r="A441" t="str">
            <v>EUR_EURIBOR_12M_EOD</v>
          </cell>
          <cell r="F441">
            <v>0.95681464652052595</v>
          </cell>
        </row>
        <row r="442">
          <cell r="A442" t="str">
            <v>EUR_EURIBOR_12M_EOD</v>
          </cell>
          <cell r="F442">
            <v>0.93995934257872105</v>
          </cell>
        </row>
        <row r="443">
          <cell r="A443" t="str">
            <v>EUR_EURIBOR_12M_EOD</v>
          </cell>
          <cell r="F443">
            <v>0.92154950800435598</v>
          </cell>
        </row>
        <row r="444">
          <cell r="A444" t="str">
            <v>EUR_EURIBOR_12M_EOD</v>
          </cell>
          <cell r="F444">
            <v>0.90197300614401399</v>
          </cell>
        </row>
        <row r="445">
          <cell r="A445" t="str">
            <v>EUR_EURIBOR_12M_EOD</v>
          </cell>
          <cell r="F445">
            <v>0.88195683719420104</v>
          </cell>
        </row>
        <row r="446">
          <cell r="A446" t="str">
            <v>EUR_EURIBOR_12M_EOD</v>
          </cell>
          <cell r="F446">
            <v>0.84230222880581096</v>
          </cell>
        </row>
        <row r="447">
          <cell r="A447" t="str">
            <v>EUR_EURIBOR_12M_EOD</v>
          </cell>
          <cell r="F447">
            <v>0.78615228767904499</v>
          </cell>
        </row>
        <row r="448">
          <cell r="A448" t="str">
            <v>EUR_EURIBOR_12M_EOD</v>
          </cell>
          <cell r="F448">
            <v>0.70653327367544305</v>
          </cell>
        </row>
        <row r="449">
          <cell r="A449" t="str">
            <v>EUR_EURIBOR_12M_EOD</v>
          </cell>
          <cell r="F449">
            <v>0.64494273379697198</v>
          </cell>
        </row>
        <row r="450">
          <cell r="A450" t="str">
            <v>EUR_EURIBOR_12M_EOD</v>
          </cell>
          <cell r="F450">
            <v>0.59183853588770996</v>
          </cell>
        </row>
        <row r="451">
          <cell r="A451" t="str">
            <v>EUR_EURIBOR_12M_EOD</v>
          </cell>
          <cell r="F451">
            <v>0.49714195414488199</v>
          </cell>
        </row>
        <row r="452">
          <cell r="A452" t="str">
            <v>EUR_EURIBOR_12M_EOD</v>
          </cell>
          <cell r="F452">
            <v>0.43193032426273298</v>
          </cell>
        </row>
        <row r="453">
          <cell r="A453" t="str">
            <v>EUR_EURIBOR_12M_EOD</v>
          </cell>
          <cell r="F453">
            <v>0.37211036013756599</v>
          </cell>
        </row>
        <row r="454">
          <cell r="A454" t="str">
            <v>EUR_EURIBOR_1M_EOD</v>
          </cell>
          <cell r="F454">
            <v>1.00009350848589</v>
          </cell>
        </row>
        <row r="455">
          <cell r="A455" t="str">
            <v>EUR_EURIBOR_1M_EOD</v>
          </cell>
          <cell r="F455">
            <v>1.0001747714546501</v>
          </cell>
        </row>
        <row r="456">
          <cell r="A456" t="str">
            <v>EUR_EURIBOR_1M_EOD</v>
          </cell>
          <cell r="F456">
            <v>1.00026421390575</v>
          </cell>
        </row>
        <row r="457">
          <cell r="A457" t="str">
            <v>EUR_EURIBOR_1M_EOD</v>
          </cell>
          <cell r="F457">
            <v>1.00052256726775</v>
          </cell>
        </row>
        <row r="458">
          <cell r="A458" t="str">
            <v>EUR_EURIBOR_1M_EOD</v>
          </cell>
          <cell r="F458">
            <v>1.0007880242465499</v>
          </cell>
        </row>
        <row r="459">
          <cell r="A459" t="str">
            <v>EUR_EURIBOR_1M_EOD</v>
          </cell>
          <cell r="F459">
            <v>1.0010922653190599</v>
          </cell>
        </row>
        <row r="460">
          <cell r="A460" t="str">
            <v>EUR_EURIBOR_1M_EOD</v>
          </cell>
          <cell r="F460">
            <v>1.0015758942298201</v>
          </cell>
        </row>
        <row r="461">
          <cell r="A461" t="str">
            <v>EUR_EURIBOR_1M_EOD</v>
          </cell>
          <cell r="F461">
            <v>1.00008512682553</v>
          </cell>
        </row>
        <row r="462">
          <cell r="A462" t="str">
            <v>EUR_EURIBOR_1M_EOD</v>
          </cell>
          <cell r="F462">
            <v>0.99542450455274401</v>
          </cell>
        </row>
        <row r="463">
          <cell r="A463" t="str">
            <v>EUR_EURIBOR_1M_EOD</v>
          </cell>
          <cell r="F463">
            <v>0.98737339804487501</v>
          </cell>
        </row>
        <row r="464">
          <cell r="A464" t="str">
            <v>EUR_EURIBOR_1M_EOD</v>
          </cell>
          <cell r="F464">
            <v>0.97601695430455004</v>
          </cell>
        </row>
        <row r="465">
          <cell r="A465" t="str">
            <v>EUR_EURIBOR_1M_EOD</v>
          </cell>
          <cell r="F465">
            <v>0.96174232119052305</v>
          </cell>
        </row>
        <row r="466">
          <cell r="A466" t="str">
            <v>EUR_EURIBOR_1M_EOD</v>
          </cell>
          <cell r="F466">
            <v>0.94532122078566405</v>
          </cell>
        </row>
        <row r="467">
          <cell r="A467" t="str">
            <v>EUR_EURIBOR_1M_EOD</v>
          </cell>
          <cell r="F467">
            <v>0.92726769969032397</v>
          </cell>
        </row>
        <row r="468">
          <cell r="A468" t="str">
            <v>EUR_EURIBOR_1M_EOD</v>
          </cell>
          <cell r="F468">
            <v>0.90858667133762505</v>
          </cell>
        </row>
        <row r="469">
          <cell r="A469" t="str">
            <v>EUR_EURIBOR_1M_EOD</v>
          </cell>
          <cell r="F469">
            <v>0.87049541964743005</v>
          </cell>
        </row>
        <row r="470">
          <cell r="A470" t="str">
            <v>EUR_EURIBOR_1M_EOD</v>
          </cell>
          <cell r="F470">
            <v>0.81493359277962696</v>
          </cell>
        </row>
        <row r="471">
          <cell r="A471" t="str">
            <v>EUR_EURIBOR_1M_EOD</v>
          </cell>
          <cell r="F471">
            <v>0.73498356237171003</v>
          </cell>
        </row>
        <row r="472">
          <cell r="A472" t="str">
            <v>EUR_EURIBOR_1M_EOD</v>
          </cell>
          <cell r="F472">
            <v>0.67316021281897198</v>
          </cell>
        </row>
        <row r="473">
          <cell r="A473" t="str">
            <v>EUR_EURIBOR_1M_EOD</v>
          </cell>
          <cell r="F473">
            <v>0.61926611981838597</v>
          </cell>
        </row>
        <row r="474">
          <cell r="A474" t="str">
            <v>EUR_EURIBOR_1M_EOD</v>
          </cell>
          <cell r="F474">
            <v>0.52740575616821095</v>
          </cell>
        </row>
        <row r="475">
          <cell r="A475" t="str">
            <v>EUR_EURIBOR_1M_EOD</v>
          </cell>
          <cell r="F475">
            <v>0.45569361556933202</v>
          </cell>
        </row>
        <row r="476">
          <cell r="A476" t="str">
            <v>EUR_EURIBOR_1M_EOD</v>
          </cell>
          <cell r="F476">
            <v>0.39800274354876097</v>
          </cell>
        </row>
        <row r="477">
          <cell r="A477" t="str">
            <v>EUR_EURIBOR_3M_EOD</v>
          </cell>
          <cell r="F477">
            <v>1.0000852571900201</v>
          </cell>
        </row>
        <row r="478">
          <cell r="A478" t="str">
            <v>EUR_EURIBOR_3M_EOD</v>
          </cell>
          <cell r="F478">
            <v>1.0001022319349699</v>
          </cell>
        </row>
        <row r="479">
          <cell r="A479" t="str">
            <v>EUR_EURIBOR_3M_EOD</v>
          </cell>
          <cell r="F479">
            <v>1.0001917324251599</v>
          </cell>
        </row>
        <row r="480">
          <cell r="A480" t="str">
            <v>EUR_EURIBOR_3M_EOD</v>
          </cell>
          <cell r="F480">
            <v>1.0002698621453501</v>
          </cell>
        </row>
        <row r="481">
          <cell r="A481" t="str">
            <v>EUR_EURIBOR_3M_EOD</v>
          </cell>
          <cell r="F481">
            <v>1.00034257021605</v>
          </cell>
        </row>
        <row r="482">
          <cell r="A482" t="str">
            <v>EUR_EURIBOR_3M_EOD</v>
          </cell>
          <cell r="F482">
            <v>1.00036178827752</v>
          </cell>
        </row>
        <row r="483">
          <cell r="A483" t="str">
            <v>EUR_EURIBOR_3M_EOD</v>
          </cell>
          <cell r="F483">
            <v>1.0003004001645599</v>
          </cell>
        </row>
        <row r="484">
          <cell r="A484" t="str">
            <v>EUR_EURIBOR_3M_EOD</v>
          </cell>
          <cell r="F484">
            <v>1.00012343604308</v>
          </cell>
        </row>
        <row r="485">
          <cell r="A485" t="str">
            <v>EUR_EURIBOR_3M_EOD</v>
          </cell>
          <cell r="F485">
            <v>0.99984921590324805</v>
          </cell>
        </row>
        <row r="486">
          <cell r="A486" t="str">
            <v>EUR_EURIBOR_3M_EOD</v>
          </cell>
          <cell r="F486">
            <v>0.99944019777852999</v>
          </cell>
        </row>
        <row r="487">
          <cell r="A487" t="str">
            <v>EUR_EURIBOR_3M_EOD</v>
          </cell>
          <cell r="F487">
            <v>0.99888445284122795</v>
          </cell>
        </row>
        <row r="488">
          <cell r="A488" t="str">
            <v>EUR_EURIBOR_3M_EOD</v>
          </cell>
          <cell r="F488">
            <v>0.99814468646384902</v>
          </cell>
        </row>
        <row r="489">
          <cell r="A489" t="str">
            <v>EUR_EURIBOR_3M_EOD</v>
          </cell>
          <cell r="F489">
            <v>0.99720925083590095</v>
          </cell>
        </row>
        <row r="490">
          <cell r="A490" t="str">
            <v>EUR_EURIBOR_3M_EOD</v>
          </cell>
          <cell r="F490">
            <v>0.99143222626402805</v>
          </cell>
        </row>
        <row r="491">
          <cell r="A491" t="str">
            <v>EUR_EURIBOR_3M_EOD</v>
          </cell>
          <cell r="F491">
            <v>0.98237373269712103</v>
          </cell>
        </row>
        <row r="492">
          <cell r="A492" t="str">
            <v>EUR_EURIBOR_3M_EOD</v>
          </cell>
          <cell r="F492">
            <v>0.97019611003444695</v>
          </cell>
        </row>
        <row r="493">
          <cell r="A493" t="str">
            <v>EUR_EURIBOR_3M_EOD</v>
          </cell>
          <cell r="F493">
            <v>0.95520397963887305</v>
          </cell>
        </row>
        <row r="494">
          <cell r="A494" t="str">
            <v>EUR_EURIBOR_3M_EOD</v>
          </cell>
          <cell r="F494">
            <v>0.93816059762376203</v>
          </cell>
        </row>
        <row r="495">
          <cell r="A495" t="str">
            <v>EUR_EURIBOR_3M_EOD</v>
          </cell>
          <cell r="F495">
            <v>0.91964085163967502</v>
          </cell>
        </row>
        <row r="496">
          <cell r="A496" t="str">
            <v>EUR_EURIBOR_3M_EOD</v>
          </cell>
          <cell r="F496">
            <v>0.90050351115345495</v>
          </cell>
        </row>
        <row r="497">
          <cell r="A497" t="str">
            <v>EUR_EURIBOR_3M_EOD</v>
          </cell>
          <cell r="F497">
            <v>0.86176001572612304</v>
          </cell>
        </row>
        <row r="498">
          <cell r="A498" t="str">
            <v>EUR_EURIBOR_3M_EOD</v>
          </cell>
          <cell r="F498">
            <v>0.80578684029018099</v>
          </cell>
        </row>
        <row r="499">
          <cell r="A499" t="str">
            <v>EUR_EURIBOR_3M_EOD</v>
          </cell>
          <cell r="F499">
            <v>0.72617048956655195</v>
          </cell>
        </row>
        <row r="500">
          <cell r="A500" t="str">
            <v>EUR_EURIBOR_3M_EOD</v>
          </cell>
          <cell r="F500">
            <v>0.66461386491948904</v>
          </cell>
        </row>
        <row r="501">
          <cell r="A501" t="str">
            <v>EUR_EURIBOR_3M_EOD</v>
          </cell>
          <cell r="F501">
            <v>0.61117893178121796</v>
          </cell>
        </row>
        <row r="502">
          <cell r="A502" t="str">
            <v>EUR_EURIBOR_3M_EOD</v>
          </cell>
          <cell r="F502">
            <v>0.51612197409048299</v>
          </cell>
        </row>
        <row r="503">
          <cell r="A503" t="str">
            <v>EUR_EURIBOR_3M_EOD</v>
          </cell>
          <cell r="F503">
            <v>0.44967172412034101</v>
          </cell>
        </row>
        <row r="504">
          <cell r="A504" t="str">
            <v>EUR_EURIBOR_3M_EOD</v>
          </cell>
          <cell r="F504">
            <v>0.39048161389604003</v>
          </cell>
        </row>
        <row r="505">
          <cell r="A505" t="str">
            <v>EUR_EURIBOR_6M_EOD</v>
          </cell>
          <cell r="F505">
            <v>0.99980070617668104</v>
          </cell>
        </row>
        <row r="506">
          <cell r="A506" t="str">
            <v>EUR_EURIBOR_6M_EOD</v>
          </cell>
          <cell r="F506">
            <v>0.99977926044658005</v>
          </cell>
        </row>
        <row r="507">
          <cell r="A507" t="str">
            <v>EUR_EURIBOR_6M_EOD</v>
          </cell>
          <cell r="F507">
            <v>0.99971948528523902</v>
          </cell>
        </row>
        <row r="508">
          <cell r="A508" t="str">
            <v>EUR_EURIBOR_6M_EOD</v>
          </cell>
          <cell r="F508">
            <v>0.99967905792285905</v>
          </cell>
        </row>
        <row r="509">
          <cell r="A509" t="str">
            <v>EUR_EURIBOR_6M_EOD</v>
          </cell>
          <cell r="F509">
            <v>0.99964224098508203</v>
          </cell>
        </row>
        <row r="510">
          <cell r="A510" t="str">
            <v>EUR_EURIBOR_6M_EOD</v>
          </cell>
          <cell r="F510">
            <v>0.999595441246794</v>
          </cell>
        </row>
        <row r="511">
          <cell r="A511" t="str">
            <v>EUR_EURIBOR_6M_EOD</v>
          </cell>
          <cell r="F511">
            <v>0.999541200292555</v>
          </cell>
        </row>
        <row r="512">
          <cell r="A512" t="str">
            <v>EUR_EURIBOR_6M_EOD</v>
          </cell>
          <cell r="F512">
            <v>0.999065127885297</v>
          </cell>
        </row>
        <row r="513">
          <cell r="A513" t="str">
            <v>EUR_EURIBOR_6M_EOD</v>
          </cell>
          <cell r="F513">
            <v>0.998122573499855</v>
          </cell>
        </row>
        <row r="514">
          <cell r="A514" t="str">
            <v>EUR_EURIBOR_6M_EOD</v>
          </cell>
          <cell r="F514">
            <v>0.99449051935313104</v>
          </cell>
        </row>
        <row r="515">
          <cell r="A515" t="str">
            <v>EUR_EURIBOR_6M_EOD</v>
          </cell>
          <cell r="F515">
            <v>0.98760765380078297</v>
          </cell>
        </row>
        <row r="516">
          <cell r="A516" t="str">
            <v>EUR_EURIBOR_6M_EOD</v>
          </cell>
          <cell r="F516">
            <v>0.97751031252635601</v>
          </cell>
        </row>
        <row r="517">
          <cell r="A517" t="str">
            <v>EUR_EURIBOR_6M_EOD</v>
          </cell>
          <cell r="F517">
            <v>0.96446524329740202</v>
          </cell>
        </row>
        <row r="518">
          <cell r="A518" t="str">
            <v>EUR_EURIBOR_6M_EOD</v>
          </cell>
          <cell r="F518">
            <v>0.94875835050330803</v>
          </cell>
        </row>
        <row r="519">
          <cell r="A519" t="str">
            <v>EUR_EURIBOR_6M_EOD</v>
          </cell>
          <cell r="F519">
            <v>0.93115813190540497</v>
          </cell>
        </row>
        <row r="520">
          <cell r="A520" t="str">
            <v>EUR_EURIBOR_6M_EOD</v>
          </cell>
          <cell r="F520">
            <v>0.912275704623703</v>
          </cell>
        </row>
        <row r="521">
          <cell r="A521" t="str">
            <v>EUR_EURIBOR_6M_EOD</v>
          </cell>
          <cell r="F521">
            <v>0.892907479837734</v>
          </cell>
        </row>
        <row r="522">
          <cell r="A522" t="str">
            <v>EUR_EURIBOR_6M_EOD</v>
          </cell>
          <cell r="F522">
            <v>0.85388676864364299</v>
          </cell>
        </row>
        <row r="523">
          <cell r="A523" t="str">
            <v>EUR_EURIBOR_6M_EOD</v>
          </cell>
          <cell r="F523">
            <v>0.79788071122957005</v>
          </cell>
        </row>
        <row r="524">
          <cell r="A524" t="str">
            <v>EUR_EURIBOR_6M_EOD</v>
          </cell>
          <cell r="F524">
            <v>0.71844036231389996</v>
          </cell>
        </row>
        <row r="525">
          <cell r="A525" t="str">
            <v>EUR_EURIBOR_6M_EOD</v>
          </cell>
          <cell r="F525">
            <v>0.657187384509894</v>
          </cell>
        </row>
        <row r="526">
          <cell r="A526" t="str">
            <v>EUR_EURIBOR_6M_EOD</v>
          </cell>
          <cell r="F526">
            <v>0.60418773197378695</v>
          </cell>
        </row>
        <row r="527">
          <cell r="A527" t="str">
            <v>EUR_EURIBOR_6M_EOD</v>
          </cell>
          <cell r="F527">
            <v>0.50988506683717105</v>
          </cell>
        </row>
        <row r="528">
          <cell r="A528" t="str">
            <v>EUR_EURIBOR_6M_EOD</v>
          </cell>
          <cell r="F528">
            <v>0.44403646454817303</v>
          </cell>
        </row>
        <row r="529">
          <cell r="A529" t="str">
            <v>EUR_EURIBOR_6M_EOD</v>
          </cell>
          <cell r="F529">
            <v>0.38496876662451401</v>
          </cell>
        </row>
        <row r="530">
          <cell r="A530" t="str">
            <v>EUR_EURIBOR_EOD</v>
          </cell>
          <cell r="F530">
            <v>1.00000305556489</v>
          </cell>
        </row>
        <row r="531">
          <cell r="A531" t="str">
            <v>EUR_EURIBOR_EOD</v>
          </cell>
          <cell r="F531">
            <v>1.0000061111391201</v>
          </cell>
        </row>
        <row r="532">
          <cell r="A532" t="str">
            <v>EUR_EURIBOR_EOD</v>
          </cell>
          <cell r="F532">
            <v>1.0000339176377699</v>
          </cell>
        </row>
        <row r="533">
          <cell r="A533" t="str">
            <v>EUR_EURIBOR_EOD</v>
          </cell>
          <cell r="F533">
            <v>1.00014559059091</v>
          </cell>
        </row>
        <row r="534">
          <cell r="A534" t="str">
            <v>EUR_EURIBOR_EOD</v>
          </cell>
          <cell r="F534">
            <v>1.0002350949613299</v>
          </cell>
        </row>
        <row r="535">
          <cell r="A535" t="str">
            <v>EUR_EURIBOR_EOD</v>
          </cell>
          <cell r="F535">
            <v>1.0003132280687701</v>
          </cell>
        </row>
        <row r="536">
          <cell r="A536" t="str">
            <v>EUR_EURIBOR_EOD</v>
          </cell>
          <cell r="F536">
            <v>1.0003859392916701</v>
          </cell>
        </row>
        <row r="537">
          <cell r="A537" t="str">
            <v>EUR_EURIBOR_EOD</v>
          </cell>
          <cell r="F537">
            <v>1.00040515818632</v>
          </cell>
        </row>
        <row r="538">
          <cell r="A538" t="str">
            <v>EUR_EURIBOR_EOD</v>
          </cell>
          <cell r="F538">
            <v>1.00034376741193</v>
          </cell>
        </row>
        <row r="539">
          <cell r="A539" t="str">
            <v>EUR_EURIBOR_EOD</v>
          </cell>
          <cell r="F539">
            <v>1.00016679561831</v>
          </cell>
        </row>
        <row r="540">
          <cell r="A540" t="str">
            <v>EUR_EURIBOR_EOD</v>
          </cell>
          <cell r="F540">
            <v>0.99989256358987699</v>
          </cell>
        </row>
        <row r="541">
          <cell r="A541" t="str">
            <v>EUR_EURIBOR_EOD</v>
          </cell>
          <cell r="F541">
            <v>0.99948352773249505</v>
          </cell>
        </row>
        <row r="542">
          <cell r="A542" t="str">
            <v>EUR_EURIBOR_EOD</v>
          </cell>
          <cell r="F542">
            <v>0.99892775870130301</v>
          </cell>
        </row>
        <row r="543">
          <cell r="A543" t="str">
            <v>EUR_EURIBOR_EOD</v>
          </cell>
          <cell r="F543">
            <v>0.99818796025192702</v>
          </cell>
        </row>
        <row r="544">
          <cell r="A544" t="str">
            <v>EUR_EURIBOR_EOD</v>
          </cell>
          <cell r="F544">
            <v>0.997252484068894</v>
          </cell>
        </row>
        <row r="545">
          <cell r="A545" t="str">
            <v>EUR_EURIBOR_EOD</v>
          </cell>
          <cell r="F545">
            <v>0.98756678175180501</v>
          </cell>
        </row>
        <row r="546">
          <cell r="A546" t="str">
            <v>EUR_EURIBOR_EOD</v>
          </cell>
          <cell r="F546">
            <v>0.97743034218400404</v>
          </cell>
        </row>
        <row r="547">
          <cell r="A547" t="str">
            <v>EUR_EURIBOR_EOD</v>
          </cell>
          <cell r="F547">
            <v>0.96432924931483599</v>
          </cell>
        </row>
        <row r="548">
          <cell r="A548" t="str">
            <v>EUR_EURIBOR_EOD</v>
          </cell>
          <cell r="F548">
            <v>0.94855038538562197</v>
          </cell>
        </row>
        <row r="549">
          <cell r="A549" t="str">
            <v>EUR_EURIBOR_EOD</v>
          </cell>
          <cell r="F549">
            <v>0.93086129734548395</v>
          </cell>
        </row>
        <row r="550">
          <cell r="A550" t="str">
            <v>EUR_EURIBOR_EOD</v>
          </cell>
          <cell r="F550">
            <v>0.91188744788854503</v>
          </cell>
        </row>
        <row r="551">
          <cell r="A551" t="str">
            <v>EUR_EURIBOR_EOD</v>
          </cell>
          <cell r="F551">
            <v>0.89243010253663202</v>
          </cell>
        </row>
        <row r="552">
          <cell r="A552" t="str">
            <v>EUR_EURIBOR_EOD</v>
          </cell>
          <cell r="F552">
            <v>0.85324239151001202</v>
          </cell>
        </row>
        <row r="553">
          <cell r="A553" t="str">
            <v>EUR_EURIBOR_EOD</v>
          </cell>
          <cell r="F553">
            <v>0.79704093377501695</v>
          </cell>
        </row>
        <row r="554">
          <cell r="A554" t="str">
            <v>EUR_EURIBOR_EOD</v>
          </cell>
          <cell r="F554">
            <v>0.71745942311261202</v>
          </cell>
        </row>
        <row r="555">
          <cell r="A555" t="str">
            <v>EUR_EURIBOR_EOD</v>
          </cell>
          <cell r="F555">
            <v>0.65623165678490702</v>
          </cell>
        </row>
        <row r="556">
          <cell r="A556" t="str">
            <v>EUR_EURIBOR_EOD</v>
          </cell>
          <cell r="F556">
            <v>0.60329471047145</v>
          </cell>
        </row>
        <row r="557">
          <cell r="A557" t="str">
            <v>EUR_EURIBOR_EOD</v>
          </cell>
          <cell r="F557">
            <v>0.50910480073488196</v>
          </cell>
        </row>
        <row r="558">
          <cell r="A558" t="str">
            <v>EUR_EURIBOR_EOD</v>
          </cell>
          <cell r="F558">
            <v>0.44341331327383798</v>
          </cell>
        </row>
        <row r="559">
          <cell r="A559" t="str">
            <v>EUR_EURIBOR_EOD</v>
          </cell>
          <cell r="F559">
            <v>0.38448003157479399</v>
          </cell>
        </row>
        <row r="560">
          <cell r="A560" t="str">
            <v>GBP_LIBOR_12M_EOD</v>
          </cell>
          <cell r="F560">
            <v>0.98953861242914798</v>
          </cell>
        </row>
        <row r="561">
          <cell r="A561" t="str">
            <v>GBP_LIBOR_12M_EOD</v>
          </cell>
          <cell r="F561">
            <v>0.98847475237106397</v>
          </cell>
        </row>
        <row r="562">
          <cell r="A562" t="str">
            <v>GBP_LIBOR_12M_EOD</v>
          </cell>
          <cell r="F562">
            <v>0.98741655887198598</v>
          </cell>
        </row>
        <row r="563">
          <cell r="A563" t="str">
            <v>GBP_LIBOR_12M_EOD</v>
          </cell>
          <cell r="F563">
            <v>0.98626280409895095</v>
          </cell>
        </row>
        <row r="564">
          <cell r="A564" t="str">
            <v>GBP_LIBOR_12M_EOD</v>
          </cell>
          <cell r="F564">
            <v>0.98495129066523102</v>
          </cell>
        </row>
        <row r="565">
          <cell r="A565" t="str">
            <v>GBP_LIBOR_12M_EOD</v>
          </cell>
          <cell r="F565">
            <v>0.98372702352658503</v>
          </cell>
        </row>
        <row r="566">
          <cell r="A566" t="str">
            <v>GBP_LIBOR_12M_EOD</v>
          </cell>
          <cell r="F566">
            <v>0.98269696474701396</v>
          </cell>
        </row>
        <row r="567">
          <cell r="A567" t="str">
            <v>GBP_LIBOR_12M_EOD</v>
          </cell>
          <cell r="F567">
            <v>0.97874904636943705</v>
          </cell>
        </row>
        <row r="568">
          <cell r="A568" t="str">
            <v>GBP_LIBOR_12M_EOD</v>
          </cell>
          <cell r="F568">
            <v>0.97512536660206695</v>
          </cell>
        </row>
        <row r="569">
          <cell r="A569" t="str">
            <v>GBP_LIBOR_12M_EOD</v>
          </cell>
          <cell r="F569">
            <v>0.95724365364992903</v>
          </cell>
        </row>
        <row r="570">
          <cell r="A570" t="str">
            <v>GBP_LIBOR_12M_EOD</v>
          </cell>
          <cell r="F570">
            <v>0.93699049938923995</v>
          </cell>
        </row>
        <row r="571">
          <cell r="A571" t="str">
            <v>GBP_LIBOR_12M_EOD</v>
          </cell>
          <cell r="F571">
            <v>0.91519757634367205</v>
          </cell>
        </row>
        <row r="572">
          <cell r="A572" t="str">
            <v>GBP_LIBOR_12M_EOD</v>
          </cell>
          <cell r="F572">
            <v>0.89304042347806001</v>
          </cell>
        </row>
        <row r="573">
          <cell r="A573" t="str">
            <v>GBP_LIBOR_12M_EOD</v>
          </cell>
          <cell r="F573">
            <v>0.87098238470115297</v>
          </cell>
        </row>
        <row r="574">
          <cell r="A574" t="str">
            <v>GBP_LIBOR_12M_EOD</v>
          </cell>
          <cell r="F574">
            <v>0.84935867252618602</v>
          </cell>
        </row>
        <row r="575">
          <cell r="A575" t="str">
            <v>GBP_LIBOR_12M_EOD</v>
          </cell>
          <cell r="F575">
            <v>0.828055842171875</v>
          </cell>
        </row>
        <row r="576">
          <cell r="A576" t="str">
            <v>GBP_LIBOR_12M_EOD</v>
          </cell>
          <cell r="F576">
            <v>0.80737534037982905</v>
          </cell>
        </row>
        <row r="577">
          <cell r="A577" t="str">
            <v>GBP_LIBOR_12M_EOD</v>
          </cell>
          <cell r="F577">
            <v>0.76694973901796504</v>
          </cell>
        </row>
        <row r="578">
          <cell r="A578" t="str">
            <v>GBP_LIBOR_12M_EOD</v>
          </cell>
          <cell r="F578">
            <v>0.71021186226121702</v>
          </cell>
        </row>
        <row r="579">
          <cell r="A579" t="str">
            <v>GBP_LIBOR_12M_EOD</v>
          </cell>
          <cell r="F579">
            <v>0.62869769484329496</v>
          </cell>
        </row>
        <row r="580">
          <cell r="A580" t="str">
            <v>GBP_LIBOR_12M_EOD</v>
          </cell>
          <cell r="F580">
            <v>0.56380193300792603</v>
          </cell>
        </row>
        <row r="581">
          <cell r="A581" t="str">
            <v>GBP_LIBOR_12M_EOD</v>
          </cell>
          <cell r="F581">
            <v>0.50706501870574705</v>
          </cell>
        </row>
        <row r="582">
          <cell r="A582" t="str">
            <v>GBP_LIBOR_12M_EOD</v>
          </cell>
          <cell r="F582">
            <v>0.41720326740529701</v>
          </cell>
        </row>
        <row r="583">
          <cell r="A583" t="str">
            <v>GBP_LIBOR_12M_EOD</v>
          </cell>
          <cell r="F583">
            <v>0.34942718302009201</v>
          </cell>
        </row>
        <row r="584">
          <cell r="A584" t="str">
            <v>GBP_LIBOR_12M_EOD</v>
          </cell>
          <cell r="F584">
            <v>0.28433233779433498</v>
          </cell>
        </row>
        <row r="585">
          <cell r="A585" t="str">
            <v>GBP_LIBOR_1M_EOD</v>
          </cell>
          <cell r="F585">
            <v>0.99958489840828402</v>
          </cell>
        </row>
        <row r="586">
          <cell r="A586" t="str">
            <v>GBP_LIBOR_1M_EOD</v>
          </cell>
          <cell r="F586">
            <v>0.99913103702639505</v>
          </cell>
        </row>
        <row r="587">
          <cell r="A587" t="str">
            <v>GBP_LIBOR_1M_EOD</v>
          </cell>
          <cell r="F587">
            <v>0.998707719637563</v>
          </cell>
        </row>
        <row r="588">
          <cell r="A588" t="str">
            <v>GBP_LIBOR_1M_EOD</v>
          </cell>
          <cell r="F588">
            <v>0.99728030711039095</v>
          </cell>
        </row>
        <row r="589">
          <cell r="A589" t="str">
            <v>GBP_LIBOR_1M_EOD</v>
          </cell>
          <cell r="F589">
            <v>0.99561027893449205</v>
          </cell>
        </row>
        <row r="590">
          <cell r="A590" t="str">
            <v>GBP_LIBOR_1M_EOD</v>
          </cell>
          <cell r="F590">
            <v>0.99364333349639899</v>
          </cell>
        </row>
        <row r="591">
          <cell r="A591" t="str">
            <v>GBP_LIBOR_1M_EOD</v>
          </cell>
          <cell r="F591">
            <v>0.98312112876341395</v>
          </cell>
        </row>
        <row r="592">
          <cell r="A592" t="str">
            <v>GBP_LIBOR_1M_EOD</v>
          </cell>
          <cell r="F592">
            <v>0.96848820143596104</v>
          </cell>
        </row>
        <row r="593">
          <cell r="A593" t="str">
            <v>GBP_LIBOR_1M_EOD</v>
          </cell>
          <cell r="F593">
            <v>0.95111965653490704</v>
          </cell>
        </row>
        <row r="594">
          <cell r="A594" t="str">
            <v>GBP_LIBOR_1M_EOD</v>
          </cell>
          <cell r="F594">
            <v>0.93215506741757603</v>
          </cell>
        </row>
        <row r="595">
          <cell r="A595" t="str">
            <v>GBP_LIBOR_1M_EOD</v>
          </cell>
          <cell r="F595">
            <v>0.91262874213576695</v>
          </cell>
        </row>
        <row r="596">
          <cell r="A596" t="str">
            <v>GBP_LIBOR_1M_EOD</v>
          </cell>
          <cell r="F596">
            <v>0.89288673464215595</v>
          </cell>
        </row>
        <row r="597">
          <cell r="A597" t="str">
            <v>GBP_LIBOR_1M_EOD</v>
          </cell>
          <cell r="F597">
            <v>0.87316022972582696</v>
          </cell>
        </row>
        <row r="598">
          <cell r="A598" t="str">
            <v>GBP_LIBOR_1M_EOD</v>
          </cell>
          <cell r="F598">
            <v>0.85350311417943503</v>
          </cell>
        </row>
        <row r="599">
          <cell r="A599" t="str">
            <v>GBP_LIBOR_1M_EOD</v>
          </cell>
          <cell r="F599">
            <v>0.83419686211269695</v>
          </cell>
        </row>
        <row r="600">
          <cell r="A600" t="str">
            <v>GBP_LIBOR_1M_EOD</v>
          </cell>
          <cell r="F600">
            <v>0.79542413304866399</v>
          </cell>
        </row>
        <row r="601">
          <cell r="A601" t="str">
            <v>GBP_LIBOR_1M_EOD</v>
          </cell>
          <cell r="F601">
            <v>0.73935196390921099</v>
          </cell>
        </row>
        <row r="602">
          <cell r="A602" t="str">
            <v>GBP_LIBOR_1M_EOD</v>
          </cell>
          <cell r="F602">
            <v>0.65759605555443001</v>
          </cell>
        </row>
        <row r="603">
          <cell r="A603" t="str">
            <v>GBP_LIBOR_1M_EOD</v>
          </cell>
          <cell r="F603">
            <v>0.59217185416205098</v>
          </cell>
        </row>
        <row r="604">
          <cell r="A604" t="str">
            <v>GBP_LIBOR_1M_EOD</v>
          </cell>
          <cell r="F604">
            <v>0.53408868984055502</v>
          </cell>
        </row>
        <row r="605">
          <cell r="A605" t="str">
            <v>GBP_LIBOR_1M_EOD</v>
          </cell>
          <cell r="F605">
            <v>0.44466635899200302</v>
          </cell>
        </row>
        <row r="606">
          <cell r="A606" t="str">
            <v>GBP_LIBOR_1M_EOD</v>
          </cell>
          <cell r="F606">
            <v>0.37210276878389398</v>
          </cell>
        </row>
        <row r="607">
          <cell r="A607" t="str">
            <v>GBP_LIBOR_1M_EOD</v>
          </cell>
          <cell r="F607">
            <v>0.30412141624281003</v>
          </cell>
        </row>
        <row r="608">
          <cell r="A608" t="str">
            <v>GBP_LIBOR_3M_EOD</v>
          </cell>
          <cell r="F608">
            <v>0.99854206484278096</v>
          </cell>
        </row>
        <row r="609">
          <cell r="A609" t="str">
            <v>GBP_LIBOR_3M_EOD</v>
          </cell>
          <cell r="F609">
            <v>0.99826648619787295</v>
          </cell>
        </row>
        <row r="610">
          <cell r="A610" t="str">
            <v>GBP_LIBOR_3M_EOD</v>
          </cell>
          <cell r="F610">
            <v>0.99662879027332796</v>
          </cell>
        </row>
        <row r="611">
          <cell r="A611" t="str">
            <v>GBP_LIBOR_3M_EOD</v>
          </cell>
          <cell r="F611">
            <v>0.99472466745016097</v>
          </cell>
        </row>
        <row r="612">
          <cell r="A612" t="str">
            <v>GBP_LIBOR_3M_EOD</v>
          </cell>
          <cell r="F612">
            <v>0.99239039729586098</v>
          </cell>
        </row>
        <row r="613">
          <cell r="A613" t="str">
            <v>GBP_LIBOR_3M_EOD</v>
          </cell>
          <cell r="F613">
            <v>0.98993738940022902</v>
          </cell>
        </row>
        <row r="614">
          <cell r="A614" t="str">
            <v>GBP_LIBOR_3M_EOD</v>
          </cell>
          <cell r="F614">
            <v>0.98736652584260298</v>
          </cell>
        </row>
        <row r="615">
          <cell r="A615" t="str">
            <v>GBP_LIBOR_3M_EOD</v>
          </cell>
          <cell r="F615">
            <v>0.984054816349204</v>
          </cell>
        </row>
        <row r="616">
          <cell r="A616" t="str">
            <v>GBP_LIBOR_3M_EOD</v>
          </cell>
          <cell r="F616">
            <v>0.98070541011616896</v>
          </cell>
        </row>
        <row r="617">
          <cell r="A617" t="str">
            <v>GBP_LIBOR_3M_EOD</v>
          </cell>
          <cell r="F617">
            <v>0.96603741104306595</v>
          </cell>
        </row>
        <row r="618">
          <cell r="A618" t="str">
            <v>GBP_LIBOR_3M_EOD</v>
          </cell>
          <cell r="F618">
            <v>0.94797151596784701</v>
          </cell>
        </row>
        <row r="619">
          <cell r="A619" t="str">
            <v>GBP_LIBOR_3M_EOD</v>
          </cell>
          <cell r="F619">
            <v>0.92833505347477097</v>
          </cell>
        </row>
        <row r="620">
          <cell r="A620" t="str">
            <v>GBP_LIBOR_3M_EOD</v>
          </cell>
          <cell r="F620">
            <v>0.90828789454686498</v>
          </cell>
        </row>
        <row r="621">
          <cell r="A621" t="str">
            <v>GBP_LIBOR_3M_EOD</v>
          </cell>
          <cell r="F621">
            <v>0.88818109273454104</v>
          </cell>
        </row>
        <row r="622">
          <cell r="A622" t="str">
            <v>GBP_LIBOR_3M_EOD</v>
          </cell>
          <cell r="F622">
            <v>0.86808749811528096</v>
          </cell>
        </row>
        <row r="623">
          <cell r="A623" t="str">
            <v>GBP_LIBOR_3M_EOD</v>
          </cell>
          <cell r="F623">
            <v>0.84812738857879499</v>
          </cell>
        </row>
        <row r="624">
          <cell r="A624" t="str">
            <v>GBP_LIBOR_3M_EOD</v>
          </cell>
          <cell r="F624">
            <v>0.82847334284117302</v>
          </cell>
        </row>
        <row r="625">
          <cell r="A625" t="str">
            <v>GBP_LIBOR_3M_EOD</v>
          </cell>
          <cell r="F625">
            <v>0.78900359619534899</v>
          </cell>
        </row>
        <row r="626">
          <cell r="A626" t="str">
            <v>GBP_LIBOR_3M_EOD</v>
          </cell>
          <cell r="F626">
            <v>0.73219853609365704</v>
          </cell>
        </row>
        <row r="627">
          <cell r="A627" t="str">
            <v>GBP_LIBOR_3M_EOD</v>
          </cell>
          <cell r="F627">
            <v>0.64967468969798503</v>
          </cell>
        </row>
        <row r="628">
          <cell r="A628" t="str">
            <v>GBP_LIBOR_3M_EOD</v>
          </cell>
          <cell r="F628">
            <v>0.58368625125366203</v>
          </cell>
        </row>
        <row r="629">
          <cell r="A629" t="str">
            <v>GBP_LIBOR_3M_EOD</v>
          </cell>
          <cell r="F629">
            <v>0.525655786356375</v>
          </cell>
        </row>
        <row r="630">
          <cell r="A630" t="str">
            <v>GBP_LIBOR_3M_EOD</v>
          </cell>
          <cell r="F630">
            <v>0.43611124344410501</v>
          </cell>
        </row>
        <row r="631">
          <cell r="A631" t="str">
            <v>GBP_LIBOR_3M_EOD</v>
          </cell>
          <cell r="F631">
            <v>0.36374101620868199</v>
          </cell>
        </row>
        <row r="632">
          <cell r="A632" t="str">
            <v>GBP_LIBOR_3M_EOD</v>
          </cell>
          <cell r="F632">
            <v>0.29656980628076002</v>
          </cell>
        </row>
        <row r="633">
          <cell r="A633" t="str">
            <v>GBP_LIBOR_6M_EOD</v>
          </cell>
          <cell r="F633">
            <v>0.99630820968179001</v>
          </cell>
        </row>
        <row r="634">
          <cell r="A634" t="str">
            <v>GBP_LIBOR_6M_EOD</v>
          </cell>
          <cell r="F634">
            <v>0.99174617726643099</v>
          </cell>
        </row>
        <row r="635">
          <cell r="A635" t="str">
            <v>GBP_LIBOR_6M_EOD</v>
          </cell>
          <cell r="F635">
            <v>0.98615418321967696</v>
          </cell>
        </row>
        <row r="636">
          <cell r="A636" t="str">
            <v>GBP_LIBOR_6M_EOD</v>
          </cell>
          <cell r="F636">
            <v>0.97920600868722096</v>
          </cell>
        </row>
        <row r="637">
          <cell r="A637" t="str">
            <v>GBP_LIBOR_6M_EOD</v>
          </cell>
          <cell r="F637">
            <v>0.96271074014645397</v>
          </cell>
        </row>
        <row r="638">
          <cell r="A638" t="str">
            <v>GBP_LIBOR_6M_EOD</v>
          </cell>
          <cell r="F638">
            <v>0.94354087756248906</v>
          </cell>
        </row>
        <row r="639">
          <cell r="A639" t="str">
            <v>GBP_LIBOR_6M_EOD</v>
          </cell>
          <cell r="F639">
            <v>0.92271621622054201</v>
          </cell>
        </row>
        <row r="640">
          <cell r="A640" t="str">
            <v>GBP_LIBOR_6M_EOD</v>
          </cell>
          <cell r="F640">
            <v>0.90142338777346498</v>
          </cell>
        </row>
        <row r="641">
          <cell r="A641" t="str">
            <v>GBP_LIBOR_6M_EOD</v>
          </cell>
          <cell r="F641">
            <v>0.88020248888756503</v>
          </cell>
        </row>
        <row r="642">
          <cell r="A642" t="str">
            <v>GBP_LIBOR_6M_EOD</v>
          </cell>
          <cell r="F642">
            <v>0.85918932937650305</v>
          </cell>
        </row>
        <row r="643">
          <cell r="A643" t="str">
            <v>GBP_LIBOR_6M_EOD</v>
          </cell>
          <cell r="F643">
            <v>0.83825318690020201</v>
          </cell>
        </row>
        <row r="644">
          <cell r="A644" t="str">
            <v>GBP_LIBOR_6M_EOD</v>
          </cell>
          <cell r="F644">
            <v>0.81788512409412994</v>
          </cell>
        </row>
        <row r="645">
          <cell r="A645" t="str">
            <v>GBP_LIBOR_6M_EOD</v>
          </cell>
          <cell r="F645">
            <v>0.77769942625756605</v>
          </cell>
        </row>
        <row r="646">
          <cell r="A646" t="str">
            <v>GBP_LIBOR_6M_EOD</v>
          </cell>
          <cell r="F646">
            <v>0.72108340700992501</v>
          </cell>
        </row>
        <row r="647">
          <cell r="A647" t="str">
            <v>GBP_LIBOR_6M_EOD</v>
          </cell>
          <cell r="F647">
            <v>0.63966024806899302</v>
          </cell>
        </row>
        <row r="648">
          <cell r="A648" t="str">
            <v>GBP_LIBOR_6M_EOD</v>
          </cell>
          <cell r="F648">
            <v>0.57429404035974096</v>
          </cell>
        </row>
        <row r="649">
          <cell r="A649" t="str">
            <v>GBP_LIBOR_6M_EOD</v>
          </cell>
          <cell r="F649">
            <v>0.51710620053673695</v>
          </cell>
        </row>
        <row r="650">
          <cell r="A650" t="str">
            <v>GBP_LIBOR_6M_EOD</v>
          </cell>
          <cell r="F650">
            <v>0.42863284960407999</v>
          </cell>
        </row>
        <row r="651">
          <cell r="A651" t="str">
            <v>GBP_LIBOR_6M_EOD</v>
          </cell>
          <cell r="F651">
            <v>0.356916754684726</v>
          </cell>
        </row>
        <row r="652">
          <cell r="A652" t="str">
            <v>GBP_LIBOR_6M_EOD</v>
          </cell>
          <cell r="F652">
            <v>0.290677302131779</v>
          </cell>
        </row>
        <row r="653">
          <cell r="A653" t="str">
            <v>GBP_LIBOR_EOD</v>
          </cell>
          <cell r="F653">
            <v>0.99998681524233302</v>
          </cell>
        </row>
        <row r="654">
          <cell r="A654" t="str">
            <v>GBP_LIBOR_EOD</v>
          </cell>
          <cell r="F654">
            <v>0.99990618003588805</v>
          </cell>
        </row>
        <row r="655">
          <cell r="A655" t="str">
            <v>GBP_LIBOR_EOD</v>
          </cell>
          <cell r="F655">
            <v>0.99830177956954902</v>
          </cell>
        </row>
        <row r="656">
          <cell r="A656" t="str">
            <v>GBP_LIBOR_EOD</v>
          </cell>
          <cell r="F656">
            <v>0.99666402574482205</v>
          </cell>
        </row>
        <row r="657">
          <cell r="A657" t="str">
            <v>GBP_LIBOR_EOD</v>
          </cell>
          <cell r="F657">
            <v>0.99475983560204095</v>
          </cell>
        </row>
        <row r="658">
          <cell r="A658" t="str">
            <v>GBP_LIBOR_EOD</v>
          </cell>
          <cell r="F658">
            <v>0.99242548292041399</v>
          </cell>
        </row>
        <row r="659">
          <cell r="A659" t="str">
            <v>GBP_LIBOR_EOD</v>
          </cell>
          <cell r="F659">
            <v>0.98997238829952305</v>
          </cell>
        </row>
        <row r="660">
          <cell r="A660" t="str">
            <v>GBP_LIBOR_EOD</v>
          </cell>
          <cell r="F660">
            <v>0.98740143384989099</v>
          </cell>
        </row>
        <row r="661">
          <cell r="A661" t="str">
            <v>GBP_LIBOR_EOD</v>
          </cell>
          <cell r="F661">
            <v>0.98408960727213102</v>
          </cell>
        </row>
        <row r="662">
          <cell r="A662" t="str">
            <v>GBP_LIBOR_EOD</v>
          </cell>
          <cell r="F662">
            <v>0.98074008262197898</v>
          </cell>
        </row>
        <row r="663">
          <cell r="A663" t="str">
            <v>GBP_LIBOR_EOD</v>
          </cell>
          <cell r="F663">
            <v>0.96263580934555704</v>
          </cell>
        </row>
        <row r="664">
          <cell r="A664" t="str">
            <v>GBP_LIBOR_EOD</v>
          </cell>
          <cell r="F664">
            <v>0.94341991106152401</v>
          </cell>
        </row>
        <row r="665">
          <cell r="A665" t="str">
            <v>GBP_LIBOR_EOD</v>
          </cell>
          <cell r="F665">
            <v>0.92254010848967705</v>
          </cell>
        </row>
        <row r="666">
          <cell r="A666" t="str">
            <v>GBP_LIBOR_EOD</v>
          </cell>
          <cell r="F666">
            <v>0.90118768868697796</v>
          </cell>
        </row>
        <row r="667">
          <cell r="A667" t="str">
            <v>GBP_LIBOR_EOD</v>
          </cell>
          <cell r="F667">
            <v>0.87990521365727303</v>
          </cell>
        </row>
        <row r="668">
          <cell r="A668" t="str">
            <v>GBP_LIBOR_EOD</v>
          </cell>
          <cell r="F668">
            <v>0.85883072305869201</v>
          </cell>
        </row>
        <row r="669">
          <cell r="A669" t="str">
            <v>GBP_LIBOR_EOD</v>
          </cell>
          <cell r="F669">
            <v>0.83783260335797105</v>
          </cell>
        </row>
        <row r="670">
          <cell r="A670" t="str">
            <v>GBP_LIBOR_EOD</v>
          </cell>
          <cell r="F670">
            <v>0.81740454344462699</v>
          </cell>
        </row>
        <row r="671">
          <cell r="A671" t="str">
            <v>GBP_LIBOR_EOD</v>
          </cell>
          <cell r="F671">
            <v>0.77710187168285505</v>
          </cell>
        </row>
        <row r="672">
          <cell r="A672" t="str">
            <v>GBP_LIBOR_EOD</v>
          </cell>
          <cell r="F672">
            <v>0.72035607615108599</v>
          </cell>
        </row>
        <row r="673">
          <cell r="A673" t="str">
            <v>GBP_LIBOR_EOD</v>
          </cell>
          <cell r="F673">
            <v>0.63887596909108801</v>
          </cell>
        </row>
        <row r="674">
          <cell r="A674" t="str">
            <v>GBP_LIBOR_EOD</v>
          </cell>
          <cell r="F674">
            <v>0.57361549733893202</v>
          </cell>
        </row>
        <row r="675">
          <cell r="A675" t="str">
            <v>GBP_LIBOR_EOD</v>
          </cell>
          <cell r="F675">
            <v>0.51654259180958095</v>
          </cell>
        </row>
        <row r="676">
          <cell r="A676" t="str">
            <v>GBP_LIBOR_EOD</v>
          </cell>
          <cell r="F676">
            <v>0.42844577305739501</v>
          </cell>
        </row>
        <row r="677">
          <cell r="A677" t="str">
            <v>GBP_LIBOR_EOD</v>
          </cell>
          <cell r="F677">
            <v>0.35702276172174102</v>
          </cell>
        </row>
        <row r="678">
          <cell r="A678" t="str">
            <v>GBP_LIBOR_EOD</v>
          </cell>
          <cell r="F678">
            <v>0.29078993545281601</v>
          </cell>
        </row>
        <row r="679">
          <cell r="A679" t="str">
            <v>GBP_SONIA_EOD</v>
          </cell>
          <cell r="F679">
            <v>0.99998743577430005</v>
          </cell>
        </row>
        <row r="680">
          <cell r="A680" t="str">
            <v>GBP_SONIA_EOD</v>
          </cell>
          <cell r="F680">
            <v>0.99991178860385499</v>
          </cell>
        </row>
        <row r="681">
          <cell r="A681" t="str">
            <v>GBP_SONIA_EOD</v>
          </cell>
          <cell r="F681">
            <v>0.99982355442620596</v>
          </cell>
        </row>
        <row r="682">
          <cell r="A682" t="str">
            <v>GBP_SONIA_EOD</v>
          </cell>
          <cell r="F682">
            <v>0.99962229682318204</v>
          </cell>
        </row>
        <row r="683">
          <cell r="A683" t="str">
            <v>GBP_SONIA_EOD</v>
          </cell>
          <cell r="F683">
            <v>0.99921675276932398</v>
          </cell>
        </row>
        <row r="684">
          <cell r="A684" t="str">
            <v>GBP_SONIA_EOD</v>
          </cell>
          <cell r="F684">
            <v>0.99882955954984698</v>
          </cell>
        </row>
        <row r="685">
          <cell r="A685" t="str">
            <v>GBP_SONIA_EOD</v>
          </cell>
          <cell r="F685">
            <v>0.99837217468367501</v>
          </cell>
        </row>
        <row r="686">
          <cell r="A686" t="str">
            <v>GBP_SONIA_EOD</v>
          </cell>
          <cell r="F686">
            <v>0.99798760174847601</v>
          </cell>
        </row>
        <row r="687">
          <cell r="A687" t="str">
            <v>GBP_SONIA_EOD</v>
          </cell>
          <cell r="F687">
            <v>0.99754250961642099</v>
          </cell>
        </row>
        <row r="688">
          <cell r="A688" t="str">
            <v>GBP_SONIA_EOD</v>
          </cell>
          <cell r="F688">
            <v>0.997061020254292</v>
          </cell>
        </row>
        <row r="689">
          <cell r="A689" t="str">
            <v>GBP_SONIA_EOD</v>
          </cell>
          <cell r="F689">
            <v>0.99656922511981705</v>
          </cell>
        </row>
        <row r="690">
          <cell r="A690" t="str">
            <v>GBP_SONIA_EOD</v>
          </cell>
          <cell r="F690">
            <v>0.99605612804116495</v>
          </cell>
        </row>
        <row r="691">
          <cell r="A691" t="str">
            <v>GBP_SONIA_EOD</v>
          </cell>
          <cell r="F691">
            <v>0.99551104704153504</v>
          </cell>
        </row>
        <row r="692">
          <cell r="A692" t="str">
            <v>GBP_SONIA_EOD</v>
          </cell>
          <cell r="F692">
            <v>0.99493667413502895</v>
          </cell>
        </row>
        <row r="693">
          <cell r="A693" t="str">
            <v>GBP_SONIA_EOD</v>
          </cell>
          <cell r="F693">
            <v>0.99432958897628498</v>
          </cell>
        </row>
        <row r="694">
          <cell r="A694" t="str">
            <v>GBP_SONIA_EOD</v>
          </cell>
          <cell r="F694">
            <v>0.992400774915151</v>
          </cell>
        </row>
        <row r="695">
          <cell r="A695" t="str">
            <v>GBP_SONIA_EOD</v>
          </cell>
          <cell r="F695">
            <v>0.990221830432787</v>
          </cell>
        </row>
        <row r="696">
          <cell r="A696" t="str">
            <v>GBP_SONIA_EOD</v>
          </cell>
          <cell r="F696">
            <v>0.98768510085288197</v>
          </cell>
        </row>
        <row r="697">
          <cell r="A697" t="str">
            <v>GBP_SONIA_EOD</v>
          </cell>
          <cell r="F697">
            <v>0.98489884232901903</v>
          </cell>
        </row>
        <row r="698">
          <cell r="A698" t="str">
            <v>GBP_SONIA_EOD</v>
          </cell>
          <cell r="F698">
            <v>0.97144910140551199</v>
          </cell>
        </row>
        <row r="699">
          <cell r="A699" t="str">
            <v>GBP_SONIA_EOD</v>
          </cell>
          <cell r="F699">
            <v>0.95537848809253001</v>
          </cell>
        </row>
        <row r="700">
          <cell r="A700" t="str">
            <v>GBP_SONIA_EOD</v>
          </cell>
          <cell r="F700">
            <v>0.93758102965969603</v>
          </cell>
        </row>
        <row r="701">
          <cell r="A701" t="str">
            <v>GBP_SONIA_EOD</v>
          </cell>
          <cell r="F701">
            <v>0.91928809786169996</v>
          </cell>
        </row>
        <row r="702">
          <cell r="A702" t="str">
            <v>GBP_SONIA_EOD</v>
          </cell>
          <cell r="F702">
            <v>0.900734280890093</v>
          </cell>
        </row>
        <row r="703">
          <cell r="A703" t="str">
            <v>GBP_SONIA_EOD</v>
          </cell>
          <cell r="F703">
            <v>0.88202200060773195</v>
          </cell>
        </row>
        <row r="704">
          <cell r="A704" t="str">
            <v>GBP_SONIA_EOD</v>
          </cell>
          <cell r="F704">
            <v>0.86314859813967204</v>
          </cell>
        </row>
        <row r="705">
          <cell r="A705" t="str">
            <v>GBP_SONIA_EOD</v>
          </cell>
          <cell r="F705">
            <v>0.84455438420695494</v>
          </cell>
        </row>
        <row r="706">
          <cell r="A706" t="str">
            <v>GBP_SONIA_EOD</v>
          </cell>
          <cell r="F706">
            <v>0.80674540612333001</v>
          </cell>
        </row>
        <row r="707">
          <cell r="A707" t="str">
            <v>GBP_SONIA_EOD</v>
          </cell>
          <cell r="F707">
            <v>0.75141389954738702</v>
          </cell>
        </row>
        <row r="708">
          <cell r="A708" t="str">
            <v>GBP_SONIA_EOD</v>
          </cell>
          <cell r="F708">
            <v>0.66979887705950802</v>
          </cell>
        </row>
        <row r="709">
          <cell r="A709" t="str">
            <v>GBP_SONIA_EOD</v>
          </cell>
          <cell r="F709">
            <v>0.604157451345125</v>
          </cell>
        </row>
        <row r="710">
          <cell r="A710" t="str">
            <v>GBP_SONIA_EOD</v>
          </cell>
          <cell r="F710">
            <v>0.54588257422678199</v>
          </cell>
        </row>
        <row r="711">
          <cell r="A711" t="str">
            <v>GBP_SONIA_EOD</v>
          </cell>
          <cell r="F711">
            <v>0.45620842967463399</v>
          </cell>
        </row>
        <row r="712">
          <cell r="A712" t="str">
            <v>GBP_SONIA_EOD</v>
          </cell>
          <cell r="F712">
            <v>0.38306047894802198</v>
          </cell>
        </row>
        <row r="713">
          <cell r="A713" t="str">
            <v>GBP_SONIA_EOD</v>
          </cell>
          <cell r="F713">
            <v>0.313983741158258</v>
          </cell>
        </row>
        <row r="714">
          <cell r="A714" t="str">
            <v>HKD_HIBOR_3M_EOD</v>
          </cell>
          <cell r="F714">
            <v>0.99897718502979604</v>
          </cell>
        </row>
        <row r="715">
          <cell r="A715" t="str">
            <v>HKD_HIBOR_3M_EOD</v>
          </cell>
          <cell r="F715">
            <v>0.99750988897667403</v>
          </cell>
        </row>
        <row r="716">
          <cell r="A716" t="str">
            <v>HKD_HIBOR_3M_EOD</v>
          </cell>
          <cell r="F716">
            <v>0.99562774337965099</v>
          </cell>
        </row>
        <row r="717">
          <cell r="A717" t="str">
            <v>HKD_HIBOR_3M_EOD</v>
          </cell>
          <cell r="F717">
            <v>0.99348254690954096</v>
          </cell>
        </row>
        <row r="718">
          <cell r="A718" t="str">
            <v>HKD_HIBOR_3M_EOD</v>
          </cell>
          <cell r="F718">
            <v>0.980473368655851</v>
          </cell>
        </row>
        <row r="719">
          <cell r="A719" t="str">
            <v>HKD_HIBOR_3M_EOD</v>
          </cell>
          <cell r="F719">
            <v>0.96275459994785695</v>
          </cell>
        </row>
        <row r="720">
          <cell r="A720" t="str">
            <v>HKD_HIBOR_3M_EOD</v>
          </cell>
          <cell r="F720">
            <v>0.94198164148534402</v>
          </cell>
        </row>
        <row r="721">
          <cell r="A721" t="str">
            <v>HKD_HIBOR_3M_EOD</v>
          </cell>
          <cell r="F721">
            <v>0.920216240918595</v>
          </cell>
        </row>
        <row r="722">
          <cell r="A722" t="str">
            <v>HKD_HIBOR_3M_EOD</v>
          </cell>
          <cell r="F722">
            <v>0.87332417828575803</v>
          </cell>
        </row>
        <row r="723">
          <cell r="A723" t="str">
            <v>HKD_HIBOR_3M_EOD</v>
          </cell>
          <cell r="F723">
            <v>0.80457025953940098</v>
          </cell>
        </row>
        <row r="724">
          <cell r="A724" t="str">
            <v>HKD_HIBOR_3M_EOD</v>
          </cell>
          <cell r="F724">
            <v>0.76364225179481304</v>
          </cell>
        </row>
        <row r="725">
          <cell r="A725" t="str">
            <v>HKD_HIBOR_3M_EOD</v>
          </cell>
          <cell r="F725">
            <v>0.70387528649692299</v>
          </cell>
        </row>
        <row r="726">
          <cell r="A726" t="str">
            <v>HKD_HIBOR_6M_EOD</v>
          </cell>
          <cell r="F726">
            <v>0.99718653899169596</v>
          </cell>
        </row>
        <row r="727">
          <cell r="A727" t="str">
            <v>HKD_HIBOR_6M_EOD</v>
          </cell>
          <cell r="F727">
            <v>0.99188318501325201</v>
          </cell>
        </row>
        <row r="728">
          <cell r="A728" t="str">
            <v>HKD_HIBOR_6M_EOD</v>
          </cell>
          <cell r="F728">
            <v>0.97774062382673699</v>
          </cell>
        </row>
        <row r="729">
          <cell r="A729" t="str">
            <v>HKD_HIBOR_6M_EOD</v>
          </cell>
          <cell r="F729">
            <v>0.95902065165524597</v>
          </cell>
        </row>
        <row r="730">
          <cell r="A730" t="str">
            <v>HKD_HIBOR_6M_EOD</v>
          </cell>
          <cell r="F730">
            <v>0.93750811456160699</v>
          </cell>
        </row>
        <row r="731">
          <cell r="A731" t="str">
            <v>HKD_HIBOR_6M_EOD</v>
          </cell>
          <cell r="F731">
            <v>0.91523087791534696</v>
          </cell>
        </row>
        <row r="732">
          <cell r="A732" t="str">
            <v>HKD_HIBOR_6M_EOD</v>
          </cell>
          <cell r="F732">
            <v>0.86733831736058298</v>
          </cell>
        </row>
        <row r="733">
          <cell r="A733" t="str">
            <v>HKD_HIBOR_6M_EOD</v>
          </cell>
          <cell r="F733">
            <v>0.79667350630093003</v>
          </cell>
        </row>
        <row r="734">
          <cell r="A734" t="str">
            <v>HKD_HIBOR_6M_EOD</v>
          </cell>
          <cell r="F734">
            <v>0.753629911857982</v>
          </cell>
        </row>
        <row r="735">
          <cell r="A735" t="str">
            <v>HKD_HIBOR_6M_EOD</v>
          </cell>
          <cell r="F735">
            <v>0.69239481708417205</v>
          </cell>
        </row>
        <row r="736">
          <cell r="A736" t="str">
            <v>HKD_HIBOR_EOD</v>
          </cell>
          <cell r="F736">
            <v>0.99999849835841903</v>
          </cell>
        </row>
        <row r="737">
          <cell r="A737" t="str">
            <v>HKD_HIBOR_EOD</v>
          </cell>
          <cell r="F737">
            <v>0.99997930152432601</v>
          </cell>
        </row>
        <row r="738">
          <cell r="A738" t="str">
            <v>HKD_HIBOR_EOD</v>
          </cell>
          <cell r="F738">
            <v>0.99977901459876595</v>
          </cell>
        </row>
        <row r="739">
          <cell r="A739" t="str">
            <v>HKD_HIBOR_EOD</v>
          </cell>
          <cell r="F739">
            <v>0.99943128252772295</v>
          </cell>
        </row>
        <row r="740">
          <cell r="A740" t="str">
            <v>HKD_HIBOR_EOD</v>
          </cell>
          <cell r="F740">
            <v>0.99897718502979604</v>
          </cell>
        </row>
        <row r="741">
          <cell r="A741" t="str">
            <v>HKD_HIBOR_EOD</v>
          </cell>
          <cell r="F741">
            <v>0.99718653899169596</v>
          </cell>
        </row>
        <row r="742">
          <cell r="A742" t="str">
            <v>HKD_HIBOR_EOD</v>
          </cell>
          <cell r="F742">
            <v>0.99337363921682498</v>
          </cell>
        </row>
        <row r="743">
          <cell r="A743" t="str">
            <v>HKD_HIBOR_EOD</v>
          </cell>
          <cell r="F743">
            <v>0.98047461412745496</v>
          </cell>
        </row>
        <row r="744">
          <cell r="A744" t="str">
            <v>HKD_HIBOR_EOD</v>
          </cell>
          <cell r="F744">
            <v>0.96275585230524696</v>
          </cell>
        </row>
        <row r="745">
          <cell r="A745" t="str">
            <v>HKD_HIBOR_EOD</v>
          </cell>
          <cell r="F745">
            <v>0.94197933355549202</v>
          </cell>
        </row>
        <row r="746">
          <cell r="A746" t="str">
            <v>HKD_HIBOR_EOD</v>
          </cell>
          <cell r="F746">
            <v>0.92021324210384003</v>
          </cell>
        </row>
        <row r="747">
          <cell r="A747" t="str">
            <v>HKD_HIBOR_EOD</v>
          </cell>
          <cell r="F747">
            <v>0.87332132643035598</v>
          </cell>
        </row>
        <row r="748">
          <cell r="A748" t="str">
            <v>HKD_HIBOR_EOD</v>
          </cell>
          <cell r="F748">
            <v>0.80456767040414501</v>
          </cell>
        </row>
        <row r="749">
          <cell r="A749" t="str">
            <v>HKD_HIBOR_EOD</v>
          </cell>
          <cell r="F749">
            <v>0.763639736092393</v>
          </cell>
        </row>
        <row r="750">
          <cell r="A750" t="str">
            <v>HKD_HIBOR_EOD</v>
          </cell>
          <cell r="F750">
            <v>0.70387980672534101</v>
          </cell>
        </row>
        <row r="751">
          <cell r="A751" t="str">
            <v>HUF_BUBOR_3M_EOD</v>
          </cell>
          <cell r="F751">
            <v>0.99649883531201899</v>
          </cell>
        </row>
        <row r="752">
          <cell r="A752" t="str">
            <v>HUF_BUBOR_3M_EOD</v>
          </cell>
          <cell r="F752">
            <v>0.99298477253366402</v>
          </cell>
        </row>
        <row r="753">
          <cell r="A753" t="str">
            <v>HUF_BUBOR_3M_EOD</v>
          </cell>
          <cell r="F753">
            <v>0.98935658209012101</v>
          </cell>
        </row>
        <row r="754">
          <cell r="A754" t="str">
            <v>HUF_BUBOR_3M_EOD</v>
          </cell>
          <cell r="F754">
            <v>0.98552235262598997</v>
          </cell>
        </row>
        <row r="755">
          <cell r="A755" t="str">
            <v>HUF_BUBOR_3M_EOD</v>
          </cell>
          <cell r="F755">
            <v>0.96873044170025902</v>
          </cell>
        </row>
        <row r="756">
          <cell r="A756" t="str">
            <v>HUF_BUBOR_3M_EOD</v>
          </cell>
          <cell r="F756">
            <v>0.948104235098989</v>
          </cell>
        </row>
        <row r="757">
          <cell r="A757" t="str">
            <v>HUF_BUBOR_3M_EOD</v>
          </cell>
          <cell r="F757">
            <v>0.92223923823612197</v>
          </cell>
        </row>
        <row r="758">
          <cell r="A758" t="str">
            <v>HUF_BUBOR_3M_EOD</v>
          </cell>
          <cell r="F758">
            <v>0.89163053702381301</v>
          </cell>
        </row>
        <row r="759">
          <cell r="A759" t="str">
            <v>HUF_BUBOR_3M_EOD</v>
          </cell>
          <cell r="F759">
            <v>0.85844435796388296</v>
          </cell>
        </row>
        <row r="760">
          <cell r="A760" t="str">
            <v>HUF_BUBOR_3M_EOD</v>
          </cell>
          <cell r="F760">
            <v>0.82268107417393399</v>
          </cell>
        </row>
        <row r="761">
          <cell r="A761" t="str">
            <v>HUF_BUBOR_3M_EOD</v>
          </cell>
          <cell r="F761">
            <v>0.78584652944437705</v>
          </cell>
        </row>
        <row r="762">
          <cell r="A762" t="str">
            <v>HUF_BUBOR_3M_EOD</v>
          </cell>
          <cell r="F762">
            <v>0.74995394882959299</v>
          </cell>
        </row>
        <row r="763">
          <cell r="A763" t="str">
            <v>HUF_BUBOR_3M_EOD</v>
          </cell>
          <cell r="F763">
            <v>0.71700314543460297</v>
          </cell>
        </row>
        <row r="764">
          <cell r="A764" t="str">
            <v>HUF_BUBOR_3M_EOD</v>
          </cell>
          <cell r="F764">
            <v>0.66402524691052001</v>
          </cell>
        </row>
        <row r="765">
          <cell r="A765" t="str">
            <v>HUF_BUBOR_3M_EOD</v>
          </cell>
          <cell r="F765">
            <v>0.593987386400745</v>
          </cell>
        </row>
        <row r="766">
          <cell r="A766" t="str">
            <v>HUF_BUBOR_3M_EOD</v>
          </cell>
          <cell r="F766">
            <v>0.496689699991744</v>
          </cell>
        </row>
        <row r="767">
          <cell r="A767" t="str">
            <v>HUF_BUBOR_6M_EOD</v>
          </cell>
          <cell r="F767">
            <v>0.99304620577194003</v>
          </cell>
        </row>
        <row r="768">
          <cell r="A768" t="str">
            <v>HUF_BUBOR_6M_EOD</v>
          </cell>
          <cell r="F768">
            <v>0.985569293831144</v>
          </cell>
        </row>
        <row r="769">
          <cell r="A769" t="str">
            <v>HUF_BUBOR_6M_EOD</v>
          </cell>
          <cell r="F769">
            <v>0.97786920005137401</v>
          </cell>
        </row>
        <row r="770">
          <cell r="A770" t="str">
            <v>HUF_BUBOR_6M_EOD</v>
          </cell>
          <cell r="F770">
            <v>0.96915576025855199</v>
          </cell>
        </row>
        <row r="771">
          <cell r="A771" t="str">
            <v>HUF_BUBOR_6M_EOD</v>
          </cell>
          <cell r="F771">
            <v>0.94878691698752804</v>
          </cell>
        </row>
        <row r="772">
          <cell r="A772" t="str">
            <v>HUF_BUBOR_6M_EOD</v>
          </cell>
          <cell r="F772">
            <v>0.92334939501763902</v>
          </cell>
        </row>
        <row r="773">
          <cell r="A773" t="str">
            <v>HUF_BUBOR_6M_EOD</v>
          </cell>
          <cell r="F773">
            <v>0.89315165422375697</v>
          </cell>
        </row>
        <row r="774">
          <cell r="A774" t="str">
            <v>HUF_BUBOR_6M_EOD</v>
          </cell>
          <cell r="F774">
            <v>0.86030335861290796</v>
          </cell>
        </row>
        <row r="775">
          <cell r="A775" t="str">
            <v>HUF_BUBOR_6M_EOD</v>
          </cell>
          <cell r="F775">
            <v>0.82481564843062805</v>
          </cell>
        </row>
        <row r="776">
          <cell r="A776" t="str">
            <v>HUF_BUBOR_6M_EOD</v>
          </cell>
          <cell r="F776">
            <v>0.788241550973661</v>
          </cell>
        </row>
        <row r="777">
          <cell r="A777" t="str">
            <v>HUF_BUBOR_6M_EOD</v>
          </cell>
          <cell r="F777">
            <v>0.75259470216021196</v>
          </cell>
        </row>
        <row r="778">
          <cell r="A778" t="str">
            <v>HUF_BUBOR_6M_EOD</v>
          </cell>
          <cell r="F778">
            <v>0.71980072530064398</v>
          </cell>
        </row>
        <row r="779">
          <cell r="A779" t="str">
            <v>HUF_BUBOR_6M_EOD</v>
          </cell>
          <cell r="F779">
            <v>0.66712413663627801</v>
          </cell>
        </row>
        <row r="780">
          <cell r="A780" t="str">
            <v>HUF_BUBOR_6M_EOD</v>
          </cell>
          <cell r="F780">
            <v>0.59732929379737199</v>
          </cell>
        </row>
        <row r="781">
          <cell r="A781" t="str">
            <v>HUF_BUBOR_6M_EOD</v>
          </cell>
          <cell r="F781">
            <v>0.50014714792836901</v>
          </cell>
        </row>
        <row r="782">
          <cell r="A782" t="str">
            <v>HUF_BUBOR_EOD</v>
          </cell>
          <cell r="F782">
            <v>0.99997277851880695</v>
          </cell>
        </row>
        <row r="783">
          <cell r="A783" t="str">
            <v>HUF_BUBOR_EOD</v>
          </cell>
          <cell r="F783">
            <v>0.99994555777862304</v>
          </cell>
        </row>
        <row r="784">
          <cell r="A784" t="str">
            <v>HUF_BUBOR_EOD</v>
          </cell>
          <cell r="F784">
            <v>0.99968702760565098</v>
          </cell>
        </row>
        <row r="785">
          <cell r="A785" t="str">
            <v>HUF_BUBOR_EOD</v>
          </cell>
          <cell r="F785">
            <v>0.99874706130505697</v>
          </cell>
        </row>
        <row r="786">
          <cell r="A786" t="str">
            <v>HUF_BUBOR_EOD</v>
          </cell>
          <cell r="F786">
            <v>0.997663402744844</v>
          </cell>
        </row>
        <row r="787">
          <cell r="A787" t="str">
            <v>HUF_BUBOR_EOD</v>
          </cell>
          <cell r="F787">
            <v>0.99651974434639201</v>
          </cell>
        </row>
        <row r="788">
          <cell r="A788" t="str">
            <v>HUF_BUBOR_EOD</v>
          </cell>
          <cell r="F788">
            <v>0.99300560783422298</v>
          </cell>
        </row>
        <row r="789">
          <cell r="A789" t="str">
            <v>HUF_BUBOR_EOD</v>
          </cell>
          <cell r="F789">
            <v>0.98937734126218302</v>
          </cell>
        </row>
        <row r="790">
          <cell r="A790" t="str">
            <v>HUF_BUBOR_EOD</v>
          </cell>
          <cell r="F790">
            <v>0.98554303134634003</v>
          </cell>
        </row>
        <row r="791">
          <cell r="A791" t="str">
            <v>HUF_BUBOR_EOD</v>
          </cell>
          <cell r="F791">
            <v>0.96917105864478803</v>
          </cell>
        </row>
        <row r="792">
          <cell r="A792" t="str">
            <v>HUF_BUBOR_EOD</v>
          </cell>
          <cell r="F792">
            <v>0.94879373649369403</v>
          </cell>
        </row>
        <row r="793">
          <cell r="A793" t="str">
            <v>HUF_BUBOR_EOD</v>
          </cell>
          <cell r="F793">
            <v>0.92335145895750803</v>
          </cell>
        </row>
        <row r="794">
          <cell r="A794" t="str">
            <v>HUF_BUBOR_EOD</v>
          </cell>
          <cell r="F794">
            <v>0.893153651471016</v>
          </cell>
        </row>
        <row r="795">
          <cell r="A795" t="str">
            <v>HUF_BUBOR_EOD</v>
          </cell>
          <cell r="F795">
            <v>0.86030528591006705</v>
          </cell>
        </row>
        <row r="796">
          <cell r="A796" t="str">
            <v>HUF_BUBOR_EOD</v>
          </cell>
          <cell r="F796">
            <v>0.82481748003722599</v>
          </cell>
        </row>
        <row r="797">
          <cell r="A797" t="str">
            <v>HUF_BUBOR_EOD</v>
          </cell>
          <cell r="F797">
            <v>0.78823545773090298</v>
          </cell>
        </row>
        <row r="798">
          <cell r="A798" t="str">
            <v>HUF_BUBOR_EOD</v>
          </cell>
          <cell r="F798">
            <v>0.75258822350107102</v>
          </cell>
        </row>
        <row r="799">
          <cell r="A799" t="str">
            <v>HUF_BUBOR_EOD</v>
          </cell>
          <cell r="F799">
            <v>0.71979452587376902</v>
          </cell>
        </row>
        <row r="800">
          <cell r="A800" t="str">
            <v>HUF_BUBOR_EOD</v>
          </cell>
          <cell r="F800">
            <v>0.66711839242264903</v>
          </cell>
        </row>
        <row r="801">
          <cell r="A801" t="str">
            <v>HUF_BUBOR_EOD</v>
          </cell>
          <cell r="F801">
            <v>0.59732280236257995</v>
          </cell>
        </row>
        <row r="802">
          <cell r="A802" t="str">
            <v>HUF_BUBOR_EOD</v>
          </cell>
          <cell r="F802">
            <v>0.50014086634739796</v>
          </cell>
        </row>
        <row r="803">
          <cell r="A803" t="str">
            <v>JPY_LIBOR_1M_EOD</v>
          </cell>
          <cell r="F803">
            <v>0.99994657554814903</v>
          </cell>
        </row>
        <row r="804">
          <cell r="A804" t="str">
            <v>JPY_LIBOR_1M_EOD</v>
          </cell>
          <cell r="F804">
            <v>0.99989554008190495</v>
          </cell>
        </row>
        <row r="805">
          <cell r="A805" t="str">
            <v>JPY_LIBOR_1M_EOD</v>
          </cell>
          <cell r="F805">
            <v>0.99985300226044904</v>
          </cell>
        </row>
        <row r="806">
          <cell r="A806" t="str">
            <v>JPY_LIBOR_1M_EOD</v>
          </cell>
          <cell r="F806">
            <v>0.99969027045971603</v>
          </cell>
        </row>
        <row r="807">
          <cell r="A807" t="str">
            <v>JPY_LIBOR_1M_EOD</v>
          </cell>
          <cell r="F807">
            <v>0.99952138934767798</v>
          </cell>
        </row>
        <row r="808">
          <cell r="A808" t="str">
            <v>JPY_LIBOR_1M_EOD</v>
          </cell>
          <cell r="F808">
            <v>0.99934558318432498</v>
          </cell>
        </row>
        <row r="809">
          <cell r="A809" t="str">
            <v>JPY_LIBOR_1M_EOD</v>
          </cell>
          <cell r="F809">
            <v>0.99875941060972295</v>
          </cell>
        </row>
        <row r="810">
          <cell r="A810" t="str">
            <v>JPY_LIBOR_1M_EOD</v>
          </cell>
          <cell r="F810">
            <v>0.997763461316025</v>
          </cell>
        </row>
        <row r="811">
          <cell r="A811" t="str">
            <v>JPY_LIBOR_1M_EOD</v>
          </cell>
          <cell r="F811">
            <v>0.99574434842621695</v>
          </cell>
        </row>
        <row r="812">
          <cell r="A812" t="str">
            <v>JPY_LIBOR_1M_EOD</v>
          </cell>
          <cell r="F812">
            <v>0.99230326171872596</v>
          </cell>
        </row>
        <row r="813">
          <cell r="A813" t="str">
            <v>JPY_LIBOR_1M_EOD</v>
          </cell>
          <cell r="F813">
            <v>0.98738961660754798</v>
          </cell>
        </row>
        <row r="814">
          <cell r="A814" t="str">
            <v>JPY_LIBOR_1M_EOD</v>
          </cell>
          <cell r="F814">
            <v>0.98093551664670997</v>
          </cell>
        </row>
        <row r="815">
          <cell r="A815" t="str">
            <v>JPY_LIBOR_1M_EOD</v>
          </cell>
          <cell r="F815">
            <v>0.97301921423857396</v>
          </cell>
        </row>
        <row r="816">
          <cell r="A816" t="str">
            <v>JPY_LIBOR_1M_EOD</v>
          </cell>
          <cell r="F816">
            <v>0.96386027228129501</v>
          </cell>
        </row>
        <row r="817">
          <cell r="A817" t="str">
            <v>JPY_LIBOR_1M_EOD</v>
          </cell>
          <cell r="F817">
            <v>0.95324401801083702</v>
          </cell>
        </row>
        <row r="818">
          <cell r="A818" t="str">
            <v>JPY_LIBOR_1M_EOD</v>
          </cell>
          <cell r="F818">
            <v>0.92765631444700403</v>
          </cell>
        </row>
        <row r="819">
          <cell r="A819" t="str">
            <v>JPY_LIBOR_1M_EOD</v>
          </cell>
          <cell r="F819">
            <v>0.87950153953616805</v>
          </cell>
        </row>
        <row r="820">
          <cell r="A820" t="str">
            <v>JPY_LIBOR_1M_EOD</v>
          </cell>
          <cell r="F820">
            <v>0.79275634194739997</v>
          </cell>
        </row>
        <row r="821">
          <cell r="A821" t="str">
            <v>JPY_LIBOR_1M_EOD</v>
          </cell>
          <cell r="F821">
            <v>0.71540834540631304</v>
          </cell>
        </row>
        <row r="822">
          <cell r="A822" t="str">
            <v>JPY_LIBOR_1M_EOD</v>
          </cell>
          <cell r="F822">
            <v>0.64871819882873605</v>
          </cell>
        </row>
        <row r="823">
          <cell r="A823" t="str">
            <v>JPY_LIBOR_1M_EOD</v>
          </cell>
          <cell r="F823">
            <v>0.52978829827517704</v>
          </cell>
        </row>
        <row r="824">
          <cell r="A824" t="str">
            <v>JPY_LIBOR_3M_EOD</v>
          </cell>
          <cell r="F824">
            <v>0.99976938678931404</v>
          </cell>
        </row>
        <row r="825">
          <cell r="A825" t="str">
            <v>JPY_LIBOR_3M_EOD</v>
          </cell>
          <cell r="F825">
            <v>0.99968836662644101</v>
          </cell>
        </row>
        <row r="826">
          <cell r="A826" t="str">
            <v>JPY_LIBOR_3M_EOD</v>
          </cell>
          <cell r="F826">
            <v>0.99961063367884995</v>
          </cell>
        </row>
        <row r="827">
          <cell r="A827" t="str">
            <v>JPY_LIBOR_3M_EOD</v>
          </cell>
          <cell r="F827">
            <v>0.99954199098636398</v>
          </cell>
        </row>
        <row r="828">
          <cell r="A828" t="str">
            <v>JPY_LIBOR_3M_EOD</v>
          </cell>
          <cell r="F828">
            <v>0.99945783196054805</v>
          </cell>
        </row>
        <row r="829">
          <cell r="A829" t="str">
            <v>JPY_LIBOR_3M_EOD</v>
          </cell>
          <cell r="F829">
            <v>0.99937505183069397</v>
          </cell>
        </row>
        <row r="830">
          <cell r="A830" t="str">
            <v>JPY_LIBOR_3M_EOD</v>
          </cell>
          <cell r="F830">
            <v>0.99931294707096097</v>
          </cell>
        </row>
        <row r="831">
          <cell r="A831" t="str">
            <v>JPY_LIBOR_3M_EOD</v>
          </cell>
          <cell r="F831">
            <v>0.99923202217740403</v>
          </cell>
        </row>
        <row r="832">
          <cell r="A832" t="str">
            <v>JPY_LIBOR_3M_EOD</v>
          </cell>
          <cell r="F832">
            <v>0.99915639766570796</v>
          </cell>
        </row>
        <row r="833">
          <cell r="A833" t="str">
            <v>JPY_LIBOR_3M_EOD</v>
          </cell>
          <cell r="F833">
            <v>0.99908794414020696</v>
          </cell>
        </row>
        <row r="834">
          <cell r="A834" t="str">
            <v>JPY_LIBOR_3M_EOD</v>
          </cell>
          <cell r="F834">
            <v>0.99823242682235003</v>
          </cell>
        </row>
        <row r="835">
          <cell r="A835" t="str">
            <v>JPY_LIBOR_3M_EOD</v>
          </cell>
          <cell r="F835">
            <v>0.99701313040691397</v>
          </cell>
        </row>
        <row r="836">
          <cell r="A836" t="str">
            <v>JPY_LIBOR_3M_EOD</v>
          </cell>
          <cell r="F836">
            <v>0.994746312988394</v>
          </cell>
        </row>
        <row r="837">
          <cell r="A837" t="str">
            <v>JPY_LIBOR_3M_EOD</v>
          </cell>
          <cell r="F837">
            <v>0.990934881366349</v>
          </cell>
        </row>
        <row r="838">
          <cell r="A838" t="str">
            <v>JPY_LIBOR_3M_EOD</v>
          </cell>
          <cell r="F838">
            <v>0.98575583441751902</v>
          </cell>
        </row>
        <row r="839">
          <cell r="A839" t="str">
            <v>JPY_LIBOR_3M_EOD</v>
          </cell>
          <cell r="F839">
            <v>0.97904133273024196</v>
          </cell>
        </row>
        <row r="840">
          <cell r="A840" t="str">
            <v>JPY_LIBOR_3M_EOD</v>
          </cell>
          <cell r="F840">
            <v>0.97097398693141901</v>
          </cell>
        </row>
        <row r="841">
          <cell r="A841" t="str">
            <v>JPY_LIBOR_3M_EOD</v>
          </cell>
          <cell r="F841">
            <v>0.96158218372620297</v>
          </cell>
        </row>
        <row r="842">
          <cell r="A842" t="str">
            <v>JPY_LIBOR_3M_EOD</v>
          </cell>
          <cell r="F842">
            <v>0.95074114376773</v>
          </cell>
        </row>
        <row r="843">
          <cell r="A843" t="str">
            <v>JPY_LIBOR_3M_EOD</v>
          </cell>
          <cell r="F843">
            <v>0.924477154679338</v>
          </cell>
        </row>
        <row r="844">
          <cell r="A844" t="str">
            <v>JPY_LIBOR_3M_EOD</v>
          </cell>
          <cell r="F844">
            <v>0.87623160134982903</v>
          </cell>
        </row>
        <row r="845">
          <cell r="A845" t="str">
            <v>JPY_LIBOR_3M_EOD</v>
          </cell>
          <cell r="F845">
            <v>0.78882767466116799</v>
          </cell>
        </row>
        <row r="846">
          <cell r="A846" t="str">
            <v>JPY_LIBOR_3M_EOD</v>
          </cell>
          <cell r="F846">
            <v>0.71124988273167</v>
          </cell>
        </row>
        <row r="847">
          <cell r="A847" t="str">
            <v>JPY_LIBOR_3M_EOD</v>
          </cell>
          <cell r="F847">
            <v>0.64449107004084405</v>
          </cell>
        </row>
        <row r="848">
          <cell r="A848" t="str">
            <v>JPY_LIBOR_3M_EOD</v>
          </cell>
          <cell r="F848">
            <v>0.52516302469785203</v>
          </cell>
        </row>
        <row r="849">
          <cell r="A849" t="str">
            <v>JPY_LIBOR_6M_EOD</v>
          </cell>
          <cell r="F849">
            <v>0.99933160462048698</v>
          </cell>
        </row>
        <row r="850">
          <cell r="A850" t="str">
            <v>JPY_LIBOR_6M_EOD</v>
          </cell>
          <cell r="F850">
            <v>0.99923196170325801</v>
          </cell>
        </row>
        <row r="851">
          <cell r="A851" t="str">
            <v>JPY_LIBOR_6M_EOD</v>
          </cell>
          <cell r="F851">
            <v>0.99913219350902505</v>
          </cell>
        </row>
        <row r="852">
          <cell r="A852" t="str">
            <v>JPY_LIBOR_6M_EOD</v>
          </cell>
          <cell r="F852">
            <v>0.99904609372383402</v>
          </cell>
        </row>
        <row r="853">
          <cell r="A853" t="str">
            <v>JPY_LIBOR_6M_EOD</v>
          </cell>
          <cell r="F853">
            <v>0.99894591146420397</v>
          </cell>
        </row>
        <row r="854">
          <cell r="A854" t="str">
            <v>JPY_LIBOR_6M_EOD</v>
          </cell>
          <cell r="F854">
            <v>0.99884660708388795</v>
          </cell>
        </row>
        <row r="855">
          <cell r="A855" t="str">
            <v>JPY_LIBOR_6M_EOD</v>
          </cell>
          <cell r="F855">
            <v>0.99873738188705097</v>
          </cell>
        </row>
        <row r="856">
          <cell r="A856" t="str">
            <v>JPY_LIBOR_6M_EOD</v>
          </cell>
          <cell r="F856">
            <v>0.99757967654364399</v>
          </cell>
        </row>
        <row r="857">
          <cell r="A857" t="str">
            <v>JPY_LIBOR_6M_EOD</v>
          </cell>
          <cell r="F857">
            <v>0.99596464132604201</v>
          </cell>
        </row>
        <row r="858">
          <cell r="A858" t="str">
            <v>JPY_LIBOR_6M_EOD</v>
          </cell>
          <cell r="F858">
            <v>0.99325417820558104</v>
          </cell>
        </row>
        <row r="859">
          <cell r="A859" t="str">
            <v>JPY_LIBOR_6M_EOD</v>
          </cell>
          <cell r="F859">
            <v>0.98907763766156997</v>
          </cell>
        </row>
        <row r="860">
          <cell r="A860" t="str">
            <v>JPY_LIBOR_6M_EOD</v>
          </cell>
          <cell r="F860">
            <v>0.98339282567692898</v>
          </cell>
        </row>
        <row r="861">
          <cell r="A861" t="str">
            <v>JPY_LIBOR_6M_EOD</v>
          </cell>
          <cell r="F861">
            <v>0.976131746558491</v>
          </cell>
        </row>
        <row r="862">
          <cell r="A862" t="str">
            <v>JPY_LIBOR_6M_EOD</v>
          </cell>
          <cell r="F862">
            <v>0.96748653593860201</v>
          </cell>
        </row>
        <row r="863">
          <cell r="A863" t="str">
            <v>JPY_LIBOR_6M_EOD</v>
          </cell>
          <cell r="F863">
            <v>0.95748263554575597</v>
          </cell>
        </row>
        <row r="864">
          <cell r="A864" t="str">
            <v>JPY_LIBOR_6M_EOD</v>
          </cell>
          <cell r="F864">
            <v>0.94600084093442205</v>
          </cell>
        </row>
        <row r="865">
          <cell r="A865" t="str">
            <v>JPY_LIBOR_6M_EOD</v>
          </cell>
          <cell r="F865">
            <v>0.91907433590413901</v>
          </cell>
        </row>
        <row r="866">
          <cell r="A866" t="str">
            <v>JPY_LIBOR_6M_EOD</v>
          </cell>
          <cell r="F866">
            <v>0.87005453738650895</v>
          </cell>
        </row>
        <row r="867">
          <cell r="A867" t="str">
            <v>JPY_LIBOR_6M_EOD</v>
          </cell>
          <cell r="F867">
            <v>0.78230413264200205</v>
          </cell>
        </row>
        <row r="868">
          <cell r="A868" t="str">
            <v>JPY_LIBOR_6M_EOD</v>
          </cell>
          <cell r="F868">
            <v>0.70467004530793798</v>
          </cell>
        </row>
        <row r="869">
          <cell r="A869" t="str">
            <v>JPY_LIBOR_6M_EOD</v>
          </cell>
          <cell r="F869">
            <v>0.63820057786450701</v>
          </cell>
        </row>
        <row r="870">
          <cell r="A870" t="str">
            <v>JPY_LIBOR_6M_EOD</v>
          </cell>
          <cell r="F870">
            <v>0.51823392794396705</v>
          </cell>
        </row>
        <row r="871">
          <cell r="A871" t="str">
            <v>JPY_LIBOR_EOD</v>
          </cell>
          <cell r="F871">
            <v>0.99999896833439705</v>
          </cell>
        </row>
        <row r="872">
          <cell r="A872" t="str">
            <v>JPY_LIBOR_EOD</v>
          </cell>
          <cell r="F872">
            <v>0.99999793666985903</v>
          </cell>
        </row>
        <row r="873">
          <cell r="A873" t="str">
            <v>JPY_LIBOR_EOD</v>
          </cell>
          <cell r="F873">
            <v>0.99998918676447501</v>
          </cell>
        </row>
        <row r="874">
          <cell r="A874" t="str">
            <v>JPY_LIBOR_EOD</v>
          </cell>
          <cell r="F874">
            <v>0.99994765485756099</v>
          </cell>
        </row>
        <row r="875">
          <cell r="A875" t="str">
            <v>JPY_LIBOR_EOD</v>
          </cell>
          <cell r="F875">
            <v>0.99986140059630102</v>
          </cell>
        </row>
        <row r="876">
          <cell r="A876" t="str">
            <v>JPY_LIBOR_EOD</v>
          </cell>
          <cell r="F876">
            <v>0.99977228278905805</v>
          </cell>
        </row>
        <row r="877">
          <cell r="A877" t="str">
            <v>JPY_LIBOR_EOD</v>
          </cell>
          <cell r="F877">
            <v>0.99933680541949799</v>
          </cell>
        </row>
        <row r="878">
          <cell r="A878" t="str">
            <v>JPY_LIBOR_EOD</v>
          </cell>
          <cell r="F878">
            <v>0.998748005964048</v>
          </cell>
        </row>
        <row r="879">
          <cell r="A879" t="str">
            <v>JPY_LIBOR_EOD</v>
          </cell>
          <cell r="F879">
            <v>0.99758502393694704</v>
          </cell>
        </row>
        <row r="880">
          <cell r="A880" t="str">
            <v>JPY_LIBOR_EOD</v>
          </cell>
          <cell r="F880">
            <v>0.99596817601298804</v>
          </cell>
        </row>
        <row r="881">
          <cell r="A881" t="str">
            <v>JPY_LIBOR_EOD</v>
          </cell>
          <cell r="F881">
            <v>0.99325463059232999</v>
          </cell>
        </row>
        <row r="882">
          <cell r="A882" t="str">
            <v>JPY_LIBOR_EOD</v>
          </cell>
          <cell r="F882">
            <v>0.98907260540389697</v>
          </cell>
        </row>
        <row r="883">
          <cell r="A883" t="str">
            <v>JPY_LIBOR_EOD</v>
          </cell>
          <cell r="F883">
            <v>0.98337721354478702</v>
          </cell>
        </row>
        <row r="884">
          <cell r="A884" t="str">
            <v>JPY_LIBOR_EOD</v>
          </cell>
          <cell r="F884">
            <v>0.976098480454474</v>
          </cell>
        </row>
        <row r="885">
          <cell r="A885" t="str">
            <v>JPY_LIBOR_EOD</v>
          </cell>
          <cell r="F885">
            <v>0.96742381100401698</v>
          </cell>
        </row>
        <row r="886">
          <cell r="A886" t="str">
            <v>JPY_LIBOR_EOD</v>
          </cell>
          <cell r="F886">
            <v>0.95738202311464704</v>
          </cell>
        </row>
        <row r="887">
          <cell r="A887" t="str">
            <v>JPY_LIBOR_EOD</v>
          </cell>
          <cell r="F887">
            <v>0.94585040783599506</v>
          </cell>
        </row>
        <row r="888">
          <cell r="A888" t="str">
            <v>JPY_LIBOR_EOD</v>
          </cell>
          <cell r="F888">
            <v>0.91878142926332196</v>
          </cell>
        </row>
        <row r="889">
          <cell r="A889" t="str">
            <v>JPY_LIBOR_EOD</v>
          </cell>
          <cell r="F889">
            <v>0.86945464594189303</v>
          </cell>
        </row>
        <row r="890">
          <cell r="A890" t="str">
            <v>JPY_LIBOR_EOD</v>
          </cell>
          <cell r="F890">
            <v>0.78113347457620297</v>
          </cell>
        </row>
        <row r="891">
          <cell r="A891" t="str">
            <v>JPY_LIBOR_EOD</v>
          </cell>
          <cell r="F891">
            <v>0.70305115278355401</v>
          </cell>
        </row>
        <row r="892">
          <cell r="A892" t="str">
            <v>JPY_LIBOR_EOD</v>
          </cell>
          <cell r="F892">
            <v>0.63627277971227303</v>
          </cell>
        </row>
        <row r="893">
          <cell r="A893" t="str">
            <v>JPY_LIBOR_EOD</v>
          </cell>
          <cell r="F893">
            <v>0.515656283012212</v>
          </cell>
        </row>
        <row r="894">
          <cell r="A894" t="str">
            <v>JPY_TONA_EOD</v>
          </cell>
          <cell r="F894">
            <v>0.99999791781255498</v>
          </cell>
        </row>
        <row r="895">
          <cell r="A895" t="str">
            <v>JPY_TONA_EOD</v>
          </cell>
          <cell r="F895">
            <v>0.99999583562944505</v>
          </cell>
        </row>
        <row r="896">
          <cell r="A896" t="str">
            <v>JPY_TONA_EOD</v>
          </cell>
          <cell r="F896">
            <v>0.99998217264014799</v>
          </cell>
        </row>
        <row r="897">
          <cell r="A897" t="str">
            <v>JPY_TONA_EOD</v>
          </cell>
          <cell r="F897">
            <v>0.99996782406501905</v>
          </cell>
        </row>
        <row r="898">
          <cell r="A898" t="str">
            <v>JPY_TONA_EOD</v>
          </cell>
          <cell r="F898">
            <v>0.99995404093394002</v>
          </cell>
        </row>
        <row r="899">
          <cell r="A899" t="str">
            <v>JPY_TONA_EOD</v>
          </cell>
          <cell r="F899">
            <v>0.99993078807702795</v>
          </cell>
        </row>
        <row r="900">
          <cell r="A900" t="str">
            <v>JPY_TONA_EOD</v>
          </cell>
          <cell r="F900">
            <v>0.99987270062151901</v>
          </cell>
        </row>
        <row r="901">
          <cell r="A901" t="str">
            <v>JPY_TONA_EOD</v>
          </cell>
          <cell r="F901">
            <v>0.99981823093205302</v>
          </cell>
        </row>
        <row r="902">
          <cell r="A902" t="str">
            <v>JPY_TONA_EOD</v>
          </cell>
          <cell r="F902">
            <v>0.99976118409230996</v>
          </cell>
        </row>
        <row r="903">
          <cell r="A903" t="str">
            <v>JPY_TONA_EOD</v>
          </cell>
          <cell r="F903">
            <v>0.99970886604967801</v>
          </cell>
        </row>
        <row r="904">
          <cell r="A904" t="str">
            <v>JPY_TONA_EOD</v>
          </cell>
          <cell r="F904">
            <v>0.99965937493297796</v>
          </cell>
        </row>
        <row r="905">
          <cell r="A905" t="str">
            <v>JPY_TONA_EOD</v>
          </cell>
          <cell r="F905">
            <v>0.99959731124387696</v>
          </cell>
        </row>
        <row r="906">
          <cell r="A906" t="str">
            <v>JPY_TONA_EOD</v>
          </cell>
          <cell r="F906">
            <v>0.99954858720332795</v>
          </cell>
        </row>
        <row r="907">
          <cell r="A907" t="str">
            <v>JPY_TONA_EOD</v>
          </cell>
          <cell r="F907">
            <v>0.99950344701507099</v>
          </cell>
        </row>
        <row r="908">
          <cell r="A908" t="str">
            <v>JPY_TONA_EOD</v>
          </cell>
          <cell r="F908">
            <v>0.99945921317659803</v>
          </cell>
        </row>
        <row r="909">
          <cell r="A909" t="str">
            <v>JPY_TONA_EOD</v>
          </cell>
          <cell r="F909">
            <v>0.99939503492933701</v>
          </cell>
        </row>
        <row r="910">
          <cell r="A910" t="str">
            <v>JPY_TONA_EOD</v>
          </cell>
          <cell r="F910">
            <v>0.99936232205663</v>
          </cell>
        </row>
        <row r="911">
          <cell r="A911" t="str">
            <v>JPY_TONA_EOD</v>
          </cell>
          <cell r="F911">
            <v>0.99914059320446202</v>
          </cell>
        </row>
        <row r="912">
          <cell r="A912" t="str">
            <v>JPY_TONA_EOD</v>
          </cell>
          <cell r="F912">
            <v>0.99892670364328195</v>
          </cell>
        </row>
        <row r="913">
          <cell r="A913" t="str">
            <v>JPY_TONA_EOD</v>
          </cell>
          <cell r="F913">
            <v>0.99824665675145297</v>
          </cell>
        </row>
        <row r="914">
          <cell r="A914" t="str">
            <v>JPY_TONA_EOD</v>
          </cell>
          <cell r="F914">
            <v>0.99664444555876697</v>
          </cell>
        </row>
        <row r="915">
          <cell r="A915" t="str">
            <v>JPY_TONA_EOD</v>
          </cell>
          <cell r="F915">
            <v>0.99373628822014604</v>
          </cell>
        </row>
        <row r="916">
          <cell r="A916" t="str">
            <v>JPY_TONA_EOD</v>
          </cell>
          <cell r="F916">
            <v>0.98945324122758405</v>
          </cell>
        </row>
        <row r="917">
          <cell r="A917" t="str">
            <v>JPY_TONA_EOD</v>
          </cell>
          <cell r="F917">
            <v>0.98372303818200402</v>
          </cell>
        </row>
        <row r="918">
          <cell r="A918" t="str">
            <v>JPY_TONA_EOD</v>
          </cell>
          <cell r="F918">
            <v>0.97677831406431903</v>
          </cell>
        </row>
        <row r="919">
          <cell r="A919" t="str">
            <v>JPY_TONA_EOD</v>
          </cell>
          <cell r="F919">
            <v>0.96850858976713305</v>
          </cell>
        </row>
        <row r="920">
          <cell r="A920" t="str">
            <v>JPY_TONA_EOD</v>
          </cell>
          <cell r="F920">
            <v>0.95879051403389703</v>
          </cell>
        </row>
        <row r="921">
          <cell r="A921" t="str">
            <v>JPY_TONA_EOD</v>
          </cell>
          <cell r="F921">
            <v>0.93516421168111097</v>
          </cell>
        </row>
        <row r="922">
          <cell r="A922" t="str">
            <v>JPY_TONA_EOD</v>
          </cell>
          <cell r="F922">
            <v>0.88914664969203405</v>
          </cell>
        </row>
        <row r="923">
          <cell r="A923" t="str">
            <v>JPY_TONA_EOD</v>
          </cell>
          <cell r="F923">
            <v>0.805292078394929</v>
          </cell>
        </row>
        <row r="924">
          <cell r="A924" t="str">
            <v>JPY_TONA_EOD</v>
          </cell>
          <cell r="F924">
            <v>0.73064846481163204</v>
          </cell>
        </row>
        <row r="925">
          <cell r="A925" t="str">
            <v>JPY_TONA_EOD</v>
          </cell>
          <cell r="F925">
            <v>0.66661129469122904</v>
          </cell>
        </row>
        <row r="926">
          <cell r="A926" t="str">
            <v>JPY_TONA_EOD</v>
          </cell>
          <cell r="F926">
            <v>0.55073460352088799</v>
          </cell>
        </row>
        <row r="927">
          <cell r="A927" t="str">
            <v>MXN_TIIE_EOD</v>
          </cell>
          <cell r="F927">
            <v>0.99174626913011699</v>
          </cell>
        </row>
        <row r="928">
          <cell r="A928" t="str">
            <v>MXN_TIIE_EOD</v>
          </cell>
          <cell r="F928">
            <v>0.98280691438491496</v>
          </cell>
        </row>
        <row r="929">
          <cell r="A929" t="str">
            <v>MXN_TIIE_EOD</v>
          </cell>
          <cell r="F929">
            <v>0.97334302875807699</v>
          </cell>
        </row>
        <row r="930">
          <cell r="A930" t="str">
            <v>MXN_TIIE_EOD</v>
          </cell>
          <cell r="F930">
            <v>0.96010410036272298</v>
          </cell>
        </row>
        <row r="931">
          <cell r="A931" t="str">
            <v>MXN_TIIE_EOD</v>
          </cell>
          <cell r="F931">
            <v>0.91340889694814698</v>
          </cell>
        </row>
        <row r="932">
          <cell r="A932" t="str">
            <v>MXN_TIIE_EOD</v>
          </cell>
          <cell r="F932">
            <v>0.86234259063638297</v>
          </cell>
        </row>
        <row r="933">
          <cell r="A933" t="str">
            <v>MXN_TIIE_EOD</v>
          </cell>
          <cell r="F933">
            <v>0.80809546037872004</v>
          </cell>
        </row>
        <row r="934">
          <cell r="A934" t="str">
            <v>MXN_TIIE_EOD</v>
          </cell>
          <cell r="F934">
            <v>0.75387120090828397</v>
          </cell>
        </row>
        <row r="935">
          <cell r="A935" t="str">
            <v>MXN_TIIE_EOD</v>
          </cell>
          <cell r="F935">
            <v>0.64969237509080302</v>
          </cell>
        </row>
        <row r="936">
          <cell r="A936" t="str">
            <v>MXN_TIIE_EOD</v>
          </cell>
          <cell r="F936">
            <v>0.51638432754921704</v>
          </cell>
        </row>
        <row r="937">
          <cell r="A937" t="str">
            <v>MXN_TIIE_EOD</v>
          </cell>
          <cell r="F937">
            <v>0.34367303187515003</v>
          </cell>
        </row>
        <row r="938">
          <cell r="A938" t="str">
            <v>MXN_TIIE_EOD</v>
          </cell>
          <cell r="F938">
            <v>0.22654186184446701</v>
          </cell>
        </row>
        <row r="939">
          <cell r="A939" t="str">
            <v>MXN_TIIE_EOD</v>
          </cell>
          <cell r="F939">
            <v>9.9801275425556002E-2</v>
          </cell>
        </row>
        <row r="940">
          <cell r="A940" t="str">
            <v>MXN_USDMXNBASIS_EOD</v>
          </cell>
          <cell r="F940">
            <v>0.99977745405432705</v>
          </cell>
        </row>
        <row r="941">
          <cell r="A941" t="str">
            <v>MXN_USDMXNBASIS_EOD</v>
          </cell>
          <cell r="F941">
            <v>0.99733243871354105</v>
          </cell>
        </row>
        <row r="942">
          <cell r="A942" t="str">
            <v>MXN_USDMXNBASIS_EOD</v>
          </cell>
          <cell r="F942">
            <v>0.99496598188943197</v>
          </cell>
        </row>
        <row r="943">
          <cell r="A943" t="str">
            <v>MXN_USDMXNBASIS_EOD</v>
          </cell>
          <cell r="F943">
            <v>0.99253845055326495</v>
          </cell>
        </row>
        <row r="944">
          <cell r="A944" t="str">
            <v>MXN_USDMXNBASIS_EOD</v>
          </cell>
          <cell r="F944">
            <v>0.984565919337684</v>
          </cell>
        </row>
        <row r="945">
          <cell r="A945" t="str">
            <v>MXN_USDMXNBASIS_EOD</v>
          </cell>
          <cell r="F945">
            <v>0.97580545688769604</v>
          </cell>
        </row>
        <row r="946">
          <cell r="A946" t="str">
            <v>MXN_USDMXNBASIS_EOD</v>
          </cell>
          <cell r="F946">
            <v>0.966260329385213</v>
          </cell>
        </row>
        <row r="947">
          <cell r="A947" t="str">
            <v>MXN_USDMXNBASIS_EOD</v>
          </cell>
          <cell r="F947">
            <v>0.94706727446404404</v>
          </cell>
        </row>
        <row r="948">
          <cell r="A948" t="str">
            <v>MXN_USDMXNBASIS_EOD</v>
          </cell>
          <cell r="F948">
            <v>0.92681931118002903</v>
          </cell>
        </row>
        <row r="949">
          <cell r="A949" t="str">
            <v>MXN_USDMXNBASIS_EOD</v>
          </cell>
          <cell r="F949">
            <v>0.884578149089572</v>
          </cell>
        </row>
        <row r="950">
          <cell r="A950" t="str">
            <v>MXN_USDMXNBASIS_EOD</v>
          </cell>
          <cell r="F950">
            <v>0.84028736538251303</v>
          </cell>
        </row>
        <row r="951">
          <cell r="A951" t="str">
            <v>MXN_USDMXNBASIS_EOD</v>
          </cell>
          <cell r="F951">
            <v>0.79700924162005304</v>
          </cell>
        </row>
        <row r="952">
          <cell r="A952" t="str">
            <v>MXN_USDMXNBASIS_EOD</v>
          </cell>
          <cell r="F952">
            <v>0.70861536390267599</v>
          </cell>
        </row>
        <row r="953">
          <cell r="A953" t="str">
            <v>MXN_USDMXNBASIS_EOD</v>
          </cell>
          <cell r="F953">
            <v>0.58994680501680796</v>
          </cell>
        </row>
        <row r="954">
          <cell r="A954" t="str">
            <v>MXN_USDMXNBASIS_EOD</v>
          </cell>
          <cell r="F954">
            <v>0.426179996562774</v>
          </cell>
        </row>
        <row r="955">
          <cell r="A955" t="str">
            <v>MXN_USDMXNBASIS_EOD</v>
          </cell>
          <cell r="F955">
            <v>0.31067691449127</v>
          </cell>
        </row>
        <row r="956">
          <cell r="A956" t="str">
            <v>MXN_USDMXNBASIS_EOD</v>
          </cell>
          <cell r="F956">
            <v>0.17590534921373499</v>
          </cell>
        </row>
        <row r="957">
          <cell r="A957" t="str">
            <v>NOK_NIBOR_3M_EOD</v>
          </cell>
          <cell r="F957">
            <v>0.99708923905193803</v>
          </cell>
        </row>
        <row r="958">
          <cell r="A958" t="str">
            <v>NOK_NIBOR_3M_EOD</v>
          </cell>
          <cell r="F958">
            <v>0.99672071868044998</v>
          </cell>
        </row>
        <row r="959">
          <cell r="A959" t="str">
            <v>NOK_NIBOR_3M_EOD</v>
          </cell>
          <cell r="F959">
            <v>0.99435801355603204</v>
          </cell>
        </row>
        <row r="960">
          <cell r="A960" t="str">
            <v>NOK_NIBOR_3M_EOD</v>
          </cell>
          <cell r="F960">
            <v>0.99220107865573204</v>
          </cell>
        </row>
        <row r="961">
          <cell r="A961" t="str">
            <v>NOK_NIBOR_3M_EOD</v>
          </cell>
          <cell r="F961">
            <v>0.98991053566633003</v>
          </cell>
        </row>
        <row r="962">
          <cell r="A962" t="str">
            <v>NOK_NIBOR_3M_EOD</v>
          </cell>
          <cell r="F962">
            <v>0.98104614459463102</v>
          </cell>
        </row>
        <row r="963">
          <cell r="A963" t="str">
            <v>NOK_NIBOR_3M_EOD</v>
          </cell>
          <cell r="F963">
            <v>0.96890515367520202</v>
          </cell>
        </row>
        <row r="964">
          <cell r="A964" t="str">
            <v>NOK_NIBOR_3M_EOD</v>
          </cell>
          <cell r="F964">
            <v>0.95287876557009799</v>
          </cell>
        </row>
        <row r="965">
          <cell r="A965" t="str">
            <v>NOK_NIBOR_3M_EOD</v>
          </cell>
          <cell r="F965">
            <v>0.93338173120724299</v>
          </cell>
        </row>
        <row r="966">
          <cell r="A966" t="str">
            <v>NOK_NIBOR_3M_EOD</v>
          </cell>
          <cell r="F966">
            <v>0.91105248373502901</v>
          </cell>
        </row>
        <row r="967">
          <cell r="A967" t="str">
            <v>NOK_NIBOR_3M_EOD</v>
          </cell>
          <cell r="F967">
            <v>0.88733773951182904</v>
          </cell>
        </row>
        <row r="968">
          <cell r="A968" t="str">
            <v>NOK_NIBOR_3M_EOD</v>
          </cell>
          <cell r="F968">
            <v>0.86303356448589696</v>
          </cell>
        </row>
        <row r="969">
          <cell r="A969" t="str">
            <v>NOK_NIBOR_3M_EOD</v>
          </cell>
          <cell r="F969">
            <v>0.83846601543108501</v>
          </cell>
        </row>
        <row r="970">
          <cell r="A970" t="str">
            <v>NOK_NIBOR_3M_EOD</v>
          </cell>
          <cell r="F970">
            <v>0.814446551494034</v>
          </cell>
        </row>
        <row r="971">
          <cell r="A971" t="str">
            <v>NOK_NIBOR_3M_EOD</v>
          </cell>
          <cell r="F971">
            <v>0.77134263352527099</v>
          </cell>
        </row>
        <row r="972">
          <cell r="A972" t="str">
            <v>NOK_NIBOR_3M_EOD</v>
          </cell>
          <cell r="F972">
            <v>0.71541683268463097</v>
          </cell>
        </row>
        <row r="973">
          <cell r="A973" t="str">
            <v>NOK_NIBOR_3M_EOD</v>
          </cell>
          <cell r="F973">
            <v>0.62986693678042904</v>
          </cell>
        </row>
        <row r="974">
          <cell r="A974" t="str">
            <v>NOK_NIBOR_3M_EOD</v>
          </cell>
          <cell r="F974">
            <v>0.562688781755595</v>
          </cell>
        </row>
        <row r="975">
          <cell r="A975" t="str">
            <v>NOK_NIBOR_3M_EOD</v>
          </cell>
          <cell r="F975">
            <v>0.50254276639812201</v>
          </cell>
        </row>
        <row r="976">
          <cell r="A976" t="str">
            <v>NOK_NIBOR_6M_EOD</v>
          </cell>
          <cell r="F976">
            <v>0.99420690467409001</v>
          </cell>
        </row>
        <row r="977">
          <cell r="A977" t="str">
            <v>NOK_NIBOR_6M_EOD</v>
          </cell>
          <cell r="F977">
            <v>0.98938850816024804</v>
          </cell>
        </row>
        <row r="978">
          <cell r="A978" t="str">
            <v>NOK_NIBOR_6M_EOD</v>
          </cell>
          <cell r="F978">
            <v>0.97959778909153095</v>
          </cell>
        </row>
        <row r="979">
          <cell r="A979" t="str">
            <v>NOK_NIBOR_6M_EOD</v>
          </cell>
          <cell r="F979">
            <v>0.96691419198601203</v>
          </cell>
        </row>
        <row r="980">
          <cell r="A980" t="str">
            <v>NOK_NIBOR_6M_EOD</v>
          </cell>
          <cell r="F980">
            <v>0.95035604081424696</v>
          </cell>
        </row>
        <row r="981">
          <cell r="A981" t="str">
            <v>NOK_NIBOR_6M_EOD</v>
          </cell>
          <cell r="F981">
            <v>0.93029548284531405</v>
          </cell>
        </row>
        <row r="982">
          <cell r="A982" t="str">
            <v>NOK_NIBOR_6M_EOD</v>
          </cell>
          <cell r="F982">
            <v>0.90744137673179504</v>
          </cell>
        </row>
        <row r="983">
          <cell r="A983" t="str">
            <v>NOK_NIBOR_6M_EOD</v>
          </cell>
          <cell r="F983">
            <v>0.883235381566711</v>
          </cell>
        </row>
        <row r="984">
          <cell r="A984" t="str">
            <v>NOK_NIBOR_6M_EOD</v>
          </cell>
          <cell r="F984">
            <v>0.85848155912792301</v>
          </cell>
        </row>
        <row r="985">
          <cell r="A985" t="str">
            <v>NOK_NIBOR_6M_EOD</v>
          </cell>
          <cell r="F985">
            <v>0.83353788121035399</v>
          </cell>
        </row>
        <row r="986">
          <cell r="A986" t="str">
            <v>NOK_NIBOR_6M_EOD</v>
          </cell>
          <cell r="F986">
            <v>0.80917590978451104</v>
          </cell>
        </row>
        <row r="987">
          <cell r="A987" t="str">
            <v>NOK_NIBOR_6M_EOD</v>
          </cell>
          <cell r="F987">
            <v>0.76546072169323598</v>
          </cell>
        </row>
        <row r="988">
          <cell r="A988" t="str">
            <v>NOK_NIBOR_6M_EOD</v>
          </cell>
          <cell r="F988">
            <v>0.70872418054733299</v>
          </cell>
        </row>
        <row r="989">
          <cell r="A989" t="str">
            <v>NOK_NIBOR_6M_EOD</v>
          </cell>
          <cell r="F989">
            <v>0.62223900270889199</v>
          </cell>
        </row>
        <row r="990">
          <cell r="A990" t="str">
            <v>NOK_NIBOR_6M_EOD</v>
          </cell>
          <cell r="F990">
            <v>0.55425404979896897</v>
          </cell>
        </row>
        <row r="991">
          <cell r="A991" t="str">
            <v>NOK_NIBOR_6M_EOD</v>
          </cell>
          <cell r="F991">
            <v>0.49360084308348301</v>
          </cell>
        </row>
        <row r="992">
          <cell r="A992" t="str">
            <v>NOK_NIBOR_EOD</v>
          </cell>
          <cell r="F992">
            <v>0.99997222299380595</v>
          </cell>
        </row>
        <row r="993">
          <cell r="A993" t="str">
            <v>NOK_NIBOR_EOD</v>
          </cell>
          <cell r="F993">
            <v>0.99994444675917404</v>
          </cell>
        </row>
        <row r="994">
          <cell r="A994" t="str">
            <v>NOK_NIBOR_EOD</v>
          </cell>
          <cell r="F994">
            <v>0.99972478500780104</v>
          </cell>
        </row>
        <row r="995">
          <cell r="A995" t="str">
            <v>NOK_NIBOR_EOD</v>
          </cell>
          <cell r="F995">
            <v>0.99671854265563697</v>
          </cell>
        </row>
        <row r="996">
          <cell r="A996" t="str">
            <v>NOK_NIBOR_EOD</v>
          </cell>
          <cell r="F996">
            <v>0.99435584268943999</v>
          </cell>
        </row>
        <row r="997">
          <cell r="A997" t="str">
            <v>NOK_NIBOR_EOD</v>
          </cell>
          <cell r="F997">
            <v>0.99219891249812597</v>
          </cell>
        </row>
        <row r="998">
          <cell r="A998" t="str">
            <v>NOK_NIBOR_EOD</v>
          </cell>
          <cell r="F998">
            <v>0.98990837450940194</v>
          </cell>
        </row>
        <row r="999">
          <cell r="A999" t="str">
            <v>NOK_NIBOR_EOD</v>
          </cell>
          <cell r="F999">
            <v>0.97959306729374795</v>
          </cell>
        </row>
        <row r="1000">
          <cell r="A1000" t="str">
            <v>NOK_NIBOR_EOD</v>
          </cell>
          <cell r="F1000">
            <v>0.96690444927599595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2:J102"/>
  <sheetViews>
    <sheetView showGridLines="0" tabSelected="1" workbookViewId="0">
      <selection activeCell="D5" sqref="D5"/>
    </sheetView>
  </sheetViews>
  <sheetFormatPr defaultRowHeight="11.25" x14ac:dyDescent="0.2"/>
  <cols>
    <col min="1" max="2" width="2.7109375" style="46" customWidth="1"/>
    <col min="3" max="3" width="20.28515625" style="46" bestFit="1" customWidth="1"/>
    <col min="4" max="4" width="30.7109375" style="46" customWidth="1"/>
    <col min="5" max="7" width="2.7109375" style="46" customWidth="1"/>
    <col min="8" max="8" width="20.28515625" style="46" bestFit="1" customWidth="1"/>
    <col min="9" max="9" width="30.7109375" style="46" customWidth="1"/>
    <col min="10" max="10" width="2.7109375" style="46" customWidth="1"/>
    <col min="11" max="13" width="9.140625" style="46"/>
    <col min="14" max="14" width="9.7109375" style="46" bestFit="1" customWidth="1"/>
    <col min="15" max="16384" width="9.140625" style="46"/>
  </cols>
  <sheetData>
    <row r="2" spans="1:10" x14ac:dyDescent="0.2">
      <c r="B2" s="82"/>
      <c r="C2" s="83"/>
      <c r="D2" s="83"/>
      <c r="E2" s="84"/>
      <c r="G2" s="82"/>
      <c r="H2" s="83"/>
      <c r="I2" s="83"/>
      <c r="J2" s="84"/>
    </row>
    <row r="3" spans="1:10" ht="11.25" customHeight="1" x14ac:dyDescent="0.2">
      <c r="B3" s="87"/>
      <c r="C3" s="13" t="s">
        <v>21</v>
      </c>
      <c r="D3" s="81" t="s">
        <v>120</v>
      </c>
      <c r="E3" s="85"/>
      <c r="G3" s="87"/>
      <c r="H3" s="13" t="s">
        <v>35</v>
      </c>
      <c r="I3" s="159" t="s">
        <v>121</v>
      </c>
      <c r="J3" s="85"/>
    </row>
    <row r="4" spans="1:10" ht="11.25" customHeight="1" x14ac:dyDescent="0.2">
      <c r="B4" s="87"/>
      <c r="C4" s="14" t="s">
        <v>19</v>
      </c>
      <c r="D4" s="15" t="b">
        <v>1</v>
      </c>
      <c r="E4" s="85"/>
      <c r="G4" s="87"/>
      <c r="H4" s="14" t="s">
        <v>71</v>
      </c>
      <c r="I4" s="160" t="s">
        <v>72</v>
      </c>
      <c r="J4" s="85"/>
    </row>
    <row r="5" spans="1:10" ht="11.25" customHeight="1" x14ac:dyDescent="0.2">
      <c r="A5" s="48"/>
      <c r="B5" s="88"/>
      <c r="C5" s="17" t="s">
        <v>18</v>
      </c>
      <c r="D5" s="18"/>
      <c r="E5" s="85"/>
      <c r="G5" s="87"/>
      <c r="H5" s="14" t="s">
        <v>133</v>
      </c>
      <c r="I5" s="160" t="s">
        <v>138</v>
      </c>
      <c r="J5" s="85"/>
    </row>
    <row r="6" spans="1:10" ht="11.25" customHeight="1" x14ac:dyDescent="0.2">
      <c r="A6" s="48"/>
      <c r="B6" s="88"/>
      <c r="C6" s="14" t="s">
        <v>20</v>
      </c>
      <c r="D6" s="15" t="b">
        <v>1</v>
      </c>
      <c r="E6" s="85"/>
      <c r="G6" s="87"/>
      <c r="H6" s="14" t="s">
        <v>134</v>
      </c>
      <c r="I6" s="160" t="s">
        <v>139</v>
      </c>
      <c r="J6" s="85"/>
    </row>
    <row r="7" spans="1:10" ht="11.25" customHeight="1" x14ac:dyDescent="0.2">
      <c r="A7" s="48"/>
      <c r="B7" s="88"/>
      <c r="C7" s="14" t="s">
        <v>76</v>
      </c>
      <c r="D7" s="166" t="s">
        <v>77</v>
      </c>
      <c r="E7" s="85"/>
      <c r="G7" s="87"/>
      <c r="H7" s="14" t="s">
        <v>135</v>
      </c>
      <c r="I7" s="160" t="s">
        <v>140</v>
      </c>
      <c r="J7" s="85"/>
    </row>
    <row r="8" spans="1:10" ht="11.25" customHeight="1" x14ac:dyDescent="0.2">
      <c r="A8" s="48"/>
      <c r="B8" s="89"/>
      <c r="C8" s="167"/>
      <c r="D8" s="168"/>
      <c r="E8" s="85"/>
      <c r="G8" s="87"/>
      <c r="H8" s="14" t="s">
        <v>136</v>
      </c>
      <c r="I8" s="160" t="str">
        <f>Currency&amp;"ON"&amp;LCHlinear</f>
        <v>EURON_linearLCH</v>
      </c>
      <c r="J8" s="85"/>
    </row>
    <row r="9" spans="1:10" ht="11.25" customHeight="1" x14ac:dyDescent="0.2">
      <c r="A9" s="48"/>
      <c r="B9" s="89"/>
      <c r="C9" s="13" t="s">
        <v>30</v>
      </c>
      <c r="D9" s="164">
        <f>_xll.qlSettingsEvaluationDate(Trigger)</f>
        <v>42248</v>
      </c>
      <c r="E9" s="85"/>
      <c r="G9" s="87"/>
      <c r="H9" s="14" t="s">
        <v>137</v>
      </c>
      <c r="I9" s="160" t="str">
        <f>Currency&amp;"ON"&amp;LCHcubic</f>
        <v>EURON_cubicLCH</v>
      </c>
      <c r="J9" s="85"/>
    </row>
    <row r="10" spans="1:10" ht="11.25" customHeight="1" x14ac:dyDescent="0.2">
      <c r="A10" s="48"/>
      <c r="B10" s="89"/>
      <c r="C10" s="14" t="s">
        <v>31</v>
      </c>
      <c r="D10" s="163">
        <f>_xll.qlCalendarAdvance(Calendar,$D$9,"2D","F",,Trigger)</f>
        <v>42250</v>
      </c>
      <c r="E10" s="85"/>
      <c r="G10" s="87"/>
      <c r="H10" s="14" t="s">
        <v>141</v>
      </c>
      <c r="I10" s="160" t="str">
        <f>Currency&amp;"STD"&amp;LCHlinear</f>
        <v>EURSTD_linearLCH</v>
      </c>
      <c r="J10" s="85"/>
    </row>
    <row r="11" spans="1:10" ht="11.25" customHeight="1" x14ac:dyDescent="0.2">
      <c r="B11" s="89"/>
      <c r="C11" s="16" t="s">
        <v>14</v>
      </c>
      <c r="D11" s="165" t="s">
        <v>122</v>
      </c>
      <c r="E11" s="85"/>
      <c r="G11" s="87"/>
      <c r="H11" s="16" t="s">
        <v>145</v>
      </c>
      <c r="I11" s="165" t="b">
        <v>1</v>
      </c>
      <c r="J11" s="85"/>
    </row>
    <row r="12" spans="1:10" ht="11.25" customHeight="1" x14ac:dyDescent="0.2">
      <c r="B12" s="90"/>
      <c r="C12" s="91"/>
      <c r="D12" s="92"/>
      <c r="E12" s="86"/>
      <c r="G12" s="90"/>
      <c r="H12" s="91"/>
      <c r="I12" s="92"/>
      <c r="J12" s="86"/>
    </row>
    <row r="13" spans="1:10" ht="11.25" customHeight="1" x14ac:dyDescent="0.2"/>
    <row r="14" spans="1:10" x14ac:dyDescent="0.2">
      <c r="B14" s="35"/>
      <c r="C14" s="36"/>
      <c r="D14" s="36"/>
      <c r="E14" s="37"/>
      <c r="G14" s="35"/>
      <c r="H14" s="36"/>
      <c r="I14" s="36"/>
      <c r="J14" s="37"/>
    </row>
    <row r="15" spans="1:10" x14ac:dyDescent="0.2">
      <c r="B15" s="20"/>
      <c r="C15" s="19" t="s">
        <v>10</v>
      </c>
      <c r="D15" s="39" t="str">
        <f>_xll.qlPiecewiseYieldCurve($D$17,$D$18,Calendar,_xll.ohPack(EURON!T3:T62),,,,D19,D20,D21,Permanent,,ObjectOverwrite)</f>
        <v>_EURON_linearLCH#0005</v>
      </c>
      <c r="E15" s="40"/>
      <c r="G15" s="20"/>
      <c r="H15" s="19"/>
      <c r="I15" s="39" t="str">
        <f>_xll.qlPiecewiseYieldCurve(I17,I18,Calendar,_xll.ohPack(EURON!T3:T62),,,,I19,I20,I21,Permanent,Trigger,ObjectOverwrite)</f>
        <v>_EURON_cubicLCH#0005</v>
      </c>
      <c r="J15" s="40"/>
    </row>
    <row r="16" spans="1:10" x14ac:dyDescent="0.2">
      <c r="B16" s="20"/>
      <c r="C16" s="21" t="s">
        <v>11</v>
      </c>
      <c r="D16" s="41" t="str">
        <f>_xll.ohRangeRetrieveError(YieldCurve1_ON)</f>
        <v/>
      </c>
      <c r="E16" s="40"/>
      <c r="G16" s="20"/>
      <c r="H16" s="21"/>
      <c r="I16" s="41"/>
      <c r="J16" s="40"/>
    </row>
    <row r="17" spans="1:10" x14ac:dyDescent="0.2">
      <c r="B17" s="20"/>
      <c r="C17" s="19" t="s">
        <v>12</v>
      </c>
      <c r="D17" s="22" t="str">
        <f>"_"&amp;Currency&amp;"ON"&amp;LCHlinear</f>
        <v>_EURON_linearLCH</v>
      </c>
      <c r="E17" s="40"/>
      <c r="G17" s="20"/>
      <c r="H17" s="19"/>
      <c r="I17" s="22" t="str">
        <f>"_"&amp;Currency&amp;"ON"&amp;LCHcubic</f>
        <v>_EURON_cubicLCH</v>
      </c>
      <c r="J17" s="40"/>
    </row>
    <row r="18" spans="1:10" x14ac:dyDescent="0.2">
      <c r="B18" s="20"/>
      <c r="C18" s="23" t="s">
        <v>13</v>
      </c>
      <c r="D18" s="24">
        <v>0</v>
      </c>
      <c r="E18" s="40"/>
      <c r="G18" s="20"/>
      <c r="H18" s="23"/>
      <c r="I18" s="24">
        <v>0</v>
      </c>
      <c r="J18" s="40"/>
    </row>
    <row r="19" spans="1:10" x14ac:dyDescent="0.2">
      <c r="B19" s="20"/>
      <c r="C19" s="23" t="s">
        <v>15</v>
      </c>
      <c r="D19" s="25"/>
      <c r="E19" s="40"/>
      <c r="G19" s="20"/>
      <c r="H19" s="23"/>
      <c r="I19" s="25"/>
      <c r="J19" s="40"/>
    </row>
    <row r="20" spans="1:10" x14ac:dyDescent="0.2">
      <c r="B20" s="20"/>
      <c r="C20" s="23" t="s">
        <v>16</v>
      </c>
      <c r="D20" s="26" t="s">
        <v>142</v>
      </c>
      <c r="E20" s="40"/>
      <c r="G20" s="20"/>
      <c r="H20" s="23"/>
      <c r="I20" s="26" t="s">
        <v>32</v>
      </c>
      <c r="J20" s="40"/>
    </row>
    <row r="21" spans="1:10" x14ac:dyDescent="0.2">
      <c r="B21" s="20"/>
      <c r="C21" s="21" t="s">
        <v>17</v>
      </c>
      <c r="D21" s="27" t="s">
        <v>143</v>
      </c>
      <c r="E21" s="40"/>
      <c r="G21" s="20"/>
      <c r="H21" s="21"/>
      <c r="I21" s="27" t="s">
        <v>144</v>
      </c>
      <c r="J21" s="40"/>
    </row>
    <row r="22" spans="1:10" x14ac:dyDescent="0.2">
      <c r="B22" s="20"/>
      <c r="C22" s="28"/>
      <c r="D22" s="28"/>
      <c r="E22" s="40"/>
      <c r="G22" s="20"/>
      <c r="H22" s="28"/>
      <c r="I22" s="28"/>
      <c r="J22" s="40"/>
    </row>
    <row r="23" spans="1:10" x14ac:dyDescent="0.2">
      <c r="B23" s="20"/>
      <c r="C23" s="29">
        <f>_xll.qlTermStructureReferenceDate(YieldCurve1_ON)</f>
        <v>42248</v>
      </c>
      <c r="D23" s="30">
        <f>_xll.qlYieldTSDiscount(YieldCurve1_ON,C23,,Trigger)</f>
        <v>1</v>
      </c>
      <c r="E23" s="40"/>
      <c r="G23" s="20"/>
      <c r="H23" s="29">
        <f>_xll.qlTermStructureReferenceDate(yieldcurve2_ON)</f>
        <v>42248</v>
      </c>
      <c r="I23" s="30">
        <f>_xll.qlYieldTSDiscount(yieldcurve2_ON,H23,,Trigger)</f>
        <v>1</v>
      </c>
      <c r="J23" s="40"/>
    </row>
    <row r="24" spans="1:10" x14ac:dyDescent="0.2">
      <c r="B24" s="20"/>
      <c r="C24" s="31">
        <f>_xll.qlTermStructureMaxDate(YieldCurve1_ON,Trigger)</f>
        <v>64172</v>
      </c>
      <c r="D24" s="32">
        <f>_xll.qlYieldTSDiscount(YieldCurve1_ON,C24,,Trigger)</f>
        <v>0.3982799562138532</v>
      </c>
      <c r="E24" s="40"/>
      <c r="G24" s="20"/>
      <c r="H24" s="31">
        <f>_xll.qlTermStructureMaxDate(yieldcurve2_ON,Trigger)</f>
        <v>64172</v>
      </c>
      <c r="I24" s="32">
        <f>_xll.qlYieldTSDiscount(yieldcurve2_ON,H24,,Trigger)</f>
        <v>0.39853416257135854</v>
      </c>
      <c r="J24" s="40"/>
    </row>
    <row r="25" spans="1:10" x14ac:dyDescent="0.2">
      <c r="B25" s="20"/>
      <c r="C25" s="31" t="str">
        <f>Currency&amp;"ON"&amp;LCHlinear</f>
        <v>EURON_linearLCH</v>
      </c>
      <c r="D25" s="32" t="b">
        <f>_xll.qlRelinkableHandleLinkTo(C25,D15,Trigger)</f>
        <v>1</v>
      </c>
      <c r="E25" s="40"/>
      <c r="G25" s="20"/>
      <c r="H25" s="31" t="str">
        <f>Currency&amp;"ON"&amp;LCHcubic</f>
        <v>EURON_cubicLCH</v>
      </c>
      <c r="I25" s="32" t="b">
        <f>_xll.qlRelinkableHandleLinkTo(H25,I15,Trigger)</f>
        <v>1</v>
      </c>
      <c r="J25" s="40"/>
    </row>
    <row r="26" spans="1:10" x14ac:dyDescent="0.2">
      <c r="B26" s="20"/>
      <c r="C26" s="33" t="s">
        <v>119</v>
      </c>
      <c r="D26" s="34" t="b">
        <v>0</v>
      </c>
      <c r="E26" s="40"/>
      <c r="G26" s="20"/>
      <c r="H26" s="33" t="s">
        <v>119</v>
      </c>
      <c r="I26" s="34" t="b">
        <v>0</v>
      </c>
      <c r="J26" s="40"/>
    </row>
    <row r="27" spans="1:10" x14ac:dyDescent="0.2">
      <c r="B27" s="42"/>
      <c r="C27" s="43"/>
      <c r="D27" s="43"/>
      <c r="E27" s="44"/>
      <c r="G27" s="42"/>
      <c r="H27" s="43"/>
      <c r="I27" s="43"/>
      <c r="J27" s="44"/>
    </row>
    <row r="28" spans="1:10" x14ac:dyDescent="0.2">
      <c r="A28" s="48"/>
      <c r="B28" s="48"/>
      <c r="C28" s="48"/>
      <c r="D28" s="48"/>
      <c r="E28" s="48"/>
      <c r="G28" s="48"/>
      <c r="H28" s="48"/>
      <c r="I28" s="48"/>
      <c r="J28" s="48"/>
    </row>
    <row r="29" spans="1:10" x14ac:dyDescent="0.2">
      <c r="B29" s="35"/>
      <c r="C29" s="36"/>
      <c r="D29" s="36"/>
      <c r="E29" s="37"/>
      <c r="F29" s="47"/>
      <c r="G29" s="35"/>
      <c r="H29" s="36"/>
      <c r="I29" s="36"/>
      <c r="J29" s="37"/>
    </row>
    <row r="30" spans="1:10" x14ac:dyDescent="0.2">
      <c r="B30" s="20"/>
      <c r="C30" s="19" t="s">
        <v>10</v>
      </c>
      <c r="D30" s="39" t="str">
        <f>_xll.qlPiecewiseYieldCurve(D32,D33,Calendar,_xll.ohPack(EUR3M!Y3:Y90),,,,D34,D35,D36,Permanent,,ObjectOverwrite)</f>
        <v>_EUR3M_linearLCH#0005</v>
      </c>
      <c r="E30" s="40"/>
      <c r="F30" s="47"/>
      <c r="G30" s="20"/>
      <c r="H30" s="19"/>
      <c r="I30" s="39" t="str">
        <f>_xll.qlPiecewiseYieldCurve(I32,I33,Calendar,_xll.ohPack(EUR3M!Z3:Z90),,,,I34,I35,I36,Permanent,,ObjectOverwrite)</f>
        <v>_EUR3M_cubicLCH#0005</v>
      </c>
      <c r="J30" s="40"/>
    </row>
    <row r="31" spans="1:10" x14ac:dyDescent="0.2">
      <c r="B31" s="20"/>
      <c r="C31" s="21" t="s">
        <v>11</v>
      </c>
      <c r="D31" s="41" t="str">
        <f>_xll.ohRangeRetrieveError(YieldCurve1_3M)</f>
        <v/>
      </c>
      <c r="E31" s="40"/>
      <c r="F31" s="47"/>
      <c r="G31" s="20"/>
      <c r="H31" s="21"/>
      <c r="I31" s="41" t="str">
        <f>_xll.ohRangeRetrieveError(YieldCurve1_3M)</f>
        <v/>
      </c>
      <c r="J31" s="40"/>
    </row>
    <row r="32" spans="1:10" x14ac:dyDescent="0.2">
      <c r="B32" s="20"/>
      <c r="C32" s="19" t="s">
        <v>12</v>
      </c>
      <c r="D32" s="22" t="str">
        <f>"_"&amp;Currency&amp;"3M"&amp;LCHlinear</f>
        <v>_EUR3M_linearLCH</v>
      </c>
      <c r="E32" s="40"/>
      <c r="F32" s="47"/>
      <c r="G32" s="20"/>
      <c r="H32" s="19"/>
      <c r="I32" s="22" t="str">
        <f>"_"&amp;Currency&amp;"3M"&amp;LCHcubic</f>
        <v>_EUR3M_cubicLCH</v>
      </c>
      <c r="J32" s="40"/>
    </row>
    <row r="33" spans="2:10" x14ac:dyDescent="0.2">
      <c r="B33" s="20"/>
      <c r="C33" s="23" t="s">
        <v>13</v>
      </c>
      <c r="D33" s="24">
        <v>0</v>
      </c>
      <c r="E33" s="40"/>
      <c r="F33" s="47"/>
      <c r="G33" s="20"/>
      <c r="H33" s="23"/>
      <c r="I33" s="24">
        <v>0</v>
      </c>
      <c r="J33" s="40"/>
    </row>
    <row r="34" spans="2:10" x14ac:dyDescent="0.2">
      <c r="B34" s="20"/>
      <c r="C34" s="23" t="s">
        <v>15</v>
      </c>
      <c r="D34" s="25"/>
      <c r="E34" s="40"/>
      <c r="F34" s="47"/>
      <c r="G34" s="20"/>
      <c r="H34" s="23"/>
      <c r="I34" s="25"/>
      <c r="J34" s="40"/>
    </row>
    <row r="35" spans="2:10" x14ac:dyDescent="0.2">
      <c r="B35" s="20"/>
      <c r="C35" s="23" t="s">
        <v>16</v>
      </c>
      <c r="D35" s="26" t="s">
        <v>142</v>
      </c>
      <c r="E35" s="40"/>
      <c r="F35" s="47"/>
      <c r="G35" s="20"/>
      <c r="H35" s="23"/>
      <c r="I35" s="26" t="s">
        <v>32</v>
      </c>
      <c r="J35" s="40"/>
    </row>
    <row r="36" spans="2:10" x14ac:dyDescent="0.2">
      <c r="B36" s="20"/>
      <c r="C36" s="21" t="s">
        <v>17</v>
      </c>
      <c r="D36" s="27" t="s">
        <v>143</v>
      </c>
      <c r="E36" s="40"/>
      <c r="F36" s="47"/>
      <c r="G36" s="20"/>
      <c r="H36" s="21"/>
      <c r="I36" s="27" t="s">
        <v>144</v>
      </c>
      <c r="J36" s="40"/>
    </row>
    <row r="37" spans="2:10" x14ac:dyDescent="0.2">
      <c r="B37" s="20"/>
      <c r="C37" s="28"/>
      <c r="D37" s="28"/>
      <c r="E37" s="40"/>
      <c r="F37" s="47"/>
      <c r="G37" s="20"/>
      <c r="H37" s="28"/>
      <c r="I37" s="28"/>
      <c r="J37" s="40"/>
    </row>
    <row r="38" spans="2:10" x14ac:dyDescent="0.2">
      <c r="B38" s="20"/>
      <c r="C38" s="29">
        <f>_xll.qlTermStructureReferenceDate(YieldCurve1_3M)</f>
        <v>42248</v>
      </c>
      <c r="D38" s="30">
        <f>_xll.qlYieldTSDiscount(YieldCurve1_3M,C38,,Trigger)</f>
        <v>1</v>
      </c>
      <c r="E38" s="40"/>
      <c r="F38" s="47"/>
      <c r="G38" s="20"/>
      <c r="H38" s="29">
        <f>_xll.qlTermStructureReferenceDate(yieldcurve2_3M)</f>
        <v>42248</v>
      </c>
      <c r="I38" s="30">
        <f>_xll.qlYieldTSDiscount(yieldcurve2_3M,H38,,Trigger)</f>
        <v>1</v>
      </c>
      <c r="J38" s="40"/>
    </row>
    <row r="39" spans="2:10" x14ac:dyDescent="0.2">
      <c r="B39" s="20"/>
      <c r="C39" s="31">
        <f>_xll.qlTermStructureMaxDate(YieldCurve1_3M,Trigger)</f>
        <v>64172</v>
      </c>
      <c r="D39" s="32">
        <f>_xll.qlYieldTSDiscount(YieldCurve1_3M,C39,,Trigger)</f>
        <v>0.39018301728746557</v>
      </c>
      <c r="E39" s="40"/>
      <c r="F39" s="47"/>
      <c r="G39" s="20"/>
      <c r="H39" s="31">
        <f>_xll.qlTermStructureMaxDate(yieldcurve2_3M,Trigger)</f>
        <v>64172</v>
      </c>
      <c r="I39" s="32">
        <f>_xll.qlYieldTSDiscount(yieldcurve2_3M,H39,,Trigger)</f>
        <v>0.39037345640163879</v>
      </c>
      <c r="J39" s="40"/>
    </row>
    <row r="40" spans="2:10" x14ac:dyDescent="0.2">
      <c r="B40" s="20"/>
      <c r="C40" s="31" t="str">
        <f>Currency&amp;"3M"&amp;LCHlinear</f>
        <v>EUR3M_linearLCH</v>
      </c>
      <c r="D40" s="32" t="b">
        <f>_xll.qlRelinkableHandleLinkTo(C40,D30,Trigger)</f>
        <v>1</v>
      </c>
      <c r="E40" s="40"/>
      <c r="F40" s="47"/>
      <c r="G40" s="20"/>
      <c r="H40" s="31" t="str">
        <f>Currency&amp;"3M"&amp;LCHcubic</f>
        <v>EUR3M_cubicLCH</v>
      </c>
      <c r="I40" s="32" t="b">
        <f>_xll.qlRelinkableHandleLinkTo(H40,I30,Trigger)</f>
        <v>1</v>
      </c>
      <c r="J40" s="40"/>
    </row>
    <row r="41" spans="2:10" x14ac:dyDescent="0.2">
      <c r="B41" s="20"/>
      <c r="C41" s="33" t="s">
        <v>119</v>
      </c>
      <c r="D41" s="34" t="b">
        <v>0</v>
      </c>
      <c r="E41" s="40"/>
      <c r="F41" s="47"/>
      <c r="G41" s="20"/>
      <c r="H41" s="33" t="s">
        <v>119</v>
      </c>
      <c r="I41" s="34" t="b">
        <v>0</v>
      </c>
      <c r="J41" s="40"/>
    </row>
    <row r="42" spans="2:10" x14ac:dyDescent="0.2">
      <c r="B42" s="42"/>
      <c r="C42" s="43"/>
      <c r="D42" s="43"/>
      <c r="E42" s="44"/>
      <c r="F42" s="47"/>
      <c r="G42" s="42"/>
      <c r="H42" s="43"/>
      <c r="I42" s="43"/>
      <c r="J42" s="44"/>
    </row>
    <row r="43" spans="2:10" x14ac:dyDescent="0.2">
      <c r="F43" s="47"/>
    </row>
    <row r="44" spans="2:10" x14ac:dyDescent="0.2">
      <c r="B44" s="35"/>
      <c r="C44" s="45"/>
      <c r="D44" s="45"/>
      <c r="E44" s="37"/>
      <c r="F44" s="47"/>
      <c r="G44" s="35"/>
      <c r="H44" s="36"/>
      <c r="I44" s="36"/>
      <c r="J44" s="37"/>
    </row>
    <row r="45" spans="2:10" x14ac:dyDescent="0.2">
      <c r="B45" s="38"/>
      <c r="C45" s="19" t="s">
        <v>10</v>
      </c>
      <c r="D45" s="39" t="str">
        <f>_xll.qlPiecewiseYieldCurve(D47,D48,Calendar,_xll.ohPack(EUR6M!Y3:Y391),,,,D49,D50,D51,Permanent,,ObjectOverwrite)</f>
        <v>_EUR6M_linearLCH#0005</v>
      </c>
      <c r="E45" s="40"/>
      <c r="F45" s="47"/>
      <c r="G45" s="20"/>
      <c r="H45" s="19"/>
      <c r="I45" s="39" t="str">
        <f>_xll.qlPiecewiseYieldCurve(I47,I48,Calendar,_xll.ohPack(EUR6M!Z3:Z47),,,,I49,I50,I51,Permanent,,ObjectOverwrite)</f>
        <v>_EUR6M_cubicLCH#0005</v>
      </c>
      <c r="J45" s="40"/>
    </row>
    <row r="46" spans="2:10" x14ac:dyDescent="0.2">
      <c r="B46" s="38"/>
      <c r="C46" s="21" t="s">
        <v>11</v>
      </c>
      <c r="D46" s="41" t="str">
        <f>_xll.ohRangeRetrieveError(YieldCurve1_6M)</f>
        <v/>
      </c>
      <c r="E46" s="40"/>
      <c r="G46" s="20"/>
      <c r="H46" s="21"/>
      <c r="I46" s="41" t="str">
        <f>_xll.ohRangeRetrieveError(YieldCurve2_6M)</f>
        <v/>
      </c>
      <c r="J46" s="40"/>
    </row>
    <row r="47" spans="2:10" x14ac:dyDescent="0.2">
      <c r="B47" s="20"/>
      <c r="C47" s="19" t="s">
        <v>12</v>
      </c>
      <c r="D47" s="22" t="str">
        <f>"_"&amp;Currency&amp;"6M"&amp;LCHlinear</f>
        <v>_EUR6M_linearLCH</v>
      </c>
      <c r="E47" s="40"/>
      <c r="G47" s="20"/>
      <c r="H47" s="19"/>
      <c r="I47" s="22" t="str">
        <f>"_"&amp;Currency&amp;"6M"&amp;LCHcubic</f>
        <v>_EUR6M_cubicLCH</v>
      </c>
      <c r="J47" s="40"/>
    </row>
    <row r="48" spans="2:10" x14ac:dyDescent="0.2">
      <c r="B48" s="20"/>
      <c r="C48" s="23" t="s">
        <v>13</v>
      </c>
      <c r="D48" s="24">
        <v>0</v>
      </c>
      <c r="E48" s="40"/>
      <c r="G48" s="20"/>
      <c r="H48" s="23"/>
      <c r="I48" s="24">
        <v>0</v>
      </c>
      <c r="J48" s="40"/>
    </row>
    <row r="49" spans="2:10" x14ac:dyDescent="0.2">
      <c r="B49" s="20"/>
      <c r="C49" s="23" t="s">
        <v>15</v>
      </c>
      <c r="D49" s="25"/>
      <c r="E49" s="40"/>
      <c r="G49" s="20"/>
      <c r="H49" s="23"/>
      <c r="I49" s="25"/>
      <c r="J49" s="40"/>
    </row>
    <row r="50" spans="2:10" x14ac:dyDescent="0.2">
      <c r="B50" s="20"/>
      <c r="C50" s="23" t="s">
        <v>16</v>
      </c>
      <c r="D50" s="26" t="s">
        <v>142</v>
      </c>
      <c r="E50" s="40"/>
      <c r="G50" s="20"/>
      <c r="H50" s="23"/>
      <c r="I50" s="26" t="s">
        <v>32</v>
      </c>
      <c r="J50" s="40"/>
    </row>
    <row r="51" spans="2:10" x14ac:dyDescent="0.2">
      <c r="B51" s="20"/>
      <c r="C51" s="21" t="s">
        <v>17</v>
      </c>
      <c r="D51" s="27" t="s">
        <v>143</v>
      </c>
      <c r="E51" s="40"/>
      <c r="G51" s="20"/>
      <c r="H51" s="21"/>
      <c r="I51" s="27" t="s">
        <v>144</v>
      </c>
      <c r="J51" s="40"/>
    </row>
    <row r="52" spans="2:10" x14ac:dyDescent="0.2">
      <c r="B52" s="20"/>
      <c r="C52" s="28"/>
      <c r="D52" s="28"/>
      <c r="E52" s="40"/>
      <c r="G52" s="20"/>
      <c r="H52" s="28"/>
      <c r="I52" s="28"/>
      <c r="J52" s="40"/>
    </row>
    <row r="53" spans="2:10" x14ac:dyDescent="0.2">
      <c r="B53" s="20"/>
      <c r="C53" s="29">
        <f>_xll.qlTermStructureReferenceDate(YieldCurve1_6M)</f>
        <v>42248</v>
      </c>
      <c r="D53" s="30">
        <f>_xll.qlYieldTSDiscount(YieldCurve1_6M,C53,,Trigger)</f>
        <v>1</v>
      </c>
      <c r="E53" s="40"/>
      <c r="G53" s="20"/>
      <c r="H53" s="29">
        <f>_xll.qlTermStructureReferenceDate(YieldCurve2_6M)</f>
        <v>42248</v>
      </c>
      <c r="I53" s="30">
        <f>_xll.qlYieldTSDiscount(YieldCurve2_6M,H53,,Trigger)</f>
        <v>1</v>
      </c>
      <c r="J53" s="40"/>
    </row>
    <row r="54" spans="2:10" x14ac:dyDescent="0.2">
      <c r="B54" s="20"/>
      <c r="C54" s="31">
        <f>_xll.qlTermStructureMaxDate(YieldCurve1_6M,Trigger)</f>
        <v>64172</v>
      </c>
      <c r="D54" s="32">
        <f>_xll.qlYieldTSDiscount(YieldCurve1_6M,C54,,Trigger)</f>
        <v>0.38469133105571568</v>
      </c>
      <c r="E54" s="40"/>
      <c r="G54" s="20"/>
      <c r="H54" s="31">
        <f>_xll.qlTermStructureMaxDate(YieldCurve2_6M,Trigger)</f>
        <v>64172</v>
      </c>
      <c r="I54" s="32">
        <f>_xll.qlYieldTSDiscount(YieldCurve2_6M,H54,,Trigger)</f>
        <v>0.38492066849591161</v>
      </c>
      <c r="J54" s="40"/>
    </row>
    <row r="55" spans="2:10" x14ac:dyDescent="0.2">
      <c r="B55" s="20"/>
      <c r="C55" s="31" t="str">
        <f>Currency&amp;"6M"&amp;LCHlinear</f>
        <v>EUR6M_linearLCH</v>
      </c>
      <c r="D55" s="32" t="b">
        <f>_xll.qlRelinkableHandleLinkTo(C55,D45,Trigger)</f>
        <v>1</v>
      </c>
      <c r="E55" s="40"/>
      <c r="G55" s="20"/>
      <c r="H55" s="31" t="str">
        <f>Currency&amp;"6M"&amp;LCHcubic</f>
        <v>EUR6M_cubicLCH</v>
      </c>
      <c r="I55" s="32" t="b">
        <f>_xll.qlRelinkableHandleLinkTo(H55,I45,Trigger)</f>
        <v>1</v>
      </c>
      <c r="J55" s="40"/>
    </row>
    <row r="56" spans="2:10" x14ac:dyDescent="0.2">
      <c r="B56" s="20"/>
      <c r="C56" s="33" t="s">
        <v>119</v>
      </c>
      <c r="D56" s="34" t="b">
        <v>0</v>
      </c>
      <c r="E56" s="40"/>
      <c r="G56" s="20"/>
      <c r="H56" s="33" t="s">
        <v>119</v>
      </c>
      <c r="I56" s="34" t="b">
        <v>0</v>
      </c>
      <c r="J56" s="40"/>
    </row>
    <row r="57" spans="2:10" x14ac:dyDescent="0.2">
      <c r="B57" s="42"/>
      <c r="C57" s="43"/>
      <c r="D57" s="43"/>
      <c r="E57" s="44"/>
      <c r="G57" s="42"/>
      <c r="H57" s="43"/>
      <c r="I57" s="43"/>
      <c r="J57" s="44"/>
    </row>
    <row r="59" spans="2:10" x14ac:dyDescent="0.2">
      <c r="B59" s="35"/>
      <c r="C59" s="36"/>
      <c r="D59" s="36"/>
      <c r="E59" s="37"/>
      <c r="G59" s="35"/>
      <c r="H59" s="36"/>
      <c r="I59" s="36"/>
      <c r="J59" s="37"/>
    </row>
    <row r="60" spans="2:10" x14ac:dyDescent="0.2">
      <c r="B60" s="20"/>
      <c r="C60" s="19" t="s">
        <v>10</v>
      </c>
      <c r="D60" s="39" t="str">
        <f>_xll.qlPiecewiseYieldCurve(D62,D63,Calendar,_xll.ohPack(EUR1M!Y3:Y93),,,,D64,D65,D66,Permanent,,ObjectOverwrite)</f>
        <v>_EUR1M_linearLCH#0005</v>
      </c>
      <c r="E60" s="40"/>
      <c r="G60" s="20"/>
      <c r="H60" s="19"/>
      <c r="I60" s="39" t="str">
        <f>_xll.qlPiecewiseYieldCurve(I62,I63,Calendar,_xll.ohPack(EUR1M!Z3:Z89),,,,I64,I65,I66,Permanent,,ObjectOverwrite)</f>
        <v>_EUR1M_cubicLCH#0005</v>
      </c>
      <c r="J60" s="40"/>
    </row>
    <row r="61" spans="2:10" x14ac:dyDescent="0.2">
      <c r="B61" s="20"/>
      <c r="C61" s="21" t="s">
        <v>11</v>
      </c>
      <c r="D61" s="41" t="str">
        <f>_xll.ohRangeRetrieveError(yieldcurve1_1M)</f>
        <v/>
      </c>
      <c r="E61" s="40"/>
      <c r="G61" s="20"/>
      <c r="H61" s="21"/>
      <c r="I61" s="41" t="str">
        <f>_xll.ohRangeRetrieveError(yieldcurve2_1M)</f>
        <v/>
      </c>
      <c r="J61" s="40"/>
    </row>
    <row r="62" spans="2:10" x14ac:dyDescent="0.2">
      <c r="B62" s="20"/>
      <c r="C62" s="19" t="s">
        <v>12</v>
      </c>
      <c r="D62" s="22" t="str">
        <f>"_"&amp;Currency&amp;"1M"&amp;LCHlinear</f>
        <v>_EUR1M_linearLCH</v>
      </c>
      <c r="E62" s="40"/>
      <c r="G62" s="20"/>
      <c r="H62" s="19"/>
      <c r="I62" s="22" t="str">
        <f>"_"&amp;Currency&amp;"1M"&amp;LCHcubic</f>
        <v>_EUR1M_cubicLCH</v>
      </c>
      <c r="J62" s="40"/>
    </row>
    <row r="63" spans="2:10" x14ac:dyDescent="0.2">
      <c r="B63" s="20"/>
      <c r="C63" s="23" t="s">
        <v>13</v>
      </c>
      <c r="D63" s="24">
        <v>0</v>
      </c>
      <c r="E63" s="40"/>
      <c r="G63" s="20"/>
      <c r="H63" s="23"/>
      <c r="I63" s="24">
        <v>0</v>
      </c>
      <c r="J63" s="40"/>
    </row>
    <row r="64" spans="2:10" x14ac:dyDescent="0.2">
      <c r="B64" s="20"/>
      <c r="C64" s="23" t="s">
        <v>15</v>
      </c>
      <c r="D64" s="25"/>
      <c r="E64" s="40"/>
      <c r="G64" s="20"/>
      <c r="H64" s="23"/>
      <c r="I64" s="25"/>
      <c r="J64" s="40"/>
    </row>
    <row r="65" spans="2:10" x14ac:dyDescent="0.2">
      <c r="B65" s="20"/>
      <c r="C65" s="23" t="s">
        <v>16</v>
      </c>
      <c r="D65" s="26" t="s">
        <v>142</v>
      </c>
      <c r="E65" s="40"/>
      <c r="G65" s="20"/>
      <c r="H65" s="23"/>
      <c r="I65" s="26" t="s">
        <v>32</v>
      </c>
      <c r="J65" s="40"/>
    </row>
    <row r="66" spans="2:10" x14ac:dyDescent="0.2">
      <c r="B66" s="20"/>
      <c r="C66" s="21" t="s">
        <v>17</v>
      </c>
      <c r="D66" s="27" t="s">
        <v>143</v>
      </c>
      <c r="E66" s="40"/>
      <c r="G66" s="20"/>
      <c r="H66" s="21"/>
      <c r="I66" s="27" t="s">
        <v>144</v>
      </c>
      <c r="J66" s="40"/>
    </row>
    <row r="67" spans="2:10" x14ac:dyDescent="0.2">
      <c r="B67" s="20"/>
      <c r="C67" s="28"/>
      <c r="D67" s="28"/>
      <c r="E67" s="40"/>
      <c r="G67" s="20"/>
      <c r="H67" s="28"/>
      <c r="I67" s="28"/>
      <c r="J67" s="40"/>
    </row>
    <row r="68" spans="2:10" x14ac:dyDescent="0.2">
      <c r="B68" s="20"/>
      <c r="C68" s="29">
        <f>_xll.qlTermStructureReferenceDate(yieldcurve1_1M)</f>
        <v>42248</v>
      </c>
      <c r="D68" s="30">
        <f>_xll.qlYieldTSDiscount(yieldcurve1_1M,C68,,Trigger)</f>
        <v>1</v>
      </c>
      <c r="E68" s="40"/>
      <c r="G68" s="20"/>
      <c r="H68" s="29">
        <f>_xll.qlTermStructureReferenceDate(yieldcurve2_1M)</f>
        <v>42248</v>
      </c>
      <c r="I68" s="30">
        <f>_xll.qlYieldTSDiscount(yieldcurve2_1M,H68,,Trigger)</f>
        <v>1</v>
      </c>
      <c r="J68" s="40"/>
    </row>
    <row r="69" spans="2:10" x14ac:dyDescent="0.2">
      <c r="B69" s="20"/>
      <c r="C69" s="31">
        <f>_xll.qlTermStructureMaxDate(yieldcurve1_1M,Trigger)</f>
        <v>64172</v>
      </c>
      <c r="D69" s="32">
        <f>_xll.qlYieldTSDiscount(yieldcurve1_1M,C69,,Trigger)</f>
        <v>0.39765514959305232</v>
      </c>
      <c r="E69" s="40"/>
      <c r="G69" s="20"/>
      <c r="H69" s="31">
        <f>_xll.qlTermStructureMaxDate(yieldcurve2_1M,Trigger)</f>
        <v>64172</v>
      </c>
      <c r="I69" s="32">
        <f>_xll.qlYieldTSDiscount(yieldcurve2_1M,H69,,Trigger)</f>
        <v>0.39789709929083944</v>
      </c>
      <c r="J69" s="40"/>
    </row>
    <row r="70" spans="2:10" x14ac:dyDescent="0.2">
      <c r="B70" s="20"/>
      <c r="C70" s="31" t="str">
        <f>Currency&amp;"1M"&amp;LCHlinear</f>
        <v>EUR1M_linearLCH</v>
      </c>
      <c r="D70" s="32" t="b">
        <f>_xll.qlRelinkableHandleLinkTo(C70,D60,Trigger)</f>
        <v>1</v>
      </c>
      <c r="E70" s="40"/>
      <c r="G70" s="20"/>
      <c r="H70" s="31" t="str">
        <f>Currency&amp;"1M"&amp;LCHcubic</f>
        <v>EUR1M_cubicLCH</v>
      </c>
      <c r="I70" s="32" t="b">
        <f>_xll.qlRelinkableHandleLinkTo(H70,I60,Trigger)</f>
        <v>1</v>
      </c>
      <c r="J70" s="40"/>
    </row>
    <row r="71" spans="2:10" x14ac:dyDescent="0.2">
      <c r="B71" s="20"/>
      <c r="C71" s="33" t="s">
        <v>119</v>
      </c>
      <c r="D71" s="34" t="b">
        <v>0</v>
      </c>
      <c r="E71" s="40"/>
      <c r="G71" s="20"/>
      <c r="H71" s="33" t="s">
        <v>119</v>
      </c>
      <c r="I71" s="34" t="b">
        <v>0</v>
      </c>
      <c r="J71" s="40"/>
    </row>
    <row r="72" spans="2:10" x14ac:dyDescent="0.2">
      <c r="B72" s="42"/>
      <c r="C72" s="43"/>
      <c r="D72" s="43"/>
      <c r="E72" s="44"/>
      <c r="G72" s="42"/>
      <c r="H72" s="43"/>
      <c r="I72" s="43"/>
      <c r="J72" s="44"/>
    </row>
    <row r="74" spans="2:10" x14ac:dyDescent="0.2">
      <c r="B74" s="35"/>
      <c r="C74" s="36"/>
      <c r="D74" s="36"/>
      <c r="E74" s="37"/>
      <c r="G74" s="35"/>
      <c r="H74" s="36"/>
      <c r="I74" s="36"/>
      <c r="J74" s="37"/>
    </row>
    <row r="75" spans="2:10" x14ac:dyDescent="0.2">
      <c r="B75" s="20"/>
      <c r="C75" s="19" t="s">
        <v>10</v>
      </c>
      <c r="D75" s="39" t="str">
        <f>_xll.qlPiecewiseYieldCurve(D77,D78,Calendar,_xll.ohPack(EUR1Y!Y3:Y79),,,,D79,D80,D81,Permanent,,ObjectOverwrite)</f>
        <v>_EUR1Y_linearLCH#0006</v>
      </c>
      <c r="E75" s="40"/>
      <c r="G75" s="20"/>
      <c r="H75" s="19"/>
      <c r="I75" s="39" t="str">
        <f>_xll.qlPiecewiseYieldCurve(I77,I78,Calendar,_xll.ohPack(EUR1Y!Z3:Z51),,,,I79,I80,I81,Permanent,,ObjectOverwrite)</f>
        <v>_EUR1Y_cubicLCH#0006</v>
      </c>
      <c r="J75" s="40"/>
    </row>
    <row r="76" spans="2:10" x14ac:dyDescent="0.2">
      <c r="B76" s="20"/>
      <c r="C76" s="21" t="s">
        <v>11</v>
      </c>
      <c r="D76" s="41" t="str">
        <f>_xll.ohRangeRetrieveError(yieldcurve1_1Y)</f>
        <v/>
      </c>
      <c r="E76" s="40"/>
      <c r="G76" s="20"/>
      <c r="H76" s="21"/>
      <c r="I76" s="41" t="str">
        <f>_xll.ohRangeRetrieveError(yieldcurve2_1Y)</f>
        <v/>
      </c>
      <c r="J76" s="40"/>
    </row>
    <row r="77" spans="2:10" x14ac:dyDescent="0.2">
      <c r="B77" s="20"/>
      <c r="C77" s="19" t="s">
        <v>12</v>
      </c>
      <c r="D77" s="22" t="str">
        <f>"_"&amp;Currency&amp;"1Y"&amp;LCHlinear</f>
        <v>_EUR1Y_linearLCH</v>
      </c>
      <c r="E77" s="40"/>
      <c r="G77" s="20"/>
      <c r="H77" s="19"/>
      <c r="I77" s="22" t="str">
        <f>"_"&amp;Currency&amp;"1Y"&amp;LCHcubic</f>
        <v>_EUR1Y_cubicLCH</v>
      </c>
      <c r="J77" s="40"/>
    </row>
    <row r="78" spans="2:10" x14ac:dyDescent="0.2">
      <c r="B78" s="20"/>
      <c r="C78" s="23" t="s">
        <v>13</v>
      </c>
      <c r="D78" s="24">
        <v>0</v>
      </c>
      <c r="E78" s="40"/>
      <c r="G78" s="20"/>
      <c r="H78" s="23"/>
      <c r="I78" s="24">
        <v>0</v>
      </c>
      <c r="J78" s="40"/>
    </row>
    <row r="79" spans="2:10" x14ac:dyDescent="0.2">
      <c r="B79" s="20"/>
      <c r="C79" s="23" t="s">
        <v>15</v>
      </c>
      <c r="D79" s="25"/>
      <c r="E79" s="40"/>
      <c r="G79" s="20"/>
      <c r="H79" s="23"/>
      <c r="I79" s="25"/>
      <c r="J79" s="40"/>
    </row>
    <row r="80" spans="2:10" x14ac:dyDescent="0.2">
      <c r="B80" s="20"/>
      <c r="C80" s="23" t="s">
        <v>16</v>
      </c>
      <c r="D80" s="26" t="s">
        <v>142</v>
      </c>
      <c r="E80" s="40"/>
      <c r="G80" s="20"/>
      <c r="H80" s="23"/>
      <c r="I80" s="26" t="s">
        <v>32</v>
      </c>
      <c r="J80" s="40"/>
    </row>
    <row r="81" spans="2:10" x14ac:dyDescent="0.2">
      <c r="B81" s="20"/>
      <c r="C81" s="21" t="s">
        <v>17</v>
      </c>
      <c r="D81" s="27" t="s">
        <v>143</v>
      </c>
      <c r="E81" s="40"/>
      <c r="G81" s="20"/>
      <c r="H81" s="21"/>
      <c r="I81" s="27" t="s">
        <v>144</v>
      </c>
      <c r="J81" s="40"/>
    </row>
    <row r="82" spans="2:10" x14ac:dyDescent="0.2">
      <c r="B82" s="20"/>
      <c r="C82" s="28"/>
      <c r="D82" s="28"/>
      <c r="E82" s="40"/>
      <c r="G82" s="20"/>
      <c r="H82" s="28"/>
      <c r="I82" s="28"/>
      <c r="J82" s="40"/>
    </row>
    <row r="83" spans="2:10" x14ac:dyDescent="0.2">
      <c r="B83" s="20"/>
      <c r="C83" s="29">
        <f>_xll.qlTermStructureReferenceDate(yieldcurve1_1Y)</f>
        <v>42248</v>
      </c>
      <c r="D83" s="30">
        <f>_xll.qlYieldTSDiscount(yieldcurve1_1Y,C83,,Trigger)</f>
        <v>1</v>
      </c>
      <c r="E83" s="40"/>
      <c r="G83" s="20"/>
      <c r="H83" s="29">
        <f>_xll.qlTermStructureReferenceDate(yieldcurve2_1Y)</f>
        <v>42248</v>
      </c>
      <c r="I83" s="30">
        <f>_xll.qlYieldTSDiscount(yieldcurve2_1Y,H83,,Trigger)</f>
        <v>1</v>
      </c>
      <c r="J83" s="40"/>
    </row>
    <row r="84" spans="2:10" x14ac:dyDescent="0.2">
      <c r="B84" s="20"/>
      <c r="C84" s="31">
        <f>_xll.qlTermStructureMaxDate(yieldcurve1_1Y,Trigger)</f>
        <v>64172</v>
      </c>
      <c r="D84" s="32">
        <f>_xll.qlYieldTSDiscount(yieldcurve1_1Y,C84,,Trigger)</f>
        <v>0.37187755784969434</v>
      </c>
      <c r="E84" s="40"/>
      <c r="G84" s="20"/>
      <c r="H84" s="31">
        <f>_xll.qlTermStructureMaxDate(yieldcurve2_1Y,Trigger)</f>
        <v>64172</v>
      </c>
      <c r="I84" s="32">
        <f>_xll.qlYieldTSDiscount(yieldcurve2_1Y,H84,,Trigger)</f>
        <v>0.37199912724162271</v>
      </c>
      <c r="J84" s="40"/>
    </row>
    <row r="85" spans="2:10" x14ac:dyDescent="0.2">
      <c r="B85" s="20"/>
      <c r="C85" s="31" t="str">
        <f>Currency&amp;"1Y"&amp;LCHlinear</f>
        <v>EUR1Y_linearLCH</v>
      </c>
      <c r="D85" s="32" t="b">
        <f>_xll.qlRelinkableHandleLinkTo(C85,D75,Trigger)</f>
        <v>1</v>
      </c>
      <c r="E85" s="40"/>
      <c r="G85" s="20"/>
      <c r="H85" s="31" t="str">
        <f>Currency&amp;"1Y"&amp;LCHcubic</f>
        <v>EUR1Y_cubicLCH</v>
      </c>
      <c r="I85" s="32" t="b">
        <f>_xll.qlRelinkableHandleLinkTo(H85,I75,Trigger)</f>
        <v>1</v>
      </c>
      <c r="J85" s="40"/>
    </row>
    <row r="86" spans="2:10" x14ac:dyDescent="0.2">
      <c r="B86" s="20"/>
      <c r="C86" s="33" t="s">
        <v>119</v>
      </c>
      <c r="D86" s="34" t="b">
        <v>0</v>
      </c>
      <c r="E86" s="40"/>
      <c r="G86" s="20"/>
      <c r="H86" s="33" t="s">
        <v>119</v>
      </c>
      <c r="I86" s="34" t="b">
        <v>0</v>
      </c>
      <c r="J86" s="40"/>
    </row>
    <row r="87" spans="2:10" x14ac:dyDescent="0.2">
      <c r="B87" s="42"/>
      <c r="C87" s="43"/>
      <c r="D87" s="43"/>
      <c r="E87" s="44"/>
      <c r="G87" s="42"/>
      <c r="H87" s="43"/>
      <c r="I87" s="43"/>
      <c r="J87" s="44"/>
    </row>
    <row r="89" spans="2:10" x14ac:dyDescent="0.2">
      <c r="B89" s="35"/>
      <c r="C89" s="36"/>
      <c r="D89" s="36"/>
      <c r="E89" s="37"/>
    </row>
    <row r="90" spans="2:10" x14ac:dyDescent="0.2">
      <c r="B90" s="20"/>
      <c r="C90" s="19" t="s">
        <v>10</v>
      </c>
      <c r="D90" s="39" t="str">
        <f>_xll.qlPiecewiseYieldCurve(D92,D93,Calendar,_xll.ohPack(EURSTD!W3:W60),,,,D94,D95,D96,Permanent,,ObjectOverwrite)</f>
        <v>_EURSTD_linearLCH#0013</v>
      </c>
      <c r="E90" s="40"/>
    </row>
    <row r="91" spans="2:10" x14ac:dyDescent="0.2">
      <c r="B91" s="20"/>
      <c r="C91" s="21" t="s">
        <v>11</v>
      </c>
      <c r="D91" s="41" t="str">
        <f>_xll.ohRangeRetrieveError(yieldcurve1_1Y)</f>
        <v/>
      </c>
      <c r="E91" s="40"/>
    </row>
    <row r="92" spans="2:10" x14ac:dyDescent="0.2">
      <c r="B92" s="20"/>
      <c r="C92" s="19" t="s">
        <v>12</v>
      </c>
      <c r="D92" s="22" t="str">
        <f>"_"&amp;Currency&amp;"STD"&amp;LCHlinear</f>
        <v>_EURSTD_linearLCH</v>
      </c>
      <c r="E92" s="40"/>
    </row>
    <row r="93" spans="2:10" x14ac:dyDescent="0.2">
      <c r="B93" s="20"/>
      <c r="C93" s="23" t="s">
        <v>13</v>
      </c>
      <c r="D93" s="24">
        <v>0</v>
      </c>
      <c r="E93" s="40"/>
    </row>
    <row r="94" spans="2:10" x14ac:dyDescent="0.2">
      <c r="B94" s="20"/>
      <c r="C94" s="23" t="s">
        <v>15</v>
      </c>
      <c r="D94" s="25"/>
      <c r="E94" s="40"/>
    </row>
    <row r="95" spans="2:10" x14ac:dyDescent="0.2">
      <c r="B95" s="20"/>
      <c r="C95" s="23" t="s">
        <v>16</v>
      </c>
      <c r="D95" s="26" t="s">
        <v>142</v>
      </c>
      <c r="E95" s="40"/>
    </row>
    <row r="96" spans="2:10" x14ac:dyDescent="0.2">
      <c r="B96" s="20"/>
      <c r="C96" s="21" t="s">
        <v>17</v>
      </c>
      <c r="D96" s="27" t="s">
        <v>143</v>
      </c>
      <c r="E96" s="40"/>
    </row>
    <row r="97" spans="2:5" x14ac:dyDescent="0.2">
      <c r="B97" s="20"/>
      <c r="C97" s="28"/>
      <c r="D97" s="28"/>
      <c r="E97" s="40"/>
    </row>
    <row r="98" spans="2:5" x14ac:dyDescent="0.2">
      <c r="B98" s="20"/>
      <c r="C98" s="29">
        <f>_xll.qlTermStructureReferenceDate(yieldcurve1_STD)</f>
        <v>42248</v>
      </c>
      <c r="D98" s="30">
        <f>_xll.qlYieldTSDiscount(yieldcurve1_STD,C98,,Trigger)</f>
        <v>1</v>
      </c>
      <c r="E98" s="40"/>
    </row>
    <row r="99" spans="2:5" x14ac:dyDescent="0.2">
      <c r="B99" s="20"/>
      <c r="C99" s="31">
        <f>_xll.qlTermStructureMaxDate(yieldcurve1_STD,Trigger)</f>
        <v>64172</v>
      </c>
      <c r="D99" s="32">
        <f>_xll.qlYieldTSDiscount(yieldcurve1_STD,C99,,Trigger)</f>
        <v>0.38421072181915972</v>
      </c>
      <c r="E99" s="40"/>
    </row>
    <row r="100" spans="2:5" x14ac:dyDescent="0.2">
      <c r="B100" s="20"/>
      <c r="C100" s="31" t="str">
        <f>Currency&amp;"STD"&amp;LCHlinear</f>
        <v>EURSTD_linearLCH</v>
      </c>
      <c r="D100" s="32" t="b">
        <f>_xll.qlRelinkableHandleLinkTo(C100,D90,Trigger)</f>
        <v>1</v>
      </c>
      <c r="E100" s="40"/>
    </row>
    <row r="101" spans="2:5" x14ac:dyDescent="0.2">
      <c r="B101" s="20"/>
      <c r="C101" s="33" t="s">
        <v>119</v>
      </c>
      <c r="D101" s="34" t="b">
        <v>0</v>
      </c>
      <c r="E101" s="40"/>
    </row>
    <row r="102" spans="2:5" x14ac:dyDescent="0.2">
      <c r="B102" s="42"/>
      <c r="C102" s="43"/>
      <c r="D102" s="43"/>
      <c r="E102" s="44"/>
    </row>
  </sheetData>
  <dataValidations count="2">
    <dataValidation type="list" allowBlank="1" showInputMessage="1" showErrorMessage="1" sqref="D95">
      <formula1>"Discount,ZeroYield,ForwardRate"</formula1>
    </dataValidation>
    <dataValidation type="list" allowBlank="1" showInputMessage="1" showErrorMessage="1" sqref="D96">
      <formula1>"BackwardFlat,ForwardFlat,Linear,LogLinear,Parabolic,LogParabolic,MonotonicParabolic,MonotonicLogParabolic,CubicNaturalSpline,MonotonicCubicNaturalSpline,LogCubicNaturalSpline,MonotonicLogCubicNaturalSpline,KrugerCubic,KrugerLogCubic,FritschButlandCubic,FritschButlandLogCubic"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1"/>
  <dimension ref="A1:AI80"/>
  <sheetViews>
    <sheetView showGridLines="0" topLeftCell="H1" zoomScaleNormal="100" workbookViewId="0">
      <selection activeCell="H1" sqref="H1"/>
    </sheetView>
  </sheetViews>
  <sheetFormatPr defaultRowHeight="11.25" outlineLevelCol="1" x14ac:dyDescent="0.2"/>
  <cols>
    <col min="1" max="1" width="6" style="46" hidden="1" customWidth="1" outlineLevel="1"/>
    <col min="2" max="2" width="6" style="51" hidden="1" customWidth="1" outlineLevel="1"/>
    <col min="3" max="3" width="11" style="50" hidden="1" customWidth="1" outlineLevel="1"/>
    <col min="4" max="4" width="12" style="52" hidden="1" customWidth="1" outlineLevel="1"/>
    <col min="5" max="5" width="22.42578125" style="46" hidden="1" customWidth="1" outlineLevel="1"/>
    <col min="6" max="6" width="8" style="46" hidden="1" customWidth="1" outlineLevel="1"/>
    <col min="7" max="7" width="15.140625" style="46" hidden="1" customWidth="1" outlineLevel="1"/>
    <col min="8" max="8" width="2.7109375" style="46" customWidth="1" collapsed="1"/>
    <col min="9" max="9" width="9" style="46" hidden="1" customWidth="1" outlineLevel="1"/>
    <col min="10" max="10" width="15.140625" style="103" hidden="1" customWidth="1" outlineLevel="1"/>
    <col min="11" max="11" width="21.42578125" style="103" hidden="1" customWidth="1" outlineLevel="1"/>
    <col min="12" max="12" width="12" style="103" hidden="1" customWidth="1" outlineLevel="1"/>
    <col min="13" max="13" width="7.85546875" style="103" hidden="1" customWidth="1" outlineLevel="1"/>
    <col min="14" max="14" width="9" style="103" hidden="1" customWidth="1" outlineLevel="1"/>
    <col min="15" max="15" width="5.85546875" style="103" hidden="1" customWidth="1" outlineLevel="1"/>
    <col min="16" max="17" width="10.7109375" style="103" hidden="1" customWidth="1" outlineLevel="1"/>
    <col min="18" max="18" width="2.7109375" style="48" hidden="1" customWidth="1" outlineLevel="1"/>
    <col min="19" max="19" width="6" style="46" customWidth="1" collapsed="1"/>
    <col min="20" max="20" width="10.140625" style="46" hidden="1" customWidth="1" outlineLevel="1"/>
    <col min="21" max="21" width="24.7109375" style="46" customWidth="1" collapsed="1"/>
    <col min="22" max="23" width="9.7109375" style="46" customWidth="1"/>
    <col min="24" max="25" width="17.28515625" style="46" bestFit="1" customWidth="1"/>
    <col min="26" max="26" width="13.140625" style="46" bestFit="1" customWidth="1"/>
    <col min="27" max="27" width="12.42578125" style="46" customWidth="1"/>
    <col min="28" max="28" width="10" style="46" hidden="1" customWidth="1" outlineLevel="1"/>
    <col min="29" max="29" width="9" style="46" hidden="1" customWidth="1" outlineLevel="1"/>
    <col min="30" max="30" width="10" style="46" hidden="1" customWidth="1" outlineLevel="1"/>
    <col min="31" max="31" width="12" style="46" hidden="1" customWidth="1" outlineLevel="1"/>
    <col min="32" max="32" width="10" style="46" hidden="1" customWidth="1" outlineLevel="1"/>
    <col min="33" max="33" width="3.7109375" style="46" customWidth="1" collapsed="1"/>
    <col min="34" max="35" width="24.42578125" style="46" bestFit="1" customWidth="1"/>
    <col min="36" max="37" width="11.7109375" style="46" customWidth="1"/>
    <col min="38" max="39" width="24.42578125" style="46" bestFit="1" customWidth="1"/>
    <col min="40" max="40" width="10" style="46" bestFit="1" customWidth="1"/>
    <col min="41" max="41" width="24.42578125" style="46" bestFit="1" customWidth="1"/>
    <col min="42" max="16384" width="9.140625" style="46"/>
  </cols>
  <sheetData>
    <row r="1" spans="1:35" ht="18" customHeight="1" x14ac:dyDescent="0.2">
      <c r="D1" s="50" t="s">
        <v>123</v>
      </c>
      <c r="I1" s="67" t="s">
        <v>24</v>
      </c>
      <c r="J1" s="106"/>
      <c r="K1" s="106"/>
      <c r="L1" s="106"/>
      <c r="M1" s="106"/>
      <c r="N1" s="106"/>
      <c r="O1" s="106"/>
      <c r="P1" s="106"/>
      <c r="Q1" s="96"/>
      <c r="R1" s="93"/>
      <c r="S1" s="74" t="str">
        <f>Currency&amp;"OIS"</f>
        <v>EUROIS</v>
      </c>
      <c r="T1" s="66"/>
      <c r="U1" s="66"/>
      <c r="V1" s="69"/>
      <c r="W1" s="69"/>
      <c r="X1" s="66"/>
      <c r="Y1" s="66"/>
      <c r="Z1" s="184" t="s">
        <v>143</v>
      </c>
      <c r="AA1" s="184" t="s">
        <v>154</v>
      </c>
    </row>
    <row r="2" spans="1:35" ht="21.75" customHeight="1" x14ac:dyDescent="0.2">
      <c r="A2" s="65" t="s">
        <v>9</v>
      </c>
      <c r="B2" s="65" t="s">
        <v>29</v>
      </c>
      <c r="C2" s="65" t="s">
        <v>75</v>
      </c>
      <c r="D2" s="65" t="s">
        <v>4</v>
      </c>
      <c r="E2" s="65" t="s">
        <v>1</v>
      </c>
      <c r="F2" s="65"/>
      <c r="G2" s="65" t="s">
        <v>24</v>
      </c>
      <c r="I2" s="73" t="s">
        <v>9</v>
      </c>
      <c r="J2" s="73" t="s">
        <v>24</v>
      </c>
      <c r="K2" s="73" t="s">
        <v>79</v>
      </c>
      <c r="L2" s="73" t="s">
        <v>82</v>
      </c>
      <c r="M2" s="73" t="s">
        <v>80</v>
      </c>
      <c r="N2" s="73" t="s">
        <v>81</v>
      </c>
      <c r="O2" s="73" t="s">
        <v>83</v>
      </c>
      <c r="P2" s="73" t="s">
        <v>22</v>
      </c>
      <c r="Q2" s="73" t="s">
        <v>76</v>
      </c>
      <c r="R2" s="93"/>
      <c r="S2" s="73" t="s">
        <v>9</v>
      </c>
      <c r="T2" s="73" t="s">
        <v>24</v>
      </c>
      <c r="U2" s="73" t="s">
        <v>79</v>
      </c>
      <c r="V2" s="75" t="s">
        <v>23</v>
      </c>
      <c r="W2" s="75" t="s">
        <v>84</v>
      </c>
      <c r="X2" s="73" t="s">
        <v>22</v>
      </c>
      <c r="Y2" s="73" t="s">
        <v>76</v>
      </c>
      <c r="Z2" s="172">
        <f t="array" ref="Z2:Z62">_xll.qlPiecewiseYieldCurveData(YieldCurve1_ON,Trigger)</f>
        <v>-1.2673633113901206E-3</v>
      </c>
      <c r="AA2" s="76">
        <f t="array" ref="AA2:AA62">_xll.qlPiecewiseYieldCurveData(yieldcurve2_ON,Trigger)</f>
        <v>1</v>
      </c>
      <c r="AD2" s="46" t="s">
        <v>155</v>
      </c>
      <c r="AF2" s="46" t="s">
        <v>156</v>
      </c>
      <c r="AH2" s="180" t="s">
        <v>85</v>
      </c>
      <c r="AI2" s="181"/>
    </row>
    <row r="3" spans="1:35" ht="11.25" customHeight="1" x14ac:dyDescent="0.2">
      <c r="A3" s="53" t="s">
        <v>26</v>
      </c>
      <c r="B3" s="54" t="s">
        <v>37</v>
      </c>
      <c r="C3" s="56" t="s">
        <v>6</v>
      </c>
      <c r="D3" s="55" t="str">
        <f>$D$1</f>
        <v>Eonia</v>
      </c>
      <c r="E3" s="57" t="str">
        <f>IF(LCHQuoteOverwrite,Currency&amp;"1DOIS"&amp;LCHQuoteSuffix,Currency&amp;$B3&amp;"D"&amp;QuoteSuffix)</f>
        <v>EUR1DOIS_LCHQuote</v>
      </c>
      <c r="F3" s="123"/>
      <c r="G3" s="58" t="str">
        <f>_xll.qlDepositRateHelper(,E3,D3,Permanent,Trigger,ObjectOverwrite)</f>
        <v>obj_00602#0005</v>
      </c>
      <c r="H3" s="49"/>
      <c r="I3" s="10" t="str">
        <f>A3</f>
        <v>Dp</v>
      </c>
      <c r="J3" s="94" t="str">
        <f>IF(ISBLANK(G3),"--",G3)</f>
        <v>obj_00602#0005</v>
      </c>
      <c r="K3" s="146" t="str">
        <f>IFERROR(_xll.qlRateHelperQuoteName(J3,Trigger),"--")</f>
        <v>EUR1DOIS_LCHQuote</v>
      </c>
      <c r="L3" s="98">
        <f>IFERROR(_xll.qlRateHelperQuoteValue($J3,Trigger),"--")</f>
        <v>-1.25E-3</v>
      </c>
      <c r="M3" s="97" t="b">
        <v>1</v>
      </c>
      <c r="N3" s="94">
        <v>70</v>
      </c>
      <c r="O3" s="94">
        <v>1</v>
      </c>
      <c r="P3" s="99">
        <f>IFERROR(_xll.qlRateHelperEarliestDate(J3,Trigger),"--")</f>
        <v>42248</v>
      </c>
      <c r="Q3" s="99">
        <f>IFERROR(_xll.qlRateHelperPillarDate(J3,Trigger),"--")</f>
        <v>42249</v>
      </c>
      <c r="S3" s="4" t="str">
        <f>IFERROR(INDEX($I$3:$I$62,MATCH(U3,$K$3:$K$62,0),1),"")</f>
        <v>Dp</v>
      </c>
      <c r="T3" s="4" t="str">
        <f t="array" ref="T3:T62">_xll.qlRateHelperSelection(_xll.ohFilter(RateHelpers,IncludeFlag),_xll.ohFilter(Priority,IncludeFlag),AI3,AI4,AI5,AI6,_xll.ohFilter(MinDistance,IncludeFlag),Trigger)</f>
        <v>obj_00602</v>
      </c>
      <c r="U3" s="4" t="str">
        <f>IFERROR(_xll.qlRateHelperQuoteName(T3,Trigger),"")</f>
        <v>EUR1DOIS_LCHQuote</v>
      </c>
      <c r="V3" s="70">
        <f>IFERROR(_xll.qlRateHelperRate(T3,Trigger),"")</f>
        <v>-1.25E-3</v>
      </c>
      <c r="W3" s="104" t="str">
        <f>IF(ISERROR(_xll.qlSwapRateHelperSpread($T3)),IF(ISERROR(_xll.qlFuturesRateHelperConvexityAdjustment($T3)),"",_xll.qlFuturesRateHelperConvexityAdjustment($T3)),_xll.qlSwapRateHelperSpread($T3))</f>
        <v/>
      </c>
      <c r="X3" s="5">
        <f>IFERROR(_xll.qlRateHelperEarliestDate(T3,Trigger),"")</f>
        <v>42248</v>
      </c>
      <c r="Y3" s="5">
        <f>IFERROR(_xll.qlRateHelperPillarDate(T3,Trigger),"")</f>
        <v>42249</v>
      </c>
      <c r="Z3" s="70">
        <v>-1.2673633113901206E-3</v>
      </c>
      <c r="AA3" s="77">
        <v>1.0000034722342785</v>
      </c>
      <c r="AB3" s="170">
        <f t="array" ref="AB3:AB62">_xll.ohFilter([1]REP00100!$C$2:$C$1000,([1]REP00100!$A$2:$A$1000="EUR_EONIA_EOD"))</f>
        <v>42249</v>
      </c>
      <c r="AC3" s="171">
        <f t="array" ref="AC3:AC62">_xll.ohFilter([1]REP00100!$E$2:$E$1000,([1]REP00100!$A$2:$A$1000="EUR_EONIA_EOD"))</f>
        <v>-1.2673633113434301E-3</v>
      </c>
      <c r="AD3" s="173">
        <f>Z3-AC3</f>
        <v>-4.6690516036784757E-14</v>
      </c>
      <c r="AE3" s="175">
        <f t="array" ref="AE3:AE62">_xll.ohFilter([1]REP00101!$F$2:$F$1000,([1]REP00101!$A$2:$A$1000="EUR_EONIA_EOD"))</f>
        <v>1.0000034722342801</v>
      </c>
      <c r="AF3" s="174">
        <f>AA3-AE3</f>
        <v>0</v>
      </c>
      <c r="AG3" s="171"/>
      <c r="AH3" s="107" t="s">
        <v>86</v>
      </c>
      <c r="AI3" s="108">
        <v>0</v>
      </c>
    </row>
    <row r="4" spans="1:35" ht="11.25" customHeight="1" x14ac:dyDescent="0.2">
      <c r="A4" s="110" t="s">
        <v>26</v>
      </c>
      <c r="B4" s="111" t="s">
        <v>73</v>
      </c>
      <c r="C4" s="112" t="s">
        <v>74</v>
      </c>
      <c r="D4" s="113" t="str">
        <f>$D$1</f>
        <v>Eonia</v>
      </c>
      <c r="E4" s="169" t="str">
        <f>IF(LCHQuoteOverwrite,Currency&amp;"2DOIS"&amp;LCHQuoteSuffix,Currency&amp;$B4&amp;"D"&amp;QuoteSuffix)</f>
        <v>EUR2DOIS_LCHQuote</v>
      </c>
      <c r="F4" s="122"/>
      <c r="G4" s="114" t="str">
        <f>_xll.qlFraRateHelper(,E4,C4,D4,PillarDate,,Permanent,Trigger,ObjectOverwrite)</f>
        <v>obj_00601#0005</v>
      </c>
      <c r="H4" s="48"/>
      <c r="I4" s="10" t="str">
        <f>A4</f>
        <v>Dp</v>
      </c>
      <c r="J4" s="94" t="str">
        <f t="shared" ref="J4" si="0">IF(ISBLANK(G4),"--",G4)</f>
        <v>obj_00601#0005</v>
      </c>
      <c r="K4" s="146" t="str">
        <f>IFERROR(_xll.qlRateHelperQuoteName(J4,Trigger),"--")</f>
        <v>EUR2DOIS_LCHQuote</v>
      </c>
      <c r="L4" s="98">
        <f>IFERROR(_xll.qlRateHelperQuoteValue($J4,Trigger),"--")</f>
        <v>-1.25E-3</v>
      </c>
      <c r="M4" s="97" t="b">
        <v>1</v>
      </c>
      <c r="N4" s="94">
        <v>70</v>
      </c>
      <c r="O4" s="94">
        <v>1</v>
      </c>
      <c r="P4" s="99">
        <f>IFERROR(_xll.qlRateHelperEarliestDate(J4,Trigger),"--")</f>
        <v>42249</v>
      </c>
      <c r="Q4" s="99">
        <f>IFERROR(_xll.qlRateHelperPillarDate(J4,Trigger),"--")</f>
        <v>42250</v>
      </c>
      <c r="S4" s="4" t="str">
        <f t="shared" ref="S4:S53" si="1">IFERROR(INDEX($I$3:$I$62,MATCH(U4,$K$3:$K$62,0),1),"")</f>
        <v>Dp</v>
      </c>
      <c r="T4" s="4" t="str">
        <v>obj_00601</v>
      </c>
      <c r="U4" s="4" t="str">
        <f>IFERROR(_xll.qlRateHelperQuoteName(T4,Trigger),"")</f>
        <v>EUR2DOIS_LCHQuote</v>
      </c>
      <c r="V4" s="70">
        <f>IFERROR(_xll.qlRateHelperRate(T4,Trigger),"")</f>
        <v>-1.25E-3</v>
      </c>
      <c r="W4" s="104" t="str">
        <f>IF(ISERROR(_xll.qlSwapRateHelperSpread($T4)),IF(ISERROR(_xll.qlFuturesRateHelperConvexityAdjustment($T4)),"",_xll.qlFuturesRateHelperConvexityAdjustment($T4)),_xll.qlSwapRateHelperSpread($T4))</f>
        <v/>
      </c>
      <c r="X4" s="5">
        <f>IFERROR(_xll.qlRateHelperEarliestDate(T4,Trigger),"")</f>
        <v>42249</v>
      </c>
      <c r="Y4" s="5">
        <f>IFERROR(_xll.qlRateHelperPillarDate(T4,Trigger),"")</f>
        <v>42250</v>
      </c>
      <c r="Z4" s="70">
        <v>-1.2673633114192282E-3</v>
      </c>
      <c r="AA4" s="77">
        <v>1.0000069444806134</v>
      </c>
      <c r="AB4" s="170">
        <v>42250</v>
      </c>
      <c r="AC4" s="171">
        <v>-1.2673633113861301E-3</v>
      </c>
      <c r="AD4" s="173">
        <f t="shared" ref="AD4:AD62" si="2">Z4-AC4</f>
        <v>-3.3098090240768485E-14</v>
      </c>
      <c r="AE4" s="175">
        <v>1.0000069444806099</v>
      </c>
      <c r="AF4" s="174">
        <f t="shared" ref="AF4:AF62" si="3">AA4-AE4</f>
        <v>3.5527136788005009E-15</v>
      </c>
      <c r="AG4" s="171"/>
      <c r="AH4" s="107" t="s">
        <v>87</v>
      </c>
      <c r="AI4" s="108">
        <v>0</v>
      </c>
    </row>
    <row r="5" spans="1:35" ht="11.25" customHeight="1" x14ac:dyDescent="0.2">
      <c r="D5" s="50" t="s">
        <v>124</v>
      </c>
      <c r="H5" s="48"/>
      <c r="I5" s="68" t="str">
        <f>A7</f>
        <v>OIS</v>
      </c>
      <c r="J5" s="131" t="str">
        <f>IF(ISBLANK(G7),"--",G7)</f>
        <v>obj_0063e#0005</v>
      </c>
      <c r="K5" s="145" t="str">
        <f>IFERROR(_xll.qlRateHelperQuoteName(J5,Trigger),"--")</f>
        <v>EUR1WOIS_LCHQuote</v>
      </c>
      <c r="L5" s="133">
        <f>IFERROR(_xll.qlRateHelperQuoteValue($J5,Trigger),"--")</f>
        <v>-1.32E-3</v>
      </c>
      <c r="M5" s="132" t="b">
        <v>1</v>
      </c>
      <c r="N5" s="131">
        <v>50</v>
      </c>
      <c r="O5" s="131">
        <v>1</v>
      </c>
      <c r="P5" s="134">
        <f>IFERROR(_xll.qlRateHelperEarliestDate(J5,Trigger),"--")</f>
        <v>42250</v>
      </c>
      <c r="Q5" s="134">
        <f>IFERROR(_xll.qlRateHelperPillarDate(J5,Trigger),"--")</f>
        <v>42257</v>
      </c>
      <c r="S5" s="4" t="str">
        <f t="shared" si="1"/>
        <v>OIS</v>
      </c>
      <c r="T5" s="4" t="str">
        <v>obj_0063e</v>
      </c>
      <c r="U5" s="4" t="str">
        <f>IFERROR(_xll.qlRateHelperQuoteName(T5,Trigger),"")</f>
        <v>EUR1WOIS_LCHQuote</v>
      </c>
      <c r="V5" s="70">
        <f>IFERROR(_xll.qlRateHelperRate(T5,Trigger),"")</f>
        <v>-1.32E-3</v>
      </c>
      <c r="W5" s="104" t="str">
        <f>IF(ISERROR(_xll.qlSwapRateHelperSpread($T5)),IF(ISERROR(_xll.qlFuturesRateHelperConvexityAdjustment($T5)),"",_xll.qlFuturesRateHelperConvexityAdjustment($T5)),_xll.qlSwapRateHelperSpread($T5))</f>
        <v/>
      </c>
      <c r="X5" s="5">
        <f>IFERROR(_xll.qlRateHelperEarliestDate(T5,Trigger),"")</f>
        <v>42250</v>
      </c>
      <c r="Y5" s="5">
        <f>IFERROR(_xll.qlRateHelperPillarDate(T5,Trigger),"")</f>
        <v>42257</v>
      </c>
      <c r="Z5" s="70">
        <v>-1.3225755760887378E-3</v>
      </c>
      <c r="AA5" s="77">
        <v>1.000032611984357</v>
      </c>
      <c r="AB5" s="170">
        <v>42257</v>
      </c>
      <c r="AC5" s="171">
        <v>-1.3225755761178399E-3</v>
      </c>
      <c r="AD5" s="173">
        <f t="shared" si="2"/>
        <v>2.910215471385591E-14</v>
      </c>
      <c r="AE5" s="175">
        <v>1.0000326119843199</v>
      </c>
      <c r="AF5" s="174">
        <f t="shared" si="3"/>
        <v>3.7081449022480228E-14</v>
      </c>
      <c r="AG5" s="171"/>
      <c r="AH5" s="107" t="s">
        <v>88</v>
      </c>
      <c r="AI5" s="108">
        <v>0</v>
      </c>
    </row>
    <row r="6" spans="1:35" ht="11.25" customHeight="1" x14ac:dyDescent="0.2">
      <c r="A6" s="65" t="s">
        <v>9</v>
      </c>
      <c r="B6" s="65" t="s">
        <v>29</v>
      </c>
      <c r="C6" s="65" t="s">
        <v>78</v>
      </c>
      <c r="D6" s="65" t="s">
        <v>4</v>
      </c>
      <c r="E6" s="65" t="s">
        <v>1</v>
      </c>
      <c r="F6" s="65"/>
      <c r="G6" s="65" t="s">
        <v>24</v>
      </c>
      <c r="H6" s="48"/>
      <c r="I6" s="10" t="str">
        <f t="shared" ref="I6:I40" si="4">A8</f>
        <v>OIS</v>
      </c>
      <c r="J6" s="94" t="str">
        <f t="shared" ref="J6:J40" si="5">IF(ISBLANK(G8),"--",G8)</f>
        <v>obj_0062e#0005</v>
      </c>
      <c r="K6" s="146" t="str">
        <f>IFERROR(_xll.qlRateHelperQuoteName(J6,Trigger),"--")</f>
        <v>EUR2WOIS_LCHQuote</v>
      </c>
      <c r="L6" s="98">
        <f>IFERROR(_xll.qlRateHelperQuoteValue($J6,Trigger),"--")</f>
        <v>-1.2800000000000001E-3</v>
      </c>
      <c r="M6" s="97" t="b">
        <v>1</v>
      </c>
      <c r="N6" s="94">
        <v>50</v>
      </c>
      <c r="O6" s="94">
        <v>1</v>
      </c>
      <c r="P6" s="99">
        <f>IFERROR(_xll.qlRateHelperEarliestDate(J6,Trigger),"--")</f>
        <v>42250</v>
      </c>
      <c r="Q6" s="99">
        <f>IFERROR(_xll.qlRateHelperPillarDate(J6,Trigger),"--")</f>
        <v>42264</v>
      </c>
      <c r="S6" s="4" t="str">
        <f t="shared" si="1"/>
        <v>OIS</v>
      </c>
      <c r="T6" s="4" t="str">
        <v>obj_0062e</v>
      </c>
      <c r="U6" s="4" t="str">
        <f>IFERROR(_xll.qlRateHelperQuoteName(T6,Trigger),"")</f>
        <v>EUR2WOIS_LCHQuote</v>
      </c>
      <c r="V6" s="70">
        <f>IFERROR(_xll.qlRateHelperRate(T6,Trigger),"")</f>
        <v>-1.2800000000000001E-3</v>
      </c>
      <c r="W6" s="104" t="str">
        <f>IF(ISERROR(_xll.qlSwapRateHelperSpread($T6)),IF(ISERROR(_xll.qlFuturesRateHelperConvexityAdjustment($T6)),"",_xll.qlFuturesRateHelperConvexityAdjustment($T6)),_xll.qlSwapRateHelperSpread($T6))</f>
        <v/>
      </c>
      <c r="X6" s="5">
        <f>IFERROR(_xll.qlRateHelperEarliestDate(T6,Trigger),"")</f>
        <v>42250</v>
      </c>
      <c r="Y6" s="5">
        <f>IFERROR(_xll.qlRateHelperPillarDate(T6,Trigger),"")</f>
        <v>42264</v>
      </c>
      <c r="Z6" s="70">
        <v>-1.294004233040815E-3</v>
      </c>
      <c r="AA6" s="77">
        <v>1.0000567250820391</v>
      </c>
      <c r="AB6" s="170">
        <v>42264</v>
      </c>
      <c r="AC6" s="171">
        <v>-1.2940042331346299E-3</v>
      </c>
      <c r="AD6" s="173">
        <f t="shared" si="2"/>
        <v>9.3814929782998213E-14</v>
      </c>
      <c r="AE6" s="175">
        <v>1.00005672508204</v>
      </c>
      <c r="AF6" s="174">
        <f t="shared" si="3"/>
        <v>0</v>
      </c>
      <c r="AG6" s="171"/>
      <c r="AH6" s="107" t="s">
        <v>89</v>
      </c>
      <c r="AI6" s="109" t="s">
        <v>90</v>
      </c>
    </row>
    <row r="7" spans="1:35" ht="11.25" customHeight="1" x14ac:dyDescent="0.2">
      <c r="A7" s="53" t="s">
        <v>70</v>
      </c>
      <c r="B7" s="54" t="s">
        <v>38</v>
      </c>
      <c r="C7" s="55">
        <f>IF(B7="O/N",0,IF(B7="T/N",1,2))</f>
        <v>2</v>
      </c>
      <c r="D7" s="62" t="str">
        <f>$D$1</f>
        <v>Eonia</v>
      </c>
      <c r="E7" s="57" t="str">
        <f t="shared" ref="E7:E42" si="6">IF(LCHQuoteOverwrite,Currency&amp;B7&amp;"OIS"&amp;LCHQuoteSuffix,Currency&amp;$D$5&amp;IF($B7="1W","SW",$B7)&amp;QuoteSuffix)</f>
        <v>EUR1WOIS_LCHQuote</v>
      </c>
      <c r="F7" s="123"/>
      <c r="G7" s="58" t="str">
        <f>_xll.qlOISRateHelper(,C7,B7,E7,$D7,,Permanent,Trigger,ObjectOverwrite)</f>
        <v>obj_0063e#0005</v>
      </c>
      <c r="H7" s="48"/>
      <c r="I7" s="10" t="str">
        <f t="shared" si="4"/>
        <v>OIS</v>
      </c>
      <c r="J7" s="94" t="str">
        <f t="shared" si="5"/>
        <v>obj_0063a#0005</v>
      </c>
      <c r="K7" s="146" t="str">
        <f>IFERROR(_xll.qlRateHelperQuoteName(J7,Trigger),"--")</f>
        <v>EUR3WOIS_LCHQuote</v>
      </c>
      <c r="L7" s="98">
        <f>IFERROR(_xll.qlRateHelperQuoteValue($J7,Trigger),"--")</f>
        <v>-1.2750000000000001E-3</v>
      </c>
      <c r="M7" s="97" t="b">
        <v>1</v>
      </c>
      <c r="N7" s="94">
        <v>50</v>
      </c>
      <c r="O7" s="94">
        <v>1</v>
      </c>
      <c r="P7" s="99">
        <f>IFERROR(_xll.qlRateHelperEarliestDate(J7,Trigger),"--")</f>
        <v>42250</v>
      </c>
      <c r="Q7" s="99">
        <f>IFERROR(_xll.qlRateHelperPillarDate(J7,Trigger),"--")</f>
        <v>42271</v>
      </c>
      <c r="S7" s="4" t="str">
        <f t="shared" si="1"/>
        <v>OIS</v>
      </c>
      <c r="T7" s="4" t="str">
        <v>obj_0063a</v>
      </c>
      <c r="U7" s="4" t="str">
        <f>IFERROR(_xll.qlRateHelperQuoteName(T7,Trigger),"")</f>
        <v>EUR3WOIS_LCHQuote</v>
      </c>
      <c r="V7" s="70">
        <f>IFERROR(_xll.qlRateHelperRate(T7,Trigger),"")</f>
        <v>-1.2750000000000001E-3</v>
      </c>
      <c r="W7" s="104" t="str">
        <f>IF(ISERROR(_xll.qlSwapRateHelperSpread($T7)),IF(ISERROR(_xll.qlFuturesRateHelperConvexityAdjustment($T7)),"",_xll.qlFuturesRateHelperConvexityAdjustment($T7)),_xll.qlSwapRateHelperSpread($T7))</f>
        <v/>
      </c>
      <c r="X7" s="5">
        <f>IFERROR(_xll.qlRateHelperEarliestDate(T7,Trigger),"")</f>
        <v>42250</v>
      </c>
      <c r="Y7" s="5">
        <f>IFERROR(_xll.qlRateHelperPillarDate(T7,Trigger),"")</f>
        <v>42271</v>
      </c>
      <c r="Z7" s="70">
        <v>-1.2905483129239245E-3</v>
      </c>
      <c r="AA7" s="77">
        <v>1.0000813255291996</v>
      </c>
      <c r="AB7" s="170">
        <v>42271</v>
      </c>
      <c r="AC7" s="171">
        <v>-1.29054831292416E-3</v>
      </c>
      <c r="AD7" s="173">
        <f t="shared" si="2"/>
        <v>2.3548871186385156E-16</v>
      </c>
      <c r="AE7" s="175">
        <v>1.0000813255292</v>
      </c>
      <c r="AF7" s="174">
        <f t="shared" si="3"/>
        <v>0</v>
      </c>
      <c r="AG7" s="171"/>
    </row>
    <row r="8" spans="1:35" ht="11.25" customHeight="1" x14ac:dyDescent="0.2">
      <c r="A8" s="59" t="s">
        <v>70</v>
      </c>
      <c r="B8" s="60" t="s">
        <v>39</v>
      </c>
      <c r="C8" s="61">
        <f t="shared" ref="C8:C21" si="7">IF(B8="O/N",0,IF(B8="T/N",1,2))</f>
        <v>2</v>
      </c>
      <c r="D8" s="62" t="str">
        <f t="shared" ref="D8:D42" si="8">$D$1</f>
        <v>Eonia</v>
      </c>
      <c r="E8" s="63" t="str">
        <f t="shared" si="6"/>
        <v>EUR2WOIS_LCHQuote</v>
      </c>
      <c r="F8" s="123"/>
      <c r="G8" s="64" t="str">
        <f>_xll.qlOISRateHelper(,C8,B8,E8,$D8,,Permanent,Trigger,ObjectOverwrite)</f>
        <v>obj_0062e#0005</v>
      </c>
      <c r="H8" s="48"/>
      <c r="I8" s="10" t="str">
        <f t="shared" si="4"/>
        <v>OIS</v>
      </c>
      <c r="J8" s="94" t="str">
        <f t="shared" si="5"/>
        <v>obj_00631#0005</v>
      </c>
      <c r="K8" s="146" t="str">
        <f>IFERROR(_xll.qlRateHelperQuoteName(J8,Trigger),"--")</f>
        <v>EUR1MOIS_LCHQuote</v>
      </c>
      <c r="L8" s="98">
        <f>IFERROR(_xll.qlRateHelperQuoteValue($J8,Trigger),"--")</f>
        <v>-1.2416667E-3</v>
      </c>
      <c r="M8" s="97" t="b">
        <v>1</v>
      </c>
      <c r="N8" s="94">
        <v>50</v>
      </c>
      <c r="O8" s="94">
        <v>1</v>
      </c>
      <c r="P8" s="99">
        <f>IFERROR(_xll.qlRateHelperEarliestDate(J8,Trigger),"--")</f>
        <v>42250</v>
      </c>
      <c r="Q8" s="99">
        <f>IFERROR(_xll.qlRateHelperPillarDate(J8,Trigger),"--")</f>
        <v>42282</v>
      </c>
      <c r="S8" s="4" t="str">
        <f t="shared" si="1"/>
        <v>OIS</v>
      </c>
      <c r="T8" s="4" t="str">
        <v>obj_00631</v>
      </c>
      <c r="U8" s="4" t="str">
        <f>IFERROR(_xll.qlRateHelperQuoteName(T8,Trigger),"")</f>
        <v>EUR1MOIS_LCHQuote</v>
      </c>
      <c r="V8" s="70">
        <f>IFERROR(_xll.qlRateHelperRate(T8,Trigger),"")</f>
        <v>-1.2416667E-3</v>
      </c>
      <c r="W8" s="104" t="str">
        <f>IF(ISERROR(_xll.qlSwapRateHelperSpread($T8)),IF(ISERROR(_xll.qlFuturesRateHelperConvexityAdjustment($T8)),"",_xll.qlFuturesRateHelperConvexityAdjustment($T8)),_xll.qlSwapRateHelperSpread($T8))</f>
        <v/>
      </c>
      <c r="X8" s="5">
        <f>IFERROR(_xll.qlRateHelperEarliestDate(T8,Trigger),"")</f>
        <v>42250</v>
      </c>
      <c r="Y8" s="5">
        <f>IFERROR(_xll.qlRateHelperPillarDate(T8,Trigger),"")</f>
        <v>42282</v>
      </c>
      <c r="Z8" s="70">
        <v>-1.2594745939901258E-3</v>
      </c>
      <c r="AA8" s="77">
        <v>1.000117327803453</v>
      </c>
      <c r="AB8" s="170">
        <v>42282</v>
      </c>
      <c r="AC8" s="171">
        <v>-1.25947456544553E-3</v>
      </c>
      <c r="AD8" s="173">
        <f t="shared" si="2"/>
        <v>-2.8544595723559163E-11</v>
      </c>
      <c r="AE8" s="175">
        <v>1.00011732780079</v>
      </c>
      <c r="AF8" s="174">
        <f t="shared" si="3"/>
        <v>2.6629809468659005E-12</v>
      </c>
      <c r="AG8" s="171"/>
    </row>
    <row r="9" spans="1:35" ht="11.25" customHeight="1" x14ac:dyDescent="0.2">
      <c r="A9" s="59" t="s">
        <v>70</v>
      </c>
      <c r="B9" s="60" t="s">
        <v>40</v>
      </c>
      <c r="C9" s="61">
        <f t="shared" si="7"/>
        <v>2</v>
      </c>
      <c r="D9" s="62" t="str">
        <f t="shared" si="8"/>
        <v>Eonia</v>
      </c>
      <c r="E9" s="63" t="str">
        <f t="shared" si="6"/>
        <v>EUR3WOIS_LCHQuote</v>
      </c>
      <c r="F9" s="123"/>
      <c r="G9" s="64" t="str">
        <f>_xll.qlOISRateHelper(,C9,B9,E9,$D9,,Permanent,Trigger,ObjectOverwrite)</f>
        <v>obj_0063a#0005</v>
      </c>
      <c r="H9" s="48"/>
      <c r="I9" s="10" t="str">
        <f t="shared" si="4"/>
        <v>OIS</v>
      </c>
      <c r="J9" s="94" t="str">
        <f t="shared" si="5"/>
        <v>obj_00636#0005</v>
      </c>
      <c r="K9" s="146" t="str">
        <f>IFERROR(_xll.qlRateHelperQuoteName(J9,Trigger),"--")</f>
        <v>EUR2MOIS_LCHQuote</v>
      </c>
      <c r="L9" s="98">
        <f>IFERROR(_xll.qlRateHelperQuoteValue($J9,Trigger),"--")</f>
        <v>-1.2949999999999999E-3</v>
      </c>
      <c r="M9" s="97" t="b">
        <v>1</v>
      </c>
      <c r="N9" s="94">
        <v>50</v>
      </c>
      <c r="O9" s="94">
        <v>1</v>
      </c>
      <c r="P9" s="99">
        <f>IFERROR(_xll.qlRateHelperEarliestDate(J9,Trigger),"--")</f>
        <v>42250</v>
      </c>
      <c r="Q9" s="99">
        <f>IFERROR(_xll.qlRateHelperPillarDate(J9,Trigger),"--")</f>
        <v>42311</v>
      </c>
      <c r="S9" s="4" t="str">
        <f t="shared" si="1"/>
        <v>OIS</v>
      </c>
      <c r="T9" s="4" t="str">
        <v>obj_00636</v>
      </c>
      <c r="U9" s="4" t="str">
        <f>IFERROR(_xll.qlRateHelperQuoteName(T9,Trigger),"")</f>
        <v>EUR2MOIS_LCHQuote</v>
      </c>
      <c r="V9" s="70">
        <f>IFERROR(_xll.qlRateHelperRate(T9,Trigger),"")</f>
        <v>-1.2949999999999999E-3</v>
      </c>
      <c r="W9" s="104" t="str">
        <f>IF(ISERROR(_xll.qlSwapRateHelperSpread($T9)),IF(ISERROR(_xll.qlFuturesRateHelperConvexityAdjustment($T9)),"",_xll.qlFuturesRateHelperConvexityAdjustment($T9)),_xll.qlSwapRateHelperSpread($T9))</f>
        <v/>
      </c>
      <c r="X9" s="5">
        <f>IFERROR(_xll.qlRateHelperEarliestDate(T9,Trigger),"")</f>
        <v>42250</v>
      </c>
      <c r="Y9" s="5">
        <f>IFERROR(_xll.qlRateHelperPillarDate(T9,Trigger),"")</f>
        <v>42311</v>
      </c>
      <c r="Z9" s="70">
        <v>-1.3116772701444984E-3</v>
      </c>
      <c r="AA9" s="77">
        <v>1.0002264247206714</v>
      </c>
      <c r="AB9" s="170">
        <v>42311</v>
      </c>
      <c r="AC9" s="171">
        <v>-1.3116772701432401E-3</v>
      </c>
      <c r="AD9" s="173">
        <f t="shared" si="2"/>
        <v>-1.2583250413866764E-15</v>
      </c>
      <c r="AE9" s="175">
        <v>1.00022642472067</v>
      </c>
      <c r="AF9" s="174">
        <f t="shared" si="3"/>
        <v>0</v>
      </c>
      <c r="AG9" s="171"/>
    </row>
    <row r="10" spans="1:35" ht="11.25" customHeight="1" x14ac:dyDescent="0.2">
      <c r="A10" s="59" t="s">
        <v>70</v>
      </c>
      <c r="B10" s="60" t="s">
        <v>2</v>
      </c>
      <c r="C10" s="61">
        <f t="shared" si="7"/>
        <v>2</v>
      </c>
      <c r="D10" s="62" t="str">
        <f t="shared" si="8"/>
        <v>Eonia</v>
      </c>
      <c r="E10" s="63" t="str">
        <f t="shared" si="6"/>
        <v>EUR1MOIS_LCHQuote</v>
      </c>
      <c r="F10" s="123"/>
      <c r="G10" s="64" t="str">
        <f>_xll.qlOISRateHelper(,C10,B10,E10,$D10,,Permanent,Trigger,ObjectOverwrite)</f>
        <v>obj_00631#0005</v>
      </c>
      <c r="H10" s="48"/>
      <c r="I10" s="10" t="str">
        <f t="shared" si="4"/>
        <v>OIS</v>
      </c>
      <c r="J10" s="94" t="str">
        <f t="shared" si="5"/>
        <v>obj_00634#0005</v>
      </c>
      <c r="K10" s="146" t="str">
        <f>IFERROR(_xll.qlRateHelperQuoteName(J10,Trigger),"--")</f>
        <v>EUR3MOIS_LCHQuote</v>
      </c>
      <c r="L10" s="98">
        <f>IFERROR(_xll.qlRateHelperQuoteValue($J10,Trigger),"--")</f>
        <v>-1.3075000000000001E-3</v>
      </c>
      <c r="M10" s="97" t="b">
        <v>1</v>
      </c>
      <c r="N10" s="94">
        <v>50</v>
      </c>
      <c r="O10" s="94">
        <v>1</v>
      </c>
      <c r="P10" s="99">
        <f>IFERROR(_xll.qlRateHelperEarliestDate(J10,Trigger),"--")</f>
        <v>42250</v>
      </c>
      <c r="Q10" s="99">
        <f>IFERROR(_xll.qlRateHelperPillarDate(J10,Trigger),"--")</f>
        <v>42341</v>
      </c>
      <c r="S10" s="4" t="str">
        <f t="shared" si="1"/>
        <v>OIS</v>
      </c>
      <c r="T10" s="4" t="str">
        <v>obj_00634</v>
      </c>
      <c r="U10" s="4" t="str">
        <f>IFERROR(_xll.qlRateHelperQuoteName(T10,Trigger),"")</f>
        <v>EUR3MOIS_LCHQuote</v>
      </c>
      <c r="V10" s="70">
        <f>IFERROR(_xll.qlRateHelperRate(T10,Trigger),"")</f>
        <v>-1.3075000000000001E-3</v>
      </c>
      <c r="W10" s="104" t="str">
        <f>IF(ISERROR(_xll.qlSwapRateHelperSpread($T10)),IF(ISERROR(_xll.qlFuturesRateHelperConvexityAdjustment($T10)),"",_xll.qlFuturesRateHelperConvexityAdjustment($T10)),_xll.qlSwapRateHelperSpread($T10))</f>
        <v/>
      </c>
      <c r="X10" s="5">
        <f>IFERROR(_xll.qlRateHelperEarliestDate(T10,Trigger),"")</f>
        <v>42250</v>
      </c>
      <c r="Y10" s="5">
        <f>IFERROR(_xll.qlRateHelperPillarDate(T10,Trigger),"")</f>
        <v>42341</v>
      </c>
      <c r="Z10" s="70">
        <v>-1.3246204419033567E-3</v>
      </c>
      <c r="AA10" s="77">
        <v>1.0003375629919711</v>
      </c>
      <c r="AB10" s="170">
        <v>42341</v>
      </c>
      <c r="AC10" s="171">
        <v>-1.32462044190332E-3</v>
      </c>
      <c r="AD10" s="173">
        <f t="shared" si="2"/>
        <v>-3.664603343001005E-17</v>
      </c>
      <c r="AE10" s="175">
        <v>1.00033756299197</v>
      </c>
      <c r="AF10" s="174">
        <f t="shared" si="3"/>
        <v>0</v>
      </c>
      <c r="AG10" s="171"/>
    </row>
    <row r="11" spans="1:35" ht="11.25" customHeight="1" x14ac:dyDescent="0.2">
      <c r="A11" s="59" t="s">
        <v>70</v>
      </c>
      <c r="B11" s="60" t="s">
        <v>41</v>
      </c>
      <c r="C11" s="61">
        <f t="shared" si="7"/>
        <v>2</v>
      </c>
      <c r="D11" s="62" t="str">
        <f t="shared" si="8"/>
        <v>Eonia</v>
      </c>
      <c r="E11" s="63" t="str">
        <f t="shared" si="6"/>
        <v>EUR2MOIS_LCHQuote</v>
      </c>
      <c r="F11" s="123"/>
      <c r="G11" s="64" t="str">
        <f>_xll.qlOISRateHelper(,C11,B11,E11,$D11,,Permanent,Trigger,ObjectOverwrite)</f>
        <v>obj_00636#0005</v>
      </c>
      <c r="H11" s="48"/>
      <c r="I11" s="10" t="str">
        <f t="shared" si="4"/>
        <v>OIS</v>
      </c>
      <c r="J11" s="94" t="str">
        <f t="shared" si="5"/>
        <v>obj_00639#0005</v>
      </c>
      <c r="K11" s="146" t="str">
        <f>IFERROR(_xll.qlRateHelperQuoteName(J11,Trigger),"--")</f>
        <v>EUR4MOIS_LCHQuote</v>
      </c>
      <c r="L11" s="98">
        <f>IFERROR(_xll.qlRateHelperQuoteValue($J11,Trigger),"--")</f>
        <v>-1.2866666999999999E-3</v>
      </c>
      <c r="M11" s="97" t="b">
        <v>1</v>
      </c>
      <c r="N11" s="94">
        <v>50</v>
      </c>
      <c r="O11" s="94">
        <v>1</v>
      </c>
      <c r="P11" s="99">
        <f>IFERROR(_xll.qlRateHelperEarliestDate(J11,Trigger),"--")</f>
        <v>42250</v>
      </c>
      <c r="Q11" s="99">
        <f>IFERROR(_xll.qlRateHelperPillarDate(J11,Trigger),"--")</f>
        <v>42373</v>
      </c>
      <c r="S11" s="4" t="str">
        <f t="shared" si="1"/>
        <v>OIS</v>
      </c>
      <c r="T11" s="4" t="str">
        <v>obj_00639</v>
      </c>
      <c r="U11" s="4" t="str">
        <f>IFERROR(_xll.qlRateHelperQuoteName(T11,Trigger),"")</f>
        <v>EUR4MOIS_LCHQuote</v>
      </c>
      <c r="V11" s="70">
        <f>IFERROR(_xll.qlRateHelperRate(T11,Trigger),"")</f>
        <v>-1.2866666999999999E-3</v>
      </c>
      <c r="W11" s="104" t="str">
        <f>IF(ISERROR(_xll.qlSwapRateHelperSpread($T11)),IF(ISERROR(_xll.qlFuturesRateHelperConvexityAdjustment($T11)),"",_xll.qlFuturesRateHelperConvexityAdjustment($T11)),_xll.qlSwapRateHelperSpread($T11))</f>
        <v/>
      </c>
      <c r="X11" s="5">
        <f>IFERROR(_xll.qlRateHelperEarliestDate(T11,Trigger),"")</f>
        <v>42250</v>
      </c>
      <c r="Y11" s="5">
        <f>IFERROR(_xll.qlRateHelperPillarDate(T11,Trigger),"")</f>
        <v>42373</v>
      </c>
      <c r="Z11" s="70">
        <v>-1.3042245299932722E-3</v>
      </c>
      <c r="AA11" s="77">
        <v>1.0004467520004177</v>
      </c>
      <c r="AB11" s="170">
        <v>42373</v>
      </c>
      <c r="AC11" s="171">
        <v>-1.3042244950597201E-3</v>
      </c>
      <c r="AD11" s="173">
        <f t="shared" si="2"/>
        <v>-3.4933552144761348E-11</v>
      </c>
      <c r="AE11" s="175">
        <v>1.00044675198829</v>
      </c>
      <c r="AF11" s="174">
        <f t="shared" si="3"/>
        <v>1.212763223179536E-11</v>
      </c>
      <c r="AG11" s="171"/>
    </row>
    <row r="12" spans="1:35" ht="11.25" customHeight="1" x14ac:dyDescent="0.2">
      <c r="A12" s="59" t="s">
        <v>70</v>
      </c>
      <c r="B12" s="60" t="s">
        <v>0</v>
      </c>
      <c r="C12" s="61">
        <f t="shared" si="7"/>
        <v>2</v>
      </c>
      <c r="D12" s="62" t="str">
        <f t="shared" si="8"/>
        <v>Eonia</v>
      </c>
      <c r="E12" s="63" t="str">
        <f t="shared" si="6"/>
        <v>EUR3MOIS_LCHQuote</v>
      </c>
      <c r="F12" s="123"/>
      <c r="G12" s="64" t="str">
        <f>_xll.qlOISRateHelper(,C12,B12,E12,$D12,,Permanent,Trigger,ObjectOverwrite)</f>
        <v>obj_00634#0005</v>
      </c>
      <c r="H12" s="48"/>
      <c r="I12" s="10" t="str">
        <f t="shared" si="4"/>
        <v>OIS</v>
      </c>
      <c r="J12" s="94" t="str">
        <f t="shared" si="5"/>
        <v>obj_00637#0005</v>
      </c>
      <c r="K12" s="146" t="str">
        <f>IFERROR(_xll.qlRateHelperQuoteName(J12,Trigger),"--")</f>
        <v>EUR5MOIS_LCHQuote</v>
      </c>
      <c r="L12" s="98">
        <f>IFERROR(_xll.qlRateHelperQuoteValue($J12,Trigger),"--")</f>
        <v>-1.325E-3</v>
      </c>
      <c r="M12" s="97" t="b">
        <v>1</v>
      </c>
      <c r="N12" s="94">
        <v>50</v>
      </c>
      <c r="O12" s="94">
        <v>1</v>
      </c>
      <c r="P12" s="99">
        <f>IFERROR(_xll.qlRateHelperEarliestDate(J12,Trigger),"--")</f>
        <v>42250</v>
      </c>
      <c r="Q12" s="99">
        <f>IFERROR(_xll.qlRateHelperPillarDate(J12,Trigger),"--")</f>
        <v>42403</v>
      </c>
      <c r="S12" s="4" t="str">
        <f t="shared" si="1"/>
        <v>OIS</v>
      </c>
      <c r="T12" s="4" t="str">
        <v>obj_00637</v>
      </c>
      <c r="U12" s="4" t="str">
        <f>IFERROR(_xll.qlRateHelperQuoteName(T12,Trigger),"")</f>
        <v>EUR5MOIS_LCHQuote</v>
      </c>
      <c r="V12" s="70">
        <f>IFERROR(_xll.qlRateHelperRate(T12,Trigger),"")</f>
        <v>-1.325E-3</v>
      </c>
      <c r="W12" s="104" t="str">
        <f>IF(ISERROR(_xll.qlSwapRateHelperSpread($T12)),IF(ISERROR(_xll.qlFuturesRateHelperConvexityAdjustment($T12)),"",_xll.qlFuturesRateHelperConvexityAdjustment($T12)),_xll.qlSwapRateHelperSpread($T12))</f>
        <v/>
      </c>
      <c r="X12" s="5">
        <f>IFERROR(_xll.qlRateHelperEarliestDate(T12,Trigger),"")</f>
        <v>42250</v>
      </c>
      <c r="Y12" s="5">
        <f>IFERROR(_xll.qlRateHelperPillarDate(T12,Trigger),"")</f>
        <v>42403</v>
      </c>
      <c r="Z12" s="70">
        <v>-1.3427951347776607E-3</v>
      </c>
      <c r="AA12" s="77">
        <v>1.0005703906818662</v>
      </c>
      <c r="AB12" s="170">
        <v>42403</v>
      </c>
      <c r="AC12" s="171">
        <v>-1.34279513477746E-3</v>
      </c>
      <c r="AD12" s="173">
        <f t="shared" si="2"/>
        <v>-2.0079424234431542E-16</v>
      </c>
      <c r="AE12" s="175">
        <v>1.0005703906818699</v>
      </c>
      <c r="AF12" s="174">
        <f t="shared" si="3"/>
        <v>-3.7747582837255322E-15</v>
      </c>
      <c r="AG12" s="171"/>
    </row>
    <row r="13" spans="1:35" ht="11.25" customHeight="1" x14ac:dyDescent="0.2">
      <c r="A13" s="59" t="s">
        <v>70</v>
      </c>
      <c r="B13" s="60" t="s">
        <v>42</v>
      </c>
      <c r="C13" s="61">
        <f t="shared" si="7"/>
        <v>2</v>
      </c>
      <c r="D13" s="62" t="str">
        <f t="shared" si="8"/>
        <v>Eonia</v>
      </c>
      <c r="E13" s="63" t="str">
        <f t="shared" si="6"/>
        <v>EUR4MOIS_LCHQuote</v>
      </c>
      <c r="F13" s="123"/>
      <c r="G13" s="64" t="str">
        <f>_xll.qlOISRateHelper(,C13,B13,E13,$D13,,Permanent,Trigger,ObjectOverwrite)</f>
        <v>obj_00639#0005</v>
      </c>
      <c r="H13" s="48"/>
      <c r="I13" s="10" t="str">
        <f t="shared" si="4"/>
        <v>OIS</v>
      </c>
      <c r="J13" s="94" t="str">
        <f t="shared" si="5"/>
        <v>obj_00633#0005</v>
      </c>
      <c r="K13" s="146" t="str">
        <f>IFERROR(_xll.qlRateHelperQuoteName(J13,Trigger),"--")</f>
        <v>EUR6MOIS_LCHQuote</v>
      </c>
      <c r="L13" s="98">
        <f>IFERROR(_xll.qlRateHelperQuoteValue($J13,Trigger),"--")</f>
        <v>-1.3500000000000001E-3</v>
      </c>
      <c r="M13" s="97" t="b">
        <v>1</v>
      </c>
      <c r="N13" s="94">
        <v>50</v>
      </c>
      <c r="O13" s="94">
        <v>1</v>
      </c>
      <c r="P13" s="99">
        <f>IFERROR(_xll.qlRateHelperEarliestDate(J13,Trigger),"--")</f>
        <v>42250</v>
      </c>
      <c r="Q13" s="99">
        <f>IFERROR(_xll.qlRateHelperPillarDate(J13,Trigger),"--")</f>
        <v>42432</v>
      </c>
      <c r="S13" s="4" t="str">
        <f t="shared" si="1"/>
        <v>OIS</v>
      </c>
      <c r="T13" s="4" t="str">
        <v>obj_00633</v>
      </c>
      <c r="U13" s="4" t="str">
        <f>IFERROR(_xll.qlRateHelperQuoteName(T13,Trigger),"")</f>
        <v>EUR6MOIS_LCHQuote</v>
      </c>
      <c r="V13" s="70">
        <f>IFERROR(_xll.qlRateHelperRate(T13,Trigger),"")</f>
        <v>-1.3500000000000001E-3</v>
      </c>
      <c r="W13" s="104" t="str">
        <f>IF(ISERROR(_xll.qlSwapRateHelperSpread($T13)),IF(ISERROR(_xll.qlFuturesRateHelperConvexityAdjustment($T13)),"",_xll.qlFuturesRateHelperConvexityAdjustment($T13)),_xll.qlSwapRateHelperSpread($T13))</f>
        <v/>
      </c>
      <c r="X13" s="5">
        <f>IFERROR(_xll.qlRateHelperEarliestDate(T13,Trigger),"")</f>
        <v>42250</v>
      </c>
      <c r="Y13" s="5">
        <f>IFERROR(_xll.qlRateHelperPillarDate(T13,Trigger),"")</f>
        <v>42432</v>
      </c>
      <c r="Z13" s="70">
        <v>-1.3681101900144066E-3</v>
      </c>
      <c r="AA13" s="77">
        <v>1.0006899153478384</v>
      </c>
      <c r="AB13" s="170">
        <v>42432</v>
      </c>
      <c r="AC13" s="171">
        <v>-1.3681101900143301E-3</v>
      </c>
      <c r="AD13" s="173">
        <f t="shared" si="2"/>
        <v>-7.6544673377476613E-17</v>
      </c>
      <c r="AE13" s="175">
        <v>1.0006899153478399</v>
      </c>
      <c r="AF13" s="174">
        <f t="shared" si="3"/>
        <v>0</v>
      </c>
      <c r="AG13" s="171"/>
    </row>
    <row r="14" spans="1:35" ht="11.25" customHeight="1" x14ac:dyDescent="0.2">
      <c r="A14" s="59" t="s">
        <v>70</v>
      </c>
      <c r="B14" s="60" t="s">
        <v>43</v>
      </c>
      <c r="C14" s="61">
        <f t="shared" si="7"/>
        <v>2</v>
      </c>
      <c r="D14" s="62" t="str">
        <f t="shared" si="8"/>
        <v>Eonia</v>
      </c>
      <c r="E14" s="63" t="str">
        <f t="shared" si="6"/>
        <v>EUR5MOIS_LCHQuote</v>
      </c>
      <c r="F14" s="123"/>
      <c r="G14" s="64" t="str">
        <f>_xll.qlOISRateHelper(,C14,B14,E14,$D14,,Permanent,Trigger,ObjectOverwrite)</f>
        <v>obj_00637#0005</v>
      </c>
      <c r="H14" s="48"/>
      <c r="I14" s="10" t="str">
        <f t="shared" si="4"/>
        <v>OIS</v>
      </c>
      <c r="J14" s="94" t="str">
        <f t="shared" si="5"/>
        <v>obj_0062f#0005</v>
      </c>
      <c r="K14" s="146" t="str">
        <f>IFERROR(_xll.qlRateHelperQuoteName(J14,Trigger),"--")</f>
        <v>EUR7MOIS_LCHQuote</v>
      </c>
      <c r="L14" s="98">
        <f>IFERROR(_xll.qlRateHelperQuoteValue($J14,Trigger),"--")</f>
        <v>-1.3625E-3</v>
      </c>
      <c r="M14" s="97" t="b">
        <v>1</v>
      </c>
      <c r="N14" s="94">
        <v>50</v>
      </c>
      <c r="O14" s="94">
        <v>1</v>
      </c>
      <c r="P14" s="99">
        <f>IFERROR(_xll.qlRateHelperEarliestDate(J14,Trigger),"--")</f>
        <v>42250</v>
      </c>
      <c r="Q14" s="99">
        <f>IFERROR(_xll.qlRateHelperPillarDate(J14,Trigger),"--")</f>
        <v>42464</v>
      </c>
      <c r="S14" s="4" t="str">
        <f t="shared" si="1"/>
        <v>OIS</v>
      </c>
      <c r="T14" s="4" t="str">
        <v>obj_0062f</v>
      </c>
      <c r="U14" s="4" t="str">
        <f>IFERROR(_xll.qlRateHelperQuoteName(T14,Trigger),"")</f>
        <v>EUR7MOIS_LCHQuote</v>
      </c>
      <c r="V14" s="70">
        <f>IFERROR(_xll.qlRateHelperRate(T14,Trigger),"")</f>
        <v>-1.3625E-3</v>
      </c>
      <c r="W14" s="104" t="str">
        <f>IF(ISERROR(_xll.qlSwapRateHelperSpread($T14)),IF(ISERROR(_xll.qlFuturesRateHelperConvexityAdjustment($T14)),"",_xll.qlFuturesRateHelperConvexityAdjustment($T14)),_xll.qlSwapRateHelperSpread($T14))</f>
        <v/>
      </c>
      <c r="X14" s="5">
        <f>IFERROR(_xll.qlRateHelperEarliestDate(T14,Trigger),"")</f>
        <v>42250</v>
      </c>
      <c r="Y14" s="5">
        <f>IFERROR(_xll.qlRateHelperPillarDate(T14,Trigger),"")</f>
        <v>42464</v>
      </c>
      <c r="Z14" s="70">
        <v>-1.3809220453776484E-3</v>
      </c>
      <c r="AA14" s="77">
        <v>1.0008175371845149</v>
      </c>
      <c r="AB14" s="170">
        <v>42464</v>
      </c>
      <c r="AC14" s="171">
        <v>-1.38092204537746E-3</v>
      </c>
      <c r="AD14" s="173">
        <f t="shared" si="2"/>
        <v>-1.8843433757798067E-16</v>
      </c>
      <c r="AE14" s="175">
        <v>1.00081753718452</v>
      </c>
      <c r="AF14" s="174">
        <f t="shared" si="3"/>
        <v>-5.1070259132757201E-15</v>
      </c>
      <c r="AG14" s="171"/>
    </row>
    <row r="15" spans="1:35" ht="11.25" customHeight="1" x14ac:dyDescent="0.2">
      <c r="A15" s="59" t="s">
        <v>70</v>
      </c>
      <c r="B15" s="60" t="s">
        <v>3</v>
      </c>
      <c r="C15" s="61">
        <f t="shared" si="7"/>
        <v>2</v>
      </c>
      <c r="D15" s="62" t="str">
        <f t="shared" si="8"/>
        <v>Eonia</v>
      </c>
      <c r="E15" s="63" t="str">
        <f t="shared" si="6"/>
        <v>EUR6MOIS_LCHQuote</v>
      </c>
      <c r="F15" s="123"/>
      <c r="G15" s="64" t="str">
        <f>_xll.qlOISRateHelper(,C15,B15,E15,$D15,,Permanent,Trigger,ObjectOverwrite)</f>
        <v>obj_00633#0005</v>
      </c>
      <c r="H15" s="48"/>
      <c r="I15" s="10" t="str">
        <f t="shared" si="4"/>
        <v>OIS</v>
      </c>
      <c r="J15" s="94" t="str">
        <f t="shared" si="5"/>
        <v>obj_0063b#0005</v>
      </c>
      <c r="K15" s="146" t="str">
        <f>IFERROR(_xll.qlRateHelperQuoteName(J15,Trigger),"--")</f>
        <v>EUR8MOIS_LCHQuote</v>
      </c>
      <c r="L15" s="98">
        <f>IFERROR(_xll.qlRateHelperQuoteValue($J15,Trigger),"--")</f>
        <v>-1.3675E-3</v>
      </c>
      <c r="M15" s="97" t="b">
        <v>1</v>
      </c>
      <c r="N15" s="94">
        <v>50</v>
      </c>
      <c r="O15" s="94">
        <v>1</v>
      </c>
      <c r="P15" s="99">
        <f>IFERROR(_xll.qlRateHelperEarliestDate(J15,Trigger),"--")</f>
        <v>42250</v>
      </c>
      <c r="Q15" s="99">
        <f>IFERROR(_xll.qlRateHelperPillarDate(J15,Trigger),"--")</f>
        <v>42493</v>
      </c>
      <c r="S15" s="4" t="str">
        <f t="shared" si="1"/>
        <v>OIS</v>
      </c>
      <c r="T15" s="4" t="str">
        <v>obj_0063b</v>
      </c>
      <c r="U15" s="4" t="str">
        <f>IFERROR(_xll.qlRateHelperQuoteName(T15,Trigger),"")</f>
        <v>EUR8MOIS_LCHQuote</v>
      </c>
      <c r="V15" s="70">
        <f>IFERROR(_xll.qlRateHelperRate(T15,Trigger),"")</f>
        <v>-1.3675E-3</v>
      </c>
      <c r="W15" s="104" t="str">
        <f>IF(ISERROR(_xll.qlSwapRateHelperSpread($T15)),IF(ISERROR(_xll.qlFuturesRateHelperConvexityAdjustment($T15)),"",_xll.qlFuturesRateHelperConvexityAdjustment($T15)),_xll.qlSwapRateHelperSpread($T15))</f>
        <v/>
      </c>
      <c r="X15" s="5">
        <f>IFERROR(_xll.qlRateHelperEarliestDate(T15,Trigger),"")</f>
        <v>42250</v>
      </c>
      <c r="Y15" s="5">
        <f>IFERROR(_xll.qlRateHelperPillarDate(T15,Trigger),"")</f>
        <v>42493</v>
      </c>
      <c r="Z15" s="70">
        <v>-1.3861556448077482E-3</v>
      </c>
      <c r="AA15" s="77">
        <v>1.0009308662283214</v>
      </c>
      <c r="AB15" s="170">
        <v>42493</v>
      </c>
      <c r="AC15" s="171">
        <v>-1.3861556448077001E-3</v>
      </c>
      <c r="AD15" s="173">
        <f t="shared" si="2"/>
        <v>-4.8138576458356397E-17</v>
      </c>
      <c r="AE15" s="175">
        <v>1.0009308662283201</v>
      </c>
      <c r="AF15" s="174">
        <f t="shared" si="3"/>
        <v>0</v>
      </c>
      <c r="AG15" s="171"/>
    </row>
    <row r="16" spans="1:35" ht="11.25" customHeight="1" x14ac:dyDescent="0.2">
      <c r="A16" s="59" t="s">
        <v>70</v>
      </c>
      <c r="B16" s="60" t="s">
        <v>44</v>
      </c>
      <c r="C16" s="61">
        <f t="shared" si="7"/>
        <v>2</v>
      </c>
      <c r="D16" s="62" t="str">
        <f t="shared" si="8"/>
        <v>Eonia</v>
      </c>
      <c r="E16" s="63" t="str">
        <f t="shared" si="6"/>
        <v>EUR7MOIS_LCHQuote</v>
      </c>
      <c r="F16" s="123"/>
      <c r="G16" s="64" t="str">
        <f>_xll.qlOISRateHelper(,C16,B16,E16,$D16,,Permanent,Trigger,ObjectOverwrite)</f>
        <v>obj_0062f#0005</v>
      </c>
      <c r="H16" s="48"/>
      <c r="I16" s="10" t="str">
        <f t="shared" si="4"/>
        <v>OIS</v>
      </c>
      <c r="J16" s="94" t="str">
        <f t="shared" si="5"/>
        <v>obj_00638#0005</v>
      </c>
      <c r="K16" s="146" t="str">
        <f>IFERROR(_xll.qlRateHelperQuoteName(J16,Trigger),"--")</f>
        <v>EUR9MOIS_LCHQuote</v>
      </c>
      <c r="L16" s="98">
        <f>IFERROR(_xll.qlRateHelperQuoteValue($J16,Trigger),"--")</f>
        <v>-1.3799999999999999E-3</v>
      </c>
      <c r="M16" s="97" t="b">
        <v>1</v>
      </c>
      <c r="N16" s="94">
        <v>50</v>
      </c>
      <c r="O16" s="94">
        <v>1</v>
      </c>
      <c r="P16" s="99">
        <f>IFERROR(_xll.qlRateHelperEarliestDate(J16,Trigger),"--")</f>
        <v>42250</v>
      </c>
      <c r="Q16" s="99">
        <f>IFERROR(_xll.qlRateHelperPillarDate(J16,Trigger),"--")</f>
        <v>42524</v>
      </c>
      <c r="S16" s="4" t="str">
        <f t="shared" si="1"/>
        <v>OIS</v>
      </c>
      <c r="T16" s="4" t="str">
        <v>obj_00638</v>
      </c>
      <c r="U16" s="4" t="str">
        <f>IFERROR(_xll.qlRateHelperQuoteName(T16,Trigger),"")</f>
        <v>EUR9MOIS_LCHQuote</v>
      </c>
      <c r="V16" s="70">
        <f>IFERROR(_xll.qlRateHelperRate(T16,Trigger),"")</f>
        <v>-1.3799999999999999E-3</v>
      </c>
      <c r="W16" s="104" t="str">
        <f>IF(ISERROR(_xll.qlSwapRateHelperSpread($T16)),IF(ISERROR(_xll.qlFuturesRateHelperConvexityAdjustment($T16)),"",_xll.qlFuturesRateHelperConvexityAdjustment($T16)),_xll.qlSwapRateHelperSpread($T16))</f>
        <v/>
      </c>
      <c r="X16" s="5">
        <f>IFERROR(_xll.qlRateHelperEarliestDate(T16,Trigger),"")</f>
        <v>42250</v>
      </c>
      <c r="Y16" s="5">
        <f>IFERROR(_xll.qlRateHelperPillarDate(T16,Trigger),"")</f>
        <v>42524</v>
      </c>
      <c r="Z16" s="70">
        <v>-1.3989415521719537E-3</v>
      </c>
      <c r="AA16" s="77">
        <v>1.0010583894756928</v>
      </c>
      <c r="AB16" s="170">
        <v>42524</v>
      </c>
      <c r="AC16" s="171">
        <v>-1.3989415521718201E-3</v>
      </c>
      <c r="AD16" s="173">
        <f t="shared" si="2"/>
        <v>-1.3357370765021415E-16</v>
      </c>
      <c r="AE16" s="175">
        <v>1.0010583894756899</v>
      </c>
      <c r="AF16" s="174">
        <f t="shared" si="3"/>
        <v>2.886579864025407E-15</v>
      </c>
      <c r="AG16" s="171"/>
    </row>
    <row r="17" spans="1:33" ht="11.25" customHeight="1" x14ac:dyDescent="0.2">
      <c r="A17" s="59" t="s">
        <v>70</v>
      </c>
      <c r="B17" s="60" t="s">
        <v>45</v>
      </c>
      <c r="C17" s="61">
        <f t="shared" si="7"/>
        <v>2</v>
      </c>
      <c r="D17" s="62" t="str">
        <f t="shared" si="8"/>
        <v>Eonia</v>
      </c>
      <c r="E17" s="63" t="str">
        <f t="shared" si="6"/>
        <v>EUR8MOIS_LCHQuote</v>
      </c>
      <c r="F17" s="123"/>
      <c r="G17" s="64" t="str">
        <f>_xll.qlOISRateHelper(,C17,B17,E17,$D17,,Permanent,Trigger,ObjectOverwrite)</f>
        <v>obj_0063b#0005</v>
      </c>
      <c r="H17" s="48"/>
      <c r="I17" s="10" t="str">
        <f t="shared" si="4"/>
        <v>OIS</v>
      </c>
      <c r="J17" s="94" t="str">
        <f t="shared" si="5"/>
        <v>obj_00632#0005</v>
      </c>
      <c r="K17" s="146" t="str">
        <f>IFERROR(_xll.qlRateHelperQuoteName(J17,Trigger),"--")</f>
        <v>EUR10MOIS_LCHQuote</v>
      </c>
      <c r="L17" s="98">
        <f>IFERROR(_xll.qlRateHelperQuoteValue($J17,Trigger),"--")</f>
        <v>-1.3875000000000001E-3</v>
      </c>
      <c r="M17" s="97" t="b">
        <v>1</v>
      </c>
      <c r="N17" s="94">
        <v>50</v>
      </c>
      <c r="O17" s="94">
        <v>1</v>
      </c>
      <c r="P17" s="99">
        <f>IFERROR(_xll.qlRateHelperEarliestDate(J17,Trigger),"--")</f>
        <v>42250</v>
      </c>
      <c r="Q17" s="99">
        <f>IFERROR(_xll.qlRateHelperPillarDate(J17,Trigger),"--")</f>
        <v>42555</v>
      </c>
      <c r="S17" s="4" t="str">
        <f t="shared" si="1"/>
        <v>OIS</v>
      </c>
      <c r="T17" s="4" t="str">
        <v>obj_00632</v>
      </c>
      <c r="U17" s="4" t="str">
        <f>IFERROR(_xll.qlRateHelperQuoteName(T17,Trigger),"")</f>
        <v>EUR10MOIS_LCHQuote</v>
      </c>
      <c r="V17" s="70">
        <f>IFERROR(_xll.qlRateHelperRate(T17,Trigger),"")</f>
        <v>-1.3875000000000001E-3</v>
      </c>
      <c r="W17" s="104" t="str">
        <f>IF(ISERROR(_xll.qlSwapRateHelperSpread($T17)),IF(ISERROR(_xll.qlFuturesRateHelperConvexityAdjustment($T17)),"",_xll.qlFuturesRateHelperConvexityAdjustment($T17)),_xll.qlSwapRateHelperSpread($T17))</f>
        <v/>
      </c>
      <c r="X17" s="5">
        <f>IFERROR(_xll.qlRateHelperEarliestDate(T17,Trigger),"")</f>
        <v>42250</v>
      </c>
      <c r="Y17" s="5">
        <f>IFERROR(_xll.qlRateHelperPillarDate(T17,Trigger),"")</f>
        <v>42555</v>
      </c>
      <c r="Z17" s="70">
        <v>-1.4066847429405895E-3</v>
      </c>
      <c r="AA17" s="77">
        <v>1.0011838569624698</v>
      </c>
      <c r="AB17" s="170">
        <v>42555</v>
      </c>
      <c r="AC17" s="171">
        <v>-1.40668474294057E-3</v>
      </c>
      <c r="AD17" s="173">
        <f t="shared" si="2"/>
        <v>-1.951563910473908E-17</v>
      </c>
      <c r="AE17" s="175">
        <v>1.00118385696247</v>
      </c>
      <c r="AF17" s="174">
        <f t="shared" si="3"/>
        <v>0</v>
      </c>
      <c r="AG17" s="171"/>
    </row>
    <row r="18" spans="1:33" ht="11.25" customHeight="1" x14ac:dyDescent="0.2">
      <c r="A18" s="59" t="s">
        <v>70</v>
      </c>
      <c r="B18" s="60" t="s">
        <v>46</v>
      </c>
      <c r="C18" s="61">
        <f t="shared" si="7"/>
        <v>2</v>
      </c>
      <c r="D18" s="62" t="str">
        <f t="shared" si="8"/>
        <v>Eonia</v>
      </c>
      <c r="E18" s="63" t="str">
        <f t="shared" si="6"/>
        <v>EUR9MOIS_LCHQuote</v>
      </c>
      <c r="F18" s="123"/>
      <c r="G18" s="64" t="str">
        <f>_xll.qlOISRateHelper(,C18,B18,E18,$D18,,Permanent,Trigger,ObjectOverwrite)</f>
        <v>obj_00638#0005</v>
      </c>
      <c r="H18" s="48"/>
      <c r="I18" s="10" t="str">
        <f t="shared" si="4"/>
        <v>OIS</v>
      </c>
      <c r="J18" s="94" t="str">
        <f t="shared" si="5"/>
        <v>obj_00635#0005</v>
      </c>
      <c r="K18" s="146" t="str">
        <f>IFERROR(_xll.qlRateHelperQuoteName(J18,Trigger),"--")</f>
        <v>EUR11MOIS_LCHQuote</v>
      </c>
      <c r="L18" s="98">
        <f>IFERROR(_xll.qlRateHelperQuoteValue($J18,Trigger),"--")</f>
        <v>-1.4366667000000001E-3</v>
      </c>
      <c r="M18" s="97" t="b">
        <v>1</v>
      </c>
      <c r="N18" s="94">
        <v>50</v>
      </c>
      <c r="O18" s="94">
        <v>1</v>
      </c>
      <c r="P18" s="99">
        <f>IFERROR(_xll.qlRateHelperEarliestDate(J18,Trigger),"--")</f>
        <v>42250</v>
      </c>
      <c r="Q18" s="99">
        <f>IFERROR(_xll.qlRateHelperPillarDate(J18,Trigger),"--")</f>
        <v>42585</v>
      </c>
      <c r="S18" s="4" t="str">
        <f t="shared" si="1"/>
        <v>OIS</v>
      </c>
      <c r="T18" s="4" t="str">
        <v>obj_00635</v>
      </c>
      <c r="U18" s="4" t="str">
        <f>IFERROR(_xll.qlRateHelperQuoteName(T18,Trigger),"")</f>
        <v>EUR11MOIS_LCHQuote</v>
      </c>
      <c r="V18" s="70">
        <f>IFERROR(_xll.qlRateHelperRate(T18,Trigger),"")</f>
        <v>-1.4366667000000001E-3</v>
      </c>
      <c r="W18" s="104" t="str">
        <f>IF(ISERROR(_xll.qlSwapRateHelperSpread($T18)),IF(ISERROR(_xll.qlFuturesRateHelperConvexityAdjustment($T18)),"",_xll.qlFuturesRateHelperConvexityAdjustment($T18)),_xll.qlSwapRateHelperSpread($T18))</f>
        <v/>
      </c>
      <c r="X18" s="5">
        <f>IFERROR(_xll.qlRateHelperEarliestDate(T18,Trigger),"")</f>
        <v>42250</v>
      </c>
      <c r="Y18" s="5">
        <f>IFERROR(_xll.qlRateHelperPillarDate(T18,Trigger),"")</f>
        <v>42585</v>
      </c>
      <c r="Z18" s="70">
        <v>-1.4564659782794771E-3</v>
      </c>
      <c r="AA18" s="77">
        <v>1.0013456416456461</v>
      </c>
      <c r="AB18" s="170">
        <v>42585</v>
      </c>
      <c r="AC18" s="171">
        <v>-1.45646594295661E-3</v>
      </c>
      <c r="AD18" s="173">
        <f t="shared" si="2"/>
        <v>-3.5322867027176574E-11</v>
      </c>
      <c r="AE18" s="175">
        <v>1.00134564161299</v>
      </c>
      <c r="AF18" s="174">
        <f t="shared" si="3"/>
        <v>3.2656100046324354E-11</v>
      </c>
      <c r="AG18" s="171"/>
    </row>
    <row r="19" spans="1:33" ht="11.25" customHeight="1" x14ac:dyDescent="0.2">
      <c r="A19" s="59" t="s">
        <v>70</v>
      </c>
      <c r="B19" s="60" t="s">
        <v>47</v>
      </c>
      <c r="C19" s="61">
        <f t="shared" si="7"/>
        <v>2</v>
      </c>
      <c r="D19" s="62" t="str">
        <f t="shared" si="8"/>
        <v>Eonia</v>
      </c>
      <c r="E19" s="63" t="str">
        <f t="shared" si="6"/>
        <v>EUR10MOIS_LCHQuote</v>
      </c>
      <c r="F19" s="123"/>
      <c r="G19" s="64" t="str">
        <f>_xll.qlOISRateHelper(,C19,B19,E19,$D19,,Permanent,Trigger,ObjectOverwrite)</f>
        <v>obj_00632#0005</v>
      </c>
      <c r="H19" s="48"/>
      <c r="I19" s="10" t="str">
        <f t="shared" si="4"/>
        <v>OIS</v>
      </c>
      <c r="J19" s="94" t="str">
        <f t="shared" si="5"/>
        <v>obj_00630#0005</v>
      </c>
      <c r="K19" s="146" t="str">
        <f>IFERROR(_xll.qlRateHelperQuoteName(J19,Trigger),"--")</f>
        <v>EUR1YOIS_LCHQuote</v>
      </c>
      <c r="L19" s="98">
        <f>IFERROR(_xll.qlRateHelperQuoteValue($J19,Trigger),"--")</f>
        <v>-1.4366667000000001E-3</v>
      </c>
      <c r="M19" s="97" t="b">
        <v>1</v>
      </c>
      <c r="N19" s="94">
        <v>50</v>
      </c>
      <c r="O19" s="94">
        <v>1</v>
      </c>
      <c r="P19" s="99">
        <f>IFERROR(_xll.qlRateHelperEarliestDate(J19,Trigger),"--")</f>
        <v>42250</v>
      </c>
      <c r="Q19" s="99">
        <f>IFERROR(_xll.qlRateHelperPillarDate(J19,Trigger),"--")</f>
        <v>42618</v>
      </c>
      <c r="S19" s="4" t="str">
        <f t="shared" si="1"/>
        <v>OIS</v>
      </c>
      <c r="T19" s="4" t="str">
        <v>obj_00630</v>
      </c>
      <c r="U19" s="4" t="str">
        <f>IFERROR(_xll.qlRateHelperQuoteName(T19,Trigger),"")</f>
        <v>EUR1YOIS_LCHQuote</v>
      </c>
      <c r="V19" s="70">
        <f>IFERROR(_xll.qlRateHelperRate(T19,Trigger),"")</f>
        <v>-1.4366667000000001E-3</v>
      </c>
      <c r="W19" s="104" t="str">
        <f>IF(ISERROR(_xll.qlSwapRateHelperSpread($T19)),IF(ISERROR(_xll.qlFuturesRateHelperConvexityAdjustment($T19)),"",_xll.qlFuturesRateHelperConvexityAdjustment($T19)),_xll.qlSwapRateHelperSpread($T19))</f>
        <v/>
      </c>
      <c r="X19" s="5">
        <f>IFERROR(_xll.qlRateHelperEarliestDate(T19,Trigger),"")</f>
        <v>42250</v>
      </c>
      <c r="Y19" s="5">
        <f>IFERROR(_xll.qlRateHelperPillarDate(T19,Trigger),"")</f>
        <v>42618</v>
      </c>
      <c r="Z19" s="70">
        <v>-1.4566622449617064E-3</v>
      </c>
      <c r="AA19" s="77">
        <v>1.0014777072572663</v>
      </c>
      <c r="AB19" s="170">
        <v>42618</v>
      </c>
      <c r="AC19" s="171">
        <v>-1.4566622146610099E-3</v>
      </c>
      <c r="AD19" s="173">
        <f t="shared" si="2"/>
        <v>-3.0300696413770867E-11</v>
      </c>
      <c r="AE19" s="175">
        <v>1.00147770722651</v>
      </c>
      <c r="AF19" s="174">
        <f t="shared" si="3"/>
        <v>3.0756286406585787E-11</v>
      </c>
      <c r="AG19" s="171"/>
    </row>
    <row r="20" spans="1:33" ht="11.25" customHeight="1" x14ac:dyDescent="0.2">
      <c r="A20" s="59" t="s">
        <v>70</v>
      </c>
      <c r="B20" s="60" t="s">
        <v>48</v>
      </c>
      <c r="C20" s="61">
        <f t="shared" si="7"/>
        <v>2</v>
      </c>
      <c r="D20" s="62" t="str">
        <f t="shared" si="8"/>
        <v>Eonia</v>
      </c>
      <c r="E20" s="63" t="str">
        <f t="shared" si="6"/>
        <v>EUR11MOIS_LCHQuote</v>
      </c>
      <c r="F20" s="123"/>
      <c r="G20" s="64" t="str">
        <f>_xll.qlOISRateHelper(,C20,B20,E20,$D20,,Permanent,Trigger,ObjectOverwrite)</f>
        <v>obj_00635#0005</v>
      </c>
      <c r="H20" s="48"/>
      <c r="I20" s="10" t="str">
        <f t="shared" si="4"/>
        <v>OIS</v>
      </c>
      <c r="J20" s="94" t="str">
        <f t="shared" si="5"/>
        <v>obj_0062b#0005</v>
      </c>
      <c r="K20" s="146" t="str">
        <f>IFERROR(_xll.qlRateHelperQuoteName(J20,Trigger),"--")</f>
        <v>EUR15MOIS_LCHQuote</v>
      </c>
      <c r="L20" s="98">
        <f>IFERROR(_xll.qlRateHelperQuoteValue($J20,Trigger),"--")</f>
        <v>-1.4400000000000001E-3</v>
      </c>
      <c r="M20" s="97" t="b">
        <v>1</v>
      </c>
      <c r="N20" s="94">
        <v>50</v>
      </c>
      <c r="O20" s="94">
        <v>1</v>
      </c>
      <c r="P20" s="99">
        <f>IFERROR(_xll.qlRateHelperEarliestDate(J20,Trigger),"--")</f>
        <v>42250</v>
      </c>
      <c r="Q20" s="99">
        <f>IFERROR(_xll.qlRateHelperPillarDate(J20,Trigger),"--")</f>
        <v>42709</v>
      </c>
      <c r="S20" s="4" t="str">
        <f t="shared" si="1"/>
        <v>OIS</v>
      </c>
      <c r="T20" s="4" t="str">
        <v>obj_0062b</v>
      </c>
      <c r="U20" s="4" t="str">
        <f>IFERROR(_xll.qlRateHelperQuoteName(T20,Trigger),"")</f>
        <v>EUR15MOIS_LCHQuote</v>
      </c>
      <c r="V20" s="70">
        <f>IFERROR(_xll.qlRateHelperRate(T20,Trigger),"")</f>
        <v>-1.4400000000000001E-3</v>
      </c>
      <c r="W20" s="104" t="str">
        <f>IF(ISERROR(_xll.qlSwapRateHelperSpread($T20)),IF(ISERROR(_xll.qlFuturesRateHelperConvexityAdjustment($T20)),"",_xll.qlFuturesRateHelperConvexityAdjustment($T20)),_xll.qlSwapRateHelperSpread($T20))</f>
        <v/>
      </c>
      <c r="X20" s="5">
        <f>IFERROR(_xll.qlRateHelperEarliestDate(T20,Trigger),"")</f>
        <v>42250</v>
      </c>
      <c r="Y20" s="5">
        <f>IFERROR(_xll.qlRateHelperPillarDate(T20,Trigger),"")</f>
        <v>42709</v>
      </c>
      <c r="Z20" s="70">
        <v>-1.4600657011260567E-3</v>
      </c>
      <c r="AA20" s="77">
        <v>1.001845784348103</v>
      </c>
      <c r="AB20" s="170">
        <v>42709</v>
      </c>
      <c r="AC20" s="171">
        <v>-1.4600657011259999E-3</v>
      </c>
      <c r="AD20" s="173">
        <f t="shared" si="2"/>
        <v>-5.6812193838240432E-17</v>
      </c>
      <c r="AE20" s="175">
        <v>1.0018457843480999</v>
      </c>
      <c r="AF20" s="174">
        <f t="shared" si="3"/>
        <v>3.1086244689504383E-15</v>
      </c>
      <c r="AG20" s="171"/>
    </row>
    <row r="21" spans="1:33" ht="11.25" customHeight="1" x14ac:dyDescent="0.2">
      <c r="A21" s="59" t="s">
        <v>70</v>
      </c>
      <c r="B21" s="60" t="s">
        <v>28</v>
      </c>
      <c r="C21" s="61">
        <f t="shared" si="7"/>
        <v>2</v>
      </c>
      <c r="D21" s="62" t="str">
        <f t="shared" si="8"/>
        <v>Eonia</v>
      </c>
      <c r="E21" s="63" t="str">
        <f t="shared" si="6"/>
        <v>EUR1YOIS_LCHQuote</v>
      </c>
      <c r="F21" s="123"/>
      <c r="G21" s="64" t="str">
        <f>_xll.qlOISRateHelper(,C21,B21,E21,$D21,,Permanent,Trigger,ObjectOverwrite)</f>
        <v>obj_00630#0005</v>
      </c>
      <c r="H21" s="48"/>
      <c r="I21" s="10" t="str">
        <f t="shared" si="4"/>
        <v>OIS</v>
      </c>
      <c r="J21" s="94" t="str">
        <f t="shared" si="5"/>
        <v>obj_0062d#0005</v>
      </c>
      <c r="K21" s="146" t="str">
        <f>IFERROR(_xll.qlRateHelperQuoteName(J21,Trigger),"--")</f>
        <v>EUR18MOIS_LCHQuote</v>
      </c>
      <c r="L21" s="98">
        <f>IFERROR(_xll.qlRateHelperQuoteValue($J21,Trigger),"--")</f>
        <v>-1.4033333E-3</v>
      </c>
      <c r="M21" s="97" t="b">
        <v>1</v>
      </c>
      <c r="N21" s="94">
        <v>50</v>
      </c>
      <c r="O21" s="94">
        <v>1</v>
      </c>
      <c r="P21" s="99">
        <f>IFERROR(_xll.qlRateHelperEarliestDate(J21,Trigger),"--")</f>
        <v>42250</v>
      </c>
      <c r="Q21" s="99">
        <f>IFERROR(_xll.qlRateHelperPillarDate(J21,Trigger),"--")</f>
        <v>42797</v>
      </c>
      <c r="S21" s="4" t="str">
        <f t="shared" si="1"/>
        <v>OIS</v>
      </c>
      <c r="T21" s="4" t="str">
        <v>obj_0062d</v>
      </c>
      <c r="U21" s="4" t="str">
        <f>IFERROR(_xll.qlRateHelperQuoteName(T21,Trigger),"")</f>
        <v>EUR18MOIS_LCHQuote</v>
      </c>
      <c r="V21" s="70">
        <f>IFERROR(_xll.qlRateHelperRate(T21,Trigger),"")</f>
        <v>-1.4033333E-3</v>
      </c>
      <c r="W21" s="104" t="str">
        <f>IF(ISERROR(_xll.qlSwapRateHelperSpread($T21)),IF(ISERROR(_xll.qlFuturesRateHelperConvexityAdjustment($T21)),"",_xll.qlFuturesRateHelperConvexityAdjustment($T21)),_xll.qlSwapRateHelperSpread($T21))</f>
        <v/>
      </c>
      <c r="X21" s="5">
        <f>IFERROR(_xll.qlRateHelperEarliestDate(T21,Trigger),"")</f>
        <v>42250</v>
      </c>
      <c r="Y21" s="5">
        <f>IFERROR(_xll.qlRateHelperPillarDate(T21,Trigger),"")</f>
        <v>42797</v>
      </c>
      <c r="Z21" s="70">
        <v>-1.4230859768645089E-3</v>
      </c>
      <c r="AA21" s="77">
        <v>1.0021427697206491</v>
      </c>
      <c r="AB21" s="170">
        <v>42797</v>
      </c>
      <c r="AC21" s="171">
        <v>-1.42308600719895E-3</v>
      </c>
      <c r="AD21" s="173">
        <f t="shared" si="2"/>
        <v>3.0334441122187306E-11</v>
      </c>
      <c r="AE21" s="175">
        <v>1.0021427697663701</v>
      </c>
      <c r="AF21" s="174">
        <f t="shared" si="3"/>
        <v>-4.5720982555508272E-11</v>
      </c>
      <c r="AG21" s="171"/>
    </row>
    <row r="22" spans="1:33" ht="11.25" customHeight="1" x14ac:dyDescent="0.2">
      <c r="A22" s="59" t="s">
        <v>70</v>
      </c>
      <c r="B22" s="60" t="s">
        <v>49</v>
      </c>
      <c r="C22" s="61">
        <f t="shared" ref="C22:C42" si="9">IF(B22="O/N",0,IF(B22="T/N",1,2))</f>
        <v>2</v>
      </c>
      <c r="D22" s="62" t="str">
        <f t="shared" si="8"/>
        <v>Eonia</v>
      </c>
      <c r="E22" s="63" t="str">
        <f t="shared" si="6"/>
        <v>EUR15MOIS_LCHQuote</v>
      </c>
      <c r="F22" s="123"/>
      <c r="G22" s="64" t="str">
        <f>_xll.qlOISRateHelper(,C22,B22,E22,$D22,,Permanent,Trigger,ObjectOverwrite)</f>
        <v>obj_0062b#0005</v>
      </c>
      <c r="I22" s="10" t="str">
        <f t="shared" si="4"/>
        <v>OIS</v>
      </c>
      <c r="J22" s="94" t="str">
        <f t="shared" si="5"/>
        <v>obj_0062c#0005</v>
      </c>
      <c r="K22" s="146" t="str">
        <f>IFERROR(_xll.qlRateHelperQuoteName(J22,Trigger),"--")</f>
        <v>EUR21MOIS_LCHQuote</v>
      </c>
      <c r="L22" s="98">
        <f>IFERROR(_xll.qlRateHelperQuoteValue($J22,Trigger),"--")</f>
        <v>-1.31E-3</v>
      </c>
      <c r="M22" s="97" t="b">
        <v>1</v>
      </c>
      <c r="N22" s="94">
        <v>50</v>
      </c>
      <c r="O22" s="94">
        <v>1</v>
      </c>
      <c r="P22" s="99">
        <f>IFERROR(_xll.qlRateHelperEarliestDate(J22,Trigger),"--")</f>
        <v>42250</v>
      </c>
      <c r="Q22" s="99">
        <f>IFERROR(_xll.qlRateHelperPillarDate(J22,Trigger),"--")</f>
        <v>42891</v>
      </c>
      <c r="S22" s="4" t="str">
        <f t="shared" si="1"/>
        <v>OIS</v>
      </c>
      <c r="T22" s="4" t="str">
        <v>obj_0062c</v>
      </c>
      <c r="U22" s="4" t="str">
        <f>IFERROR(_xll.qlRateHelperQuoteName(T22,Trigger),"")</f>
        <v>EUR21MOIS_LCHQuote</v>
      </c>
      <c r="V22" s="70">
        <f>IFERROR(_xll.qlRateHelperRate(T22,Trigger),"")</f>
        <v>-1.31E-3</v>
      </c>
      <c r="W22" s="104" t="str">
        <f>IF(ISERROR(_xll.qlSwapRateHelperSpread($T22)),IF(ISERROR(_xll.qlFuturesRateHelperConvexityAdjustment($T22)),"",_xll.qlFuturesRateHelperConvexityAdjustment($T22)),_xll.qlSwapRateHelperSpread($T22))</f>
        <v/>
      </c>
      <c r="X22" s="5">
        <f>IFERROR(_xll.qlRateHelperEarliestDate(T22,Trigger),"")</f>
        <v>42250</v>
      </c>
      <c r="Y22" s="5">
        <f>IFERROR(_xll.qlRateHelperPillarDate(T22,Trigger),"")</f>
        <v>42891</v>
      </c>
      <c r="Z22" s="70">
        <v>-1.3288244150142813E-3</v>
      </c>
      <c r="AA22" s="77">
        <v>1.0023436574208853</v>
      </c>
      <c r="AB22" s="170">
        <v>42891</v>
      </c>
      <c r="AC22" s="171">
        <v>-1.32882441501403E-3</v>
      </c>
      <c r="AD22" s="173">
        <f t="shared" si="2"/>
        <v>-2.5131806358213993E-16</v>
      </c>
      <c r="AE22" s="175">
        <v>1.0023436574208799</v>
      </c>
      <c r="AF22" s="174">
        <f t="shared" si="3"/>
        <v>5.3290705182007514E-15</v>
      </c>
      <c r="AG22" s="171"/>
    </row>
    <row r="23" spans="1:33" ht="11.25" customHeight="1" x14ac:dyDescent="0.2">
      <c r="A23" s="59" t="s">
        <v>70</v>
      </c>
      <c r="B23" s="60" t="s">
        <v>50</v>
      </c>
      <c r="C23" s="61">
        <f t="shared" si="9"/>
        <v>2</v>
      </c>
      <c r="D23" s="62" t="str">
        <f t="shared" si="8"/>
        <v>Eonia</v>
      </c>
      <c r="E23" s="63" t="str">
        <f t="shared" si="6"/>
        <v>EUR18MOIS_LCHQuote</v>
      </c>
      <c r="F23" s="123"/>
      <c r="G23" s="64" t="str">
        <f>_xll.qlOISRateHelper(,C23,B23,E23,$D23,,Permanent,Trigger,ObjectOverwrite)</f>
        <v>obj_0062d#0005</v>
      </c>
      <c r="I23" s="10" t="str">
        <f t="shared" si="4"/>
        <v>OIS</v>
      </c>
      <c r="J23" s="94" t="str">
        <f t="shared" si="5"/>
        <v>obj_0062a#0005</v>
      </c>
      <c r="K23" s="146" t="str">
        <f>IFERROR(_xll.qlRateHelperQuoteName(J23,Trigger),"--")</f>
        <v>EUR2YOIS_LCHQuote</v>
      </c>
      <c r="L23" s="98">
        <f>IFERROR(_xll.qlRateHelperQuoteValue($J23,Trigger),"--")</f>
        <v>-1.175E-3</v>
      </c>
      <c r="M23" s="97" t="b">
        <v>1</v>
      </c>
      <c r="N23" s="94">
        <v>50</v>
      </c>
      <c r="O23" s="94">
        <v>1</v>
      </c>
      <c r="P23" s="99">
        <f>IFERROR(_xll.qlRateHelperEarliestDate(J23,Trigger),"--")</f>
        <v>42250</v>
      </c>
      <c r="Q23" s="99">
        <f>IFERROR(_xll.qlRateHelperPillarDate(J23,Trigger),"--")</f>
        <v>42982</v>
      </c>
      <c r="S23" s="4" t="str">
        <f t="shared" si="1"/>
        <v>OIS</v>
      </c>
      <c r="T23" s="4" t="str">
        <v>obj_0062a</v>
      </c>
      <c r="U23" s="4" t="str">
        <f>IFERROR(_xll.qlRateHelperQuoteName(T23,Trigger),"")</f>
        <v>EUR2YOIS_LCHQuote</v>
      </c>
      <c r="V23" s="70">
        <f>IFERROR(_xll.qlRateHelperRate(T23,Trigger),"")</f>
        <v>-1.175E-3</v>
      </c>
      <c r="W23" s="104" t="str">
        <f>IF(ISERROR(_xll.qlSwapRateHelperSpread($T23)),IF(ISERROR(_xll.qlFuturesRateHelperConvexityAdjustment($T23)),"",_xll.qlFuturesRateHelperConvexityAdjustment($T23)),_xll.qlSwapRateHelperSpread($T23))</f>
        <v/>
      </c>
      <c r="X23" s="5">
        <f>IFERROR(_xll.qlRateHelperEarliestDate(T23,Trigger),"")</f>
        <v>42250</v>
      </c>
      <c r="Y23" s="5">
        <f>IFERROR(_xll.qlRateHelperPillarDate(T23,Trigger),"")</f>
        <v>42982</v>
      </c>
      <c r="Z23" s="70">
        <v>-1.192396858680474E-3</v>
      </c>
      <c r="AA23" s="77">
        <v>1.0024007382483058</v>
      </c>
      <c r="AB23" s="170">
        <v>42982</v>
      </c>
      <c r="AC23" s="171">
        <v>-1.1923968586621499E-3</v>
      </c>
      <c r="AD23" s="173">
        <f t="shared" si="2"/>
        <v>-1.832410091717751E-14</v>
      </c>
      <c r="AE23" s="175">
        <v>1.00240073824826</v>
      </c>
      <c r="AF23" s="174">
        <f t="shared" si="3"/>
        <v>4.5741188614556449E-14</v>
      </c>
      <c r="AG23" s="171"/>
    </row>
    <row r="24" spans="1:33" ht="11.25" customHeight="1" x14ac:dyDescent="0.2">
      <c r="A24" s="59" t="s">
        <v>70</v>
      </c>
      <c r="B24" s="60" t="s">
        <v>51</v>
      </c>
      <c r="C24" s="61">
        <f t="shared" si="9"/>
        <v>2</v>
      </c>
      <c r="D24" s="62" t="str">
        <f t="shared" si="8"/>
        <v>Eonia</v>
      </c>
      <c r="E24" s="63" t="str">
        <f t="shared" si="6"/>
        <v>EUR21MOIS_LCHQuote</v>
      </c>
      <c r="F24" s="123"/>
      <c r="G24" s="64" t="str">
        <f>_xll.qlOISRateHelper(,C24,B24,E24,$D24,,Permanent,Trigger,ObjectOverwrite)</f>
        <v>obj_0062c#0005</v>
      </c>
      <c r="I24" s="10" t="str">
        <f t="shared" si="4"/>
        <v>OIS</v>
      </c>
      <c r="J24" s="94" t="str">
        <f t="shared" si="5"/>
        <v>--</v>
      </c>
      <c r="K24" s="146" t="str">
        <f>IFERROR(_xll.qlRateHelperQuoteName(J24,Trigger),"--")</f>
        <v>--</v>
      </c>
      <c r="L24" s="98" t="str">
        <f>IFERROR(_xll.qlRateHelperQuoteValue($J24,Trigger),"--")</f>
        <v>--</v>
      </c>
      <c r="M24" s="97" t="b">
        <v>0</v>
      </c>
      <c r="N24" s="94">
        <v>50</v>
      </c>
      <c r="O24" s="94">
        <v>1</v>
      </c>
      <c r="P24" s="99" t="str">
        <f>IFERROR(_xll.qlRateHelperEarliestDate(J24,Trigger),"--")</f>
        <v>--</v>
      </c>
      <c r="Q24" s="99" t="str">
        <f>IFERROR(_xll.qlRateHelperPillarDate(J24,Trigger),"--")</f>
        <v>--</v>
      </c>
      <c r="S24" s="4" t="str">
        <f t="shared" si="1"/>
        <v>BasSw</v>
      </c>
      <c r="T24" s="4" t="str">
        <v>obj_005c3</v>
      </c>
      <c r="U24" s="4" t="str">
        <f>IFERROR(_xll.qlRateHelperQuoteName(T24,Trigger),"")</f>
        <v>EUR1EON3E3Y_LCHQuote</v>
      </c>
      <c r="V24" s="70">
        <f>IFERROR(_xll.qlRateHelperRate(T24,Trigger),"")</f>
        <v>-4.8200000000000001E-4</v>
      </c>
      <c r="W24" s="104" t="str">
        <f>IF(ISERROR(_xll.qlSwapRateHelperSpread($T24)),IF(ISERROR(_xll.qlFuturesRateHelperConvexityAdjustment($T24)),"",_xll.qlFuturesRateHelperConvexityAdjustment($T24)),_xll.qlSwapRateHelperSpread($T24))</f>
        <v/>
      </c>
      <c r="X24" s="5">
        <f>IFERROR(_xll.qlRateHelperEarliestDate(T24,Trigger),"")</f>
        <v>42250</v>
      </c>
      <c r="Y24" s="5">
        <f>IFERROR(_xll.qlRateHelperPillarDate(T24,Trigger),"")</f>
        <v>43346</v>
      </c>
      <c r="Z24" s="70">
        <v>-4.9062081552927366E-4</v>
      </c>
      <c r="AA24" s="77">
        <v>1.0014769846154008</v>
      </c>
      <c r="AB24" s="170">
        <v>43346</v>
      </c>
      <c r="AC24" s="171">
        <v>-4.9062081552434E-4</v>
      </c>
      <c r="AD24" s="173">
        <f t="shared" si="2"/>
        <v>-4.9336619858952879E-15</v>
      </c>
      <c r="AE24" s="175">
        <v>1.0014769846153899</v>
      </c>
      <c r="AF24" s="174">
        <f t="shared" si="3"/>
        <v>1.0880185641326534E-14</v>
      </c>
      <c r="AG24" s="171"/>
    </row>
    <row r="25" spans="1:33" ht="11.25" customHeight="1" x14ac:dyDescent="0.2">
      <c r="A25" s="59" t="s">
        <v>70</v>
      </c>
      <c r="B25" s="60" t="s">
        <v>52</v>
      </c>
      <c r="C25" s="61">
        <f t="shared" si="9"/>
        <v>2</v>
      </c>
      <c r="D25" s="62" t="str">
        <f t="shared" si="8"/>
        <v>Eonia</v>
      </c>
      <c r="E25" s="63" t="str">
        <f t="shared" si="6"/>
        <v>EUR2YOIS_LCHQuote</v>
      </c>
      <c r="F25" s="123"/>
      <c r="G25" s="64" t="str">
        <f>_xll.qlOISRateHelper(,C25,B25,E25,$D25,,Permanent,Trigger,ObjectOverwrite)</f>
        <v>obj_0062a#0005</v>
      </c>
      <c r="I25" s="10" t="str">
        <f t="shared" si="4"/>
        <v>OIS</v>
      </c>
      <c r="J25" s="94" t="str">
        <f t="shared" si="5"/>
        <v>--</v>
      </c>
      <c r="K25" s="146" t="str">
        <f>IFERROR(_xll.qlRateHelperQuoteName(J25,Trigger),"--")</f>
        <v>--</v>
      </c>
      <c r="L25" s="98" t="str">
        <f>IFERROR(_xll.qlRateHelperQuoteValue($J25,Trigger),"--")</f>
        <v>--</v>
      </c>
      <c r="M25" s="97" t="b">
        <v>0</v>
      </c>
      <c r="N25" s="94">
        <v>50</v>
      </c>
      <c r="O25" s="94">
        <v>1</v>
      </c>
      <c r="P25" s="99" t="str">
        <f>IFERROR(_xll.qlRateHelperEarliestDate(J25,Trigger),"--")</f>
        <v>--</v>
      </c>
      <c r="Q25" s="99" t="str">
        <f>IFERROR(_xll.qlRateHelperPillarDate(J25,Trigger),"--")</f>
        <v>--</v>
      </c>
      <c r="S25" s="4" t="str">
        <f t="shared" si="1"/>
        <v>BasSw</v>
      </c>
      <c r="T25" s="4" t="str">
        <v>obj_005c1</v>
      </c>
      <c r="U25" s="4" t="str">
        <f>IFERROR(_xll.qlRateHelperQuoteName(T25,Trigger),"")</f>
        <v>EUR1EON3E4Y_LCHQuote</v>
      </c>
      <c r="V25" s="70">
        <f>IFERROR(_xll.qlRateHelperRate(T25,Trigger),"")</f>
        <v>6.8274999999999998E-4</v>
      </c>
      <c r="W25" s="104" t="str">
        <f>IF(ISERROR(_xll.qlSwapRateHelperSpread($T25)),IF(ISERROR(_xll.qlFuturesRateHelperConvexityAdjustment($T25)),"",_xll.qlFuturesRateHelperConvexityAdjustment($T25)),_xll.qlSwapRateHelperSpread($T25))</f>
        <v/>
      </c>
      <c r="X25" s="5">
        <f>IFERROR(_xll.qlRateHelperEarliestDate(T25,Trigger),"")</f>
        <v>42250</v>
      </c>
      <c r="Y25" s="5">
        <f>IFERROR(_xll.qlRateHelperPillarDate(T25,Trigger),"")</f>
        <v>43711</v>
      </c>
      <c r="Z25" s="70">
        <v>6.909572042204747E-4</v>
      </c>
      <c r="AA25" s="77">
        <v>0.99723432363187625</v>
      </c>
      <c r="AB25" s="170">
        <v>43711</v>
      </c>
      <c r="AC25" s="171">
        <v>6.9095720421525003E-4</v>
      </c>
      <c r="AD25" s="173">
        <f t="shared" si="2"/>
        <v>5.2246618489903973E-15</v>
      </c>
      <c r="AE25" s="175">
        <v>0.99723432363189701</v>
      </c>
      <c r="AF25" s="174">
        <f t="shared" si="3"/>
        <v>-2.0761170560490427E-14</v>
      </c>
      <c r="AG25" s="171"/>
    </row>
    <row r="26" spans="1:33" ht="11.25" customHeight="1" x14ac:dyDescent="0.2">
      <c r="A26" s="59" t="s">
        <v>70</v>
      </c>
      <c r="B26" s="60" t="s">
        <v>53</v>
      </c>
      <c r="C26" s="61">
        <f t="shared" si="9"/>
        <v>2</v>
      </c>
      <c r="D26" s="62" t="str">
        <f t="shared" si="8"/>
        <v>Eonia</v>
      </c>
      <c r="E26" s="63" t="str">
        <f t="shared" si="6"/>
        <v>EUR3YOIS_LCHQuote</v>
      </c>
      <c r="F26" s="123"/>
      <c r="G26" s="64"/>
      <c r="I26" s="10" t="str">
        <f t="shared" si="4"/>
        <v>OIS</v>
      </c>
      <c r="J26" s="94" t="str">
        <f t="shared" si="5"/>
        <v>--</v>
      </c>
      <c r="K26" s="146" t="str">
        <f>IFERROR(_xll.qlRateHelperQuoteName(J26,Trigger),"--")</f>
        <v>--</v>
      </c>
      <c r="L26" s="98" t="str">
        <f>IFERROR(_xll.qlRateHelperQuoteValue($J26,Trigger),"--")</f>
        <v>--</v>
      </c>
      <c r="M26" s="97" t="b">
        <v>0</v>
      </c>
      <c r="N26" s="94">
        <v>50</v>
      </c>
      <c r="O26" s="94">
        <v>1</v>
      </c>
      <c r="P26" s="99" t="str">
        <f>IFERROR(_xll.qlRateHelperEarliestDate(J26,Trigger),"--")</f>
        <v>--</v>
      </c>
      <c r="Q26" s="99" t="str">
        <f>IFERROR(_xll.qlRateHelperPillarDate(J26,Trigger),"--")</f>
        <v>--</v>
      </c>
      <c r="S26" s="4" t="str">
        <f t="shared" si="1"/>
        <v>BasSw</v>
      </c>
      <c r="T26" s="4" t="str">
        <v>obj_005c5</v>
      </c>
      <c r="U26" s="4" t="str">
        <f>IFERROR(_xll.qlRateHelperQuoteName(T26,Trigger),"")</f>
        <v>EUR1EON3E5Y_LCHQuote</v>
      </c>
      <c r="V26" s="70">
        <f>IFERROR(_xll.qlRateHelperRate(T26,Trigger),"")</f>
        <v>2.0430000000000001E-3</v>
      </c>
      <c r="W26" s="104" t="str">
        <f>IF(ISERROR(_xll.qlSwapRateHelperSpread($T26)),IF(ISERROR(_xll.qlFuturesRateHelperConvexityAdjustment($T26)),"",_xll.qlFuturesRateHelperConvexityAdjustment($T26)),_xll.qlSwapRateHelperSpread($T26))</f>
        <v/>
      </c>
      <c r="X26" s="5">
        <f>IFERROR(_xll.qlRateHelperEarliestDate(T26,Trigger),"")</f>
        <v>42250</v>
      </c>
      <c r="Y26" s="5">
        <f>IFERROR(_xll.qlRateHelperPillarDate(T26,Trigger),"")</f>
        <v>44077</v>
      </c>
      <c r="Z26" s="70">
        <v>2.07526022891277E-3</v>
      </c>
      <c r="AA26" s="77">
        <v>0.98965483939338272</v>
      </c>
      <c r="AB26" s="170">
        <v>44077</v>
      </c>
      <c r="AC26" s="171">
        <v>2.0752602288998602E-3</v>
      </c>
      <c r="AD26" s="173">
        <f t="shared" si="2"/>
        <v>1.2909812108219398E-14</v>
      </c>
      <c r="AE26" s="175">
        <v>0.98965483939344701</v>
      </c>
      <c r="AF26" s="174">
        <f t="shared" si="3"/>
        <v>-6.4281913125796564E-14</v>
      </c>
      <c r="AG26" s="171"/>
    </row>
    <row r="27" spans="1:33" ht="11.25" customHeight="1" x14ac:dyDescent="0.2">
      <c r="A27" s="59" t="s">
        <v>70</v>
      </c>
      <c r="B27" s="60" t="s">
        <v>54</v>
      </c>
      <c r="C27" s="61">
        <f t="shared" si="9"/>
        <v>2</v>
      </c>
      <c r="D27" s="62" t="str">
        <f t="shared" si="8"/>
        <v>Eonia</v>
      </c>
      <c r="E27" s="63" t="str">
        <f t="shared" si="6"/>
        <v>EUR4YOIS_LCHQuote</v>
      </c>
      <c r="F27" s="123"/>
      <c r="G27" s="64"/>
      <c r="I27" s="10" t="str">
        <f t="shared" si="4"/>
        <v>OIS</v>
      </c>
      <c r="J27" s="94" t="str">
        <f t="shared" si="5"/>
        <v>--</v>
      </c>
      <c r="K27" s="146" t="str">
        <f>IFERROR(_xll.qlRateHelperQuoteName(J27,Trigger),"--")</f>
        <v>--</v>
      </c>
      <c r="L27" s="98" t="str">
        <f>IFERROR(_xll.qlRateHelperQuoteValue($J27,Trigger),"--")</f>
        <v>--</v>
      </c>
      <c r="M27" s="97" t="b">
        <v>0</v>
      </c>
      <c r="N27" s="94">
        <v>50</v>
      </c>
      <c r="O27" s="94">
        <v>1</v>
      </c>
      <c r="P27" s="99" t="str">
        <f>IFERROR(_xll.qlRateHelperEarliestDate(J27,Trigger),"--")</f>
        <v>--</v>
      </c>
      <c r="Q27" s="99" t="str">
        <f>IFERROR(_xll.qlRateHelperPillarDate(J27,Trigger),"--")</f>
        <v>--</v>
      </c>
      <c r="S27" s="4" t="str">
        <f t="shared" si="1"/>
        <v>BasSw</v>
      </c>
      <c r="T27" s="4" t="str">
        <v>obj_005bf</v>
      </c>
      <c r="U27" s="4" t="str">
        <f>IFERROR(_xll.qlRateHelperQuoteName(T27,Trigger),"")</f>
        <v>EUR1EON3E6Y_LCHQuote</v>
      </c>
      <c r="V27" s="70">
        <f>IFERROR(_xll.qlRateHelperRate(T27,Trigger),"")</f>
        <v>3.5070499999999998E-3</v>
      </c>
      <c r="W27" s="104" t="str">
        <f>IF(ISERROR(_xll.qlSwapRateHelperSpread($T27)),IF(ISERROR(_xll.qlFuturesRateHelperConvexityAdjustment($T27)),"",_xll.qlFuturesRateHelperConvexityAdjustment($T27)),_xll.qlSwapRateHelperSpread($T27))</f>
        <v/>
      </c>
      <c r="X27" s="5">
        <f>IFERROR(_xll.qlRateHelperEarliestDate(T27,Trigger),"")</f>
        <v>42250</v>
      </c>
      <c r="Y27" s="5">
        <f>IFERROR(_xll.qlRateHelperPillarDate(T27,Trigger),"")</f>
        <v>44442</v>
      </c>
      <c r="Z27" s="70">
        <v>3.5722723577470525E-3</v>
      </c>
      <c r="AA27" s="77">
        <v>0.978756116561048</v>
      </c>
      <c r="AB27" s="170">
        <v>44442</v>
      </c>
      <c r="AC27" s="171">
        <v>3.57227235772837E-3</v>
      </c>
      <c r="AD27" s="173">
        <f t="shared" si="2"/>
        <v>1.8682538155401218E-14</v>
      </c>
      <c r="AE27" s="175">
        <v>0.97875611656115802</v>
      </c>
      <c r="AF27" s="174">
        <f t="shared" si="3"/>
        <v>-1.1002310174035301E-13</v>
      </c>
      <c r="AG27" s="171"/>
    </row>
    <row r="28" spans="1:33" ht="11.25" customHeight="1" x14ac:dyDescent="0.2">
      <c r="A28" s="59" t="s">
        <v>70</v>
      </c>
      <c r="B28" s="60" t="s">
        <v>55</v>
      </c>
      <c r="C28" s="61">
        <f t="shared" si="9"/>
        <v>2</v>
      </c>
      <c r="D28" s="62" t="str">
        <f t="shared" si="8"/>
        <v>Eonia</v>
      </c>
      <c r="E28" s="63" t="str">
        <f t="shared" si="6"/>
        <v>EUR5YOIS_LCHQuote</v>
      </c>
      <c r="F28" s="123"/>
      <c r="G28" s="64"/>
      <c r="I28" s="10" t="str">
        <f t="shared" si="4"/>
        <v>OIS</v>
      </c>
      <c r="J28" s="94" t="str">
        <f t="shared" si="5"/>
        <v>--</v>
      </c>
      <c r="K28" s="146" t="str">
        <f>IFERROR(_xll.qlRateHelperQuoteName(J28,Trigger),"--")</f>
        <v>--</v>
      </c>
      <c r="L28" s="98" t="str">
        <f>IFERROR(_xll.qlRateHelperQuoteValue($J28,Trigger),"--")</f>
        <v>--</v>
      </c>
      <c r="M28" s="97" t="b">
        <v>0</v>
      </c>
      <c r="N28" s="94">
        <v>50</v>
      </c>
      <c r="O28" s="94">
        <v>1</v>
      </c>
      <c r="P28" s="99" t="str">
        <f>IFERROR(_xll.qlRateHelperEarliestDate(J28,Trigger),"--")</f>
        <v>--</v>
      </c>
      <c r="Q28" s="99" t="str">
        <f>IFERROR(_xll.qlRateHelperPillarDate(J28,Trigger),"--")</f>
        <v>--</v>
      </c>
      <c r="S28" s="4" t="str">
        <f t="shared" si="1"/>
        <v>BasSw</v>
      </c>
      <c r="T28" s="4" t="str">
        <v>obj_005be</v>
      </c>
      <c r="U28" s="4" t="str">
        <f>IFERROR(_xll.qlRateHelperQuoteName(T28,Trigger),"")</f>
        <v>EUR1EON3E7Y_LCHQuote</v>
      </c>
      <c r="V28" s="70">
        <f>IFERROR(_xll.qlRateHelperRate(T28,Trigger),"")</f>
        <v>4.9900999999999999E-3</v>
      </c>
      <c r="W28" s="104" t="str">
        <f>IF(ISERROR(_xll.qlSwapRateHelperSpread($T28)),IF(ISERROR(_xll.qlFuturesRateHelperConvexityAdjustment($T28)),"",_xll.qlFuturesRateHelperConvexityAdjustment($T28)),_xll.qlSwapRateHelperSpread($T28))</f>
        <v/>
      </c>
      <c r="X28" s="5">
        <f>IFERROR(_xll.qlRateHelperEarliestDate(T28,Trigger),"")</f>
        <v>42250</v>
      </c>
      <c r="Y28" s="5">
        <f>IFERROR(_xll.qlRateHelperPillarDate(T28,Trigger),"")</f>
        <v>44809</v>
      </c>
      <c r="Z28" s="70">
        <v>5.0981648540945387E-3</v>
      </c>
      <c r="AA28" s="77">
        <v>0.96486126055018828</v>
      </c>
      <c r="AB28" s="170">
        <v>44809</v>
      </c>
      <c r="AC28" s="171">
        <v>5.0981648542883602E-3</v>
      </c>
      <c r="AD28" s="173">
        <f t="shared" si="2"/>
        <v>-1.9382152133262665E-13</v>
      </c>
      <c r="AE28" s="175">
        <v>0.96486126055034405</v>
      </c>
      <c r="AF28" s="174">
        <f t="shared" si="3"/>
        <v>-1.5576429035490946E-13</v>
      </c>
      <c r="AG28" s="171"/>
    </row>
    <row r="29" spans="1:33" ht="11.25" customHeight="1" x14ac:dyDescent="0.2">
      <c r="A29" s="59" t="s">
        <v>70</v>
      </c>
      <c r="B29" s="60" t="s">
        <v>56</v>
      </c>
      <c r="C29" s="61">
        <f t="shared" si="9"/>
        <v>2</v>
      </c>
      <c r="D29" s="62" t="str">
        <f t="shared" si="8"/>
        <v>Eonia</v>
      </c>
      <c r="E29" s="63" t="str">
        <f t="shared" si="6"/>
        <v>EUR6YOIS_LCHQuote</v>
      </c>
      <c r="F29" s="123"/>
      <c r="G29" s="64"/>
      <c r="I29" s="10" t="str">
        <f t="shared" si="4"/>
        <v>OIS</v>
      </c>
      <c r="J29" s="94" t="str">
        <f t="shared" si="5"/>
        <v>--</v>
      </c>
      <c r="K29" s="146" t="str">
        <f>IFERROR(_xll.qlRateHelperQuoteName(J29,Trigger),"--")</f>
        <v>--</v>
      </c>
      <c r="L29" s="98" t="str">
        <f>IFERROR(_xll.qlRateHelperQuoteValue($J29,Trigger),"--")</f>
        <v>--</v>
      </c>
      <c r="M29" s="97" t="b">
        <v>0</v>
      </c>
      <c r="N29" s="94">
        <v>50</v>
      </c>
      <c r="O29" s="94">
        <v>1</v>
      </c>
      <c r="P29" s="99" t="str">
        <f>IFERROR(_xll.qlRateHelperEarliestDate(J29,Trigger),"--")</f>
        <v>--</v>
      </c>
      <c r="Q29" s="99" t="str">
        <f>IFERROR(_xll.qlRateHelperPillarDate(J29,Trigger),"--")</f>
        <v>--</v>
      </c>
      <c r="S29" s="4" t="str">
        <f t="shared" si="1"/>
        <v>BasSw</v>
      </c>
      <c r="T29" s="4" t="str">
        <v>obj_005b8</v>
      </c>
      <c r="U29" s="4" t="str">
        <f>IFERROR(_xll.qlRateHelperQuoteName(T29,Trigger),"")</f>
        <v>EUR1EON3E8Y_LCHQuote</v>
      </c>
      <c r="V29" s="70">
        <f>IFERROR(_xll.qlRateHelperRate(T29,Trigger),"")</f>
        <v>6.3995500000000004E-3</v>
      </c>
      <c r="W29" s="104" t="str">
        <f>IF(ISERROR(_xll.qlSwapRateHelperSpread($T29)),IF(ISERROR(_xll.qlFuturesRateHelperConvexityAdjustment($T29)),"",_xll.qlFuturesRateHelperConvexityAdjustment($T29)),_xll.qlSwapRateHelperSpread($T29))</f>
        <v/>
      </c>
      <c r="X29" s="5">
        <f>IFERROR(_xll.qlRateHelperEarliestDate(T29,Trigger),"")</f>
        <v>42250</v>
      </c>
      <c r="Y29" s="5">
        <f>IFERROR(_xll.qlRateHelperPillarDate(T29,Trigger),"")</f>
        <v>45173</v>
      </c>
      <c r="Z29" s="70">
        <v>6.5590756173702211E-3</v>
      </c>
      <c r="AA29" s="77">
        <v>0.94879506193468266</v>
      </c>
      <c r="AB29" s="170">
        <v>45173</v>
      </c>
      <c r="AC29" s="171">
        <v>6.5590756173417699E-3</v>
      </c>
      <c r="AD29" s="173">
        <f t="shared" si="2"/>
        <v>2.8451199729495613E-14</v>
      </c>
      <c r="AE29" s="175">
        <v>0.94879506193487995</v>
      </c>
      <c r="AF29" s="174">
        <f t="shared" si="3"/>
        <v>-1.9728663147589032E-13</v>
      </c>
      <c r="AG29" s="171"/>
    </row>
    <row r="30" spans="1:33" ht="11.25" customHeight="1" x14ac:dyDescent="0.2">
      <c r="A30" s="59" t="s">
        <v>70</v>
      </c>
      <c r="B30" s="60" t="s">
        <v>57</v>
      </c>
      <c r="C30" s="61">
        <f t="shared" si="9"/>
        <v>2</v>
      </c>
      <c r="D30" s="62" t="str">
        <f t="shared" si="8"/>
        <v>Eonia</v>
      </c>
      <c r="E30" s="63" t="str">
        <f t="shared" si="6"/>
        <v>EUR7YOIS_LCHQuote</v>
      </c>
      <c r="F30" s="123"/>
      <c r="G30" s="64"/>
      <c r="I30" s="10" t="str">
        <f t="shared" si="4"/>
        <v>OIS</v>
      </c>
      <c r="J30" s="94" t="str">
        <f t="shared" si="5"/>
        <v>--</v>
      </c>
      <c r="K30" s="146" t="str">
        <f>IFERROR(_xll.qlRateHelperQuoteName(J30,Trigger),"--")</f>
        <v>--</v>
      </c>
      <c r="L30" s="98" t="str">
        <f>IFERROR(_xll.qlRateHelperQuoteValue($J30,Trigger),"--")</f>
        <v>--</v>
      </c>
      <c r="M30" s="97" t="b">
        <v>0</v>
      </c>
      <c r="N30" s="94">
        <v>50</v>
      </c>
      <c r="O30" s="94">
        <v>1</v>
      </c>
      <c r="P30" s="99" t="str">
        <f>IFERROR(_xll.qlRateHelperEarliestDate(J30,Trigger),"--")</f>
        <v>--</v>
      </c>
      <c r="Q30" s="99" t="str">
        <f>IFERROR(_xll.qlRateHelperPillarDate(J30,Trigger),"--")</f>
        <v>--</v>
      </c>
      <c r="S30" s="4" t="str">
        <f t="shared" si="1"/>
        <v>BasSw</v>
      </c>
      <c r="T30" s="4" t="str">
        <v>obj_005bc</v>
      </c>
      <c r="U30" s="4" t="str">
        <f>IFERROR(_xll.qlRateHelperQuoteName(T30,Trigger),"")</f>
        <v>EUR1EON3E9Y_LCHQuote</v>
      </c>
      <c r="V30" s="70">
        <f>IFERROR(_xll.qlRateHelperRate(T30,Trigger),"")</f>
        <v>7.7026000000000004E-3</v>
      </c>
      <c r="W30" s="104" t="str">
        <f>IF(ISERROR(_xll.qlSwapRateHelperSpread($T30)),IF(ISERROR(_xll.qlFuturesRateHelperConvexityAdjustment($T30)),"",_xll.qlFuturesRateHelperConvexityAdjustment($T30)),_xll.qlSwapRateHelperSpread($T30))</f>
        <v/>
      </c>
      <c r="X30" s="5">
        <f>IFERROR(_xll.qlRateHelperEarliestDate(T30,Trigger),"")</f>
        <v>42250</v>
      </c>
      <c r="Y30" s="5">
        <f>IFERROR(_xll.qlRateHelperPillarDate(T30,Trigger),"")</f>
        <v>45538</v>
      </c>
      <c r="Z30" s="70">
        <v>7.9204832725188017E-3</v>
      </c>
      <c r="AA30" s="77">
        <v>0.93109603991381429</v>
      </c>
      <c r="AB30" s="170">
        <v>45538</v>
      </c>
      <c r="AC30" s="171">
        <v>7.9204832724662794E-3</v>
      </c>
      <c r="AD30" s="173">
        <f t="shared" si="2"/>
        <v>5.2522222682149788E-14</v>
      </c>
      <c r="AE30" s="175">
        <v>0.93109603991405099</v>
      </c>
      <c r="AF30" s="174">
        <f t="shared" si="3"/>
        <v>-2.3669954885008337E-13</v>
      </c>
      <c r="AG30" s="171"/>
    </row>
    <row r="31" spans="1:33" ht="11.25" customHeight="1" x14ac:dyDescent="0.2">
      <c r="A31" s="59" t="s">
        <v>70</v>
      </c>
      <c r="B31" s="60" t="s">
        <v>58</v>
      </c>
      <c r="C31" s="61">
        <f t="shared" si="9"/>
        <v>2</v>
      </c>
      <c r="D31" s="62" t="str">
        <f t="shared" si="8"/>
        <v>Eonia</v>
      </c>
      <c r="E31" s="63" t="str">
        <f t="shared" si="6"/>
        <v>EUR8YOIS_LCHQuote</v>
      </c>
      <c r="F31" s="123"/>
      <c r="G31" s="64"/>
      <c r="I31" s="10" t="str">
        <f t="shared" si="4"/>
        <v>OIS</v>
      </c>
      <c r="J31" s="94" t="str">
        <f t="shared" si="5"/>
        <v>--</v>
      </c>
      <c r="K31" s="146" t="str">
        <f>IFERROR(_xll.qlRateHelperQuoteName(J31,Trigger),"--")</f>
        <v>--</v>
      </c>
      <c r="L31" s="98" t="str">
        <f>IFERROR(_xll.qlRateHelperQuoteValue($J31,Trigger),"--")</f>
        <v>--</v>
      </c>
      <c r="M31" s="97" t="b">
        <v>0</v>
      </c>
      <c r="N31" s="94">
        <v>50</v>
      </c>
      <c r="O31" s="94">
        <v>1</v>
      </c>
      <c r="P31" s="99" t="str">
        <f>IFERROR(_xll.qlRateHelperEarliestDate(J31,Trigger),"--")</f>
        <v>--</v>
      </c>
      <c r="Q31" s="99" t="str">
        <f>IFERROR(_xll.qlRateHelperPillarDate(J31,Trigger),"--")</f>
        <v>--</v>
      </c>
      <c r="S31" s="4" t="str">
        <f t="shared" si="1"/>
        <v>BasSw</v>
      </c>
      <c r="T31" s="4" t="str">
        <v>obj_005b9</v>
      </c>
      <c r="U31" s="4" t="str">
        <f>IFERROR(_xll.qlRateHelperQuoteName(T31,Trigger),"")</f>
        <v>EUR1EON3E10Y_LCHQuote</v>
      </c>
      <c r="V31" s="70">
        <f>IFERROR(_xll.qlRateHelperRate(T31,Trigger),"")</f>
        <v>8.8521999999999993E-3</v>
      </c>
      <c r="W31" s="104" t="str">
        <f>IF(ISERROR(_xll.qlSwapRateHelperSpread($T31)),IF(ISERROR(_xll.qlFuturesRateHelperConvexityAdjustment($T31)),"",_xll.qlFuturesRateHelperConvexityAdjustment($T31)),_xll.qlSwapRateHelperSpread($T31))</f>
        <v/>
      </c>
      <c r="X31" s="5">
        <f>IFERROR(_xll.qlRateHelperEarliestDate(T31,Trigger),"")</f>
        <v>42250</v>
      </c>
      <c r="Y31" s="5">
        <f>IFERROR(_xll.qlRateHelperPillarDate(T31,Trigger),"")</f>
        <v>45903</v>
      </c>
      <c r="Z31" s="70">
        <v>9.1310281191079087E-3</v>
      </c>
      <c r="AA31" s="77">
        <v>0.91262030258466986</v>
      </c>
      <c r="AB31" s="170">
        <v>45903</v>
      </c>
      <c r="AC31" s="171">
        <v>9.1310281189194605E-3</v>
      </c>
      <c r="AD31" s="173">
        <f t="shared" si="2"/>
        <v>1.8844821536578849E-13</v>
      </c>
      <c r="AE31" s="175">
        <v>0.91262030258493998</v>
      </c>
      <c r="AF31" s="174">
        <f t="shared" si="3"/>
        <v>-2.7011726189130059E-13</v>
      </c>
      <c r="AG31" s="171"/>
    </row>
    <row r="32" spans="1:33" ht="11.25" customHeight="1" x14ac:dyDescent="0.2">
      <c r="A32" s="59" t="s">
        <v>70</v>
      </c>
      <c r="B32" s="60" t="s">
        <v>59</v>
      </c>
      <c r="C32" s="61">
        <f t="shared" si="9"/>
        <v>2</v>
      </c>
      <c r="D32" s="62" t="str">
        <f t="shared" si="8"/>
        <v>Eonia</v>
      </c>
      <c r="E32" s="63" t="str">
        <f t="shared" si="6"/>
        <v>EUR9YOIS_LCHQuote</v>
      </c>
      <c r="F32" s="123"/>
      <c r="G32" s="64"/>
      <c r="I32" s="10" t="str">
        <f t="shared" si="4"/>
        <v>OIS</v>
      </c>
      <c r="J32" s="94" t="str">
        <f t="shared" si="5"/>
        <v>--</v>
      </c>
      <c r="K32" s="146" t="str">
        <f>IFERROR(_xll.qlRateHelperQuoteName(J32,Trigger),"--")</f>
        <v>--</v>
      </c>
      <c r="L32" s="98" t="str">
        <f>IFERROR(_xll.qlRateHelperQuoteValue($J32,Trigger),"--")</f>
        <v>--</v>
      </c>
      <c r="M32" s="97" t="b">
        <v>0</v>
      </c>
      <c r="N32" s="94">
        <v>50</v>
      </c>
      <c r="O32" s="94">
        <v>1</v>
      </c>
      <c r="P32" s="99" t="str">
        <f>IFERROR(_xll.qlRateHelperEarliestDate(J32,Trigger),"--")</f>
        <v>--</v>
      </c>
      <c r="Q32" s="99" t="str">
        <f>IFERROR(_xll.qlRateHelperPillarDate(J32,Trigger),"--")</f>
        <v>--</v>
      </c>
      <c r="S32" s="4" t="str">
        <f t="shared" si="1"/>
        <v>BasSw</v>
      </c>
      <c r="T32" s="4" t="str">
        <v>obj_005c6</v>
      </c>
      <c r="U32" s="4" t="str">
        <f>IFERROR(_xll.qlRateHelperQuoteName(T32,Trigger),"")</f>
        <v>EUR1EON3E12Y_LCHQuote</v>
      </c>
      <c r="V32" s="70">
        <f>IFERROR(_xll.qlRateHelperRate(T32,Trigger),"")</f>
        <v>1.0721400000000001E-2</v>
      </c>
      <c r="W32" s="104" t="str">
        <f>IF(ISERROR(_xll.qlSwapRateHelperSpread($T32)),IF(ISERROR(_xll.qlFuturesRateHelperConvexityAdjustment($T32)),"",_xll.qlFuturesRateHelperConvexityAdjustment($T32)),_xll.qlSwapRateHelperSpread($T32))</f>
        <v/>
      </c>
      <c r="X32" s="5">
        <f>IFERROR(_xll.qlRateHelperEarliestDate(T32,Trigger),"")</f>
        <v>42250</v>
      </c>
      <c r="Y32" s="5">
        <f>IFERROR(_xll.qlRateHelperPillarDate(T32,Trigger),"")</f>
        <v>46633</v>
      </c>
      <c r="Z32" s="70">
        <v>1.1121197745132724E-2</v>
      </c>
      <c r="AA32" s="77">
        <v>0.874940924579651</v>
      </c>
      <c r="AB32" s="170">
        <v>46633</v>
      </c>
      <c r="AC32" s="171">
        <v>1.11211977451033E-2</v>
      </c>
      <c r="AD32" s="173">
        <f t="shared" si="2"/>
        <v>2.9424379599518602E-14</v>
      </c>
      <c r="AE32" s="175">
        <v>0.87494092458097406</v>
      </c>
      <c r="AF32" s="174">
        <f t="shared" si="3"/>
        <v>-1.323052778445799E-12</v>
      </c>
      <c r="AG32" s="171"/>
    </row>
    <row r="33" spans="1:33" ht="11.25" customHeight="1" x14ac:dyDescent="0.2">
      <c r="A33" s="59" t="s">
        <v>70</v>
      </c>
      <c r="B33" s="60" t="s">
        <v>60</v>
      </c>
      <c r="C33" s="61">
        <f t="shared" si="9"/>
        <v>2</v>
      </c>
      <c r="D33" s="62" t="str">
        <f t="shared" si="8"/>
        <v>Eonia</v>
      </c>
      <c r="E33" s="63" t="str">
        <f t="shared" si="6"/>
        <v>EUR10YOIS_LCHQuote</v>
      </c>
      <c r="F33" s="123"/>
      <c r="G33" s="64"/>
      <c r="I33" s="10" t="str">
        <f t="shared" si="4"/>
        <v>OIS</v>
      </c>
      <c r="J33" s="94" t="str">
        <f t="shared" si="5"/>
        <v>--</v>
      </c>
      <c r="K33" s="146" t="str">
        <f>IFERROR(_xll.qlRateHelperQuoteName(J33,Trigger),"--")</f>
        <v>--</v>
      </c>
      <c r="L33" s="98" t="str">
        <f>IFERROR(_xll.qlRateHelperQuoteValue($J33,Trigger),"--")</f>
        <v>--</v>
      </c>
      <c r="M33" s="97" t="b">
        <v>0</v>
      </c>
      <c r="N33" s="94">
        <v>50</v>
      </c>
      <c r="O33" s="94">
        <v>1</v>
      </c>
      <c r="P33" s="99" t="str">
        <f>IFERROR(_xll.qlRateHelperEarliestDate(J33,Trigger),"--")</f>
        <v>--</v>
      </c>
      <c r="Q33" s="99" t="str">
        <f>IFERROR(_xll.qlRateHelperPillarDate(J33,Trigger),"--")</f>
        <v>--</v>
      </c>
      <c r="S33" s="4" t="str">
        <f t="shared" si="1"/>
        <v>BasSw</v>
      </c>
      <c r="T33" s="4" t="str">
        <v>obj_005bd</v>
      </c>
      <c r="U33" s="4" t="str">
        <f>IFERROR(_xll.qlRateHelperQuoteName(T33,Trigger),"")</f>
        <v>EUR1EON3E15Y_LCHQuote</v>
      </c>
      <c r="V33" s="70">
        <f>IFERROR(_xll.qlRateHelperRate(T33,Trigger),"")</f>
        <v>1.27002E-2</v>
      </c>
      <c r="W33" s="104" t="str">
        <f>IF(ISERROR(_xll.qlSwapRateHelperSpread($T33)),IF(ISERROR(_xll.qlFuturesRateHelperConvexityAdjustment($T33)),"",_xll.qlFuturesRateHelperConvexityAdjustment($T33)),_xll.qlSwapRateHelperSpread($T33))</f>
        <v/>
      </c>
      <c r="X33" s="5">
        <f>IFERROR(_xll.qlRateHelperEarliestDate(T33,Trigger),"")</f>
        <v>42250</v>
      </c>
      <c r="Y33" s="5">
        <f>IFERROR(_xll.qlRateHelperPillarDate(T33,Trigger),"")</f>
        <v>47729</v>
      </c>
      <c r="Z33" s="70">
        <v>1.3261847133437985E-2</v>
      </c>
      <c r="AA33" s="77">
        <v>0.81946831946617127</v>
      </c>
      <c r="AB33" s="170">
        <v>47729</v>
      </c>
      <c r="AC33" s="171">
        <v>1.32618471334088E-2</v>
      </c>
      <c r="AD33" s="173">
        <f t="shared" si="2"/>
        <v>2.9184987759833803E-14</v>
      </c>
      <c r="AE33" s="175">
        <v>0.81946831946634502</v>
      </c>
      <c r="AF33" s="174">
        <f t="shared" si="3"/>
        <v>-1.73749903353837E-13</v>
      </c>
      <c r="AG33" s="171"/>
    </row>
    <row r="34" spans="1:33" ht="11.25" customHeight="1" x14ac:dyDescent="0.2">
      <c r="A34" s="59" t="s">
        <v>70</v>
      </c>
      <c r="B34" s="60" t="s">
        <v>98</v>
      </c>
      <c r="C34" s="61">
        <f t="shared" si="9"/>
        <v>2</v>
      </c>
      <c r="D34" s="62" t="str">
        <f t="shared" si="8"/>
        <v>Eonia</v>
      </c>
      <c r="E34" s="63" t="str">
        <f t="shared" si="6"/>
        <v>EUR11YOIS_LCHQuote</v>
      </c>
      <c r="F34" s="123"/>
      <c r="G34" s="64"/>
      <c r="I34" s="10" t="str">
        <f t="shared" si="4"/>
        <v>OIS</v>
      </c>
      <c r="J34" s="94" t="str">
        <f t="shared" si="5"/>
        <v>--</v>
      </c>
      <c r="K34" s="146" t="str">
        <f>IFERROR(_xll.qlRateHelperQuoteName(J34,Trigger),"--")</f>
        <v>--</v>
      </c>
      <c r="L34" s="98" t="str">
        <f>IFERROR(_xll.qlRateHelperQuoteValue($J34,Trigger),"--")</f>
        <v>--</v>
      </c>
      <c r="M34" s="97" t="b">
        <v>0</v>
      </c>
      <c r="N34" s="94">
        <v>50</v>
      </c>
      <c r="O34" s="94">
        <v>1</v>
      </c>
      <c r="P34" s="99" t="str">
        <f>IFERROR(_xll.qlRateHelperEarliestDate(J34,Trigger),"--")</f>
        <v>--</v>
      </c>
      <c r="Q34" s="99" t="str">
        <f>IFERROR(_xll.qlRateHelperPillarDate(J34,Trigger),"--")</f>
        <v>--</v>
      </c>
      <c r="S34" s="4" t="str">
        <f t="shared" si="1"/>
        <v>BasSw</v>
      </c>
      <c r="T34" s="4" t="str">
        <v>obj_005c0</v>
      </c>
      <c r="U34" s="4" t="str">
        <f>IFERROR(_xll.qlRateHelperQuoteName(T34,Trigger),"")</f>
        <v>EUR1EON3E20Y_LCHQuote</v>
      </c>
      <c r="V34" s="70">
        <f>IFERROR(_xll.qlRateHelperRate(T34,Trigger),"")</f>
        <v>1.43558E-2</v>
      </c>
      <c r="W34" s="104" t="str">
        <f>IF(ISERROR(_xll.qlSwapRateHelperSpread($T34)),IF(ISERROR(_xll.qlFuturesRateHelperConvexityAdjustment($T34)),"",_xll.qlFuturesRateHelperConvexityAdjustment($T34)),_xll.qlSwapRateHelperSpread($T34))</f>
        <v/>
      </c>
      <c r="X34" s="5">
        <f>IFERROR(_xll.qlRateHelperEarliestDate(T34,Trigger),"")</f>
        <v>42250</v>
      </c>
      <c r="Y34" s="5">
        <f>IFERROR(_xll.qlRateHelperPillarDate(T34,Trigger),"")</f>
        <v>49555</v>
      </c>
      <c r="Z34" s="70">
        <v>1.5062889566104383E-2</v>
      </c>
      <c r="AA34" s="77">
        <v>0.7398508832870917</v>
      </c>
      <c r="AB34" s="170">
        <v>49555</v>
      </c>
      <c r="AC34" s="171">
        <v>1.50628895659203E-2</v>
      </c>
      <c r="AD34" s="173">
        <f t="shared" si="2"/>
        <v>1.8408365110023084E-13</v>
      </c>
      <c r="AE34" s="175">
        <v>0.73985088328825399</v>
      </c>
      <c r="AF34" s="174">
        <f t="shared" si="3"/>
        <v>-1.1622924844800764E-12</v>
      </c>
      <c r="AG34" s="171"/>
    </row>
    <row r="35" spans="1:33" ht="11.25" customHeight="1" x14ac:dyDescent="0.2">
      <c r="A35" s="59" t="s">
        <v>70</v>
      </c>
      <c r="B35" s="60" t="s">
        <v>61</v>
      </c>
      <c r="C35" s="61">
        <f t="shared" si="9"/>
        <v>2</v>
      </c>
      <c r="D35" s="62" t="str">
        <f t="shared" si="8"/>
        <v>Eonia</v>
      </c>
      <c r="E35" s="63" t="str">
        <f t="shared" si="6"/>
        <v>EUR12YOIS_LCHQuote</v>
      </c>
      <c r="F35" s="123"/>
      <c r="G35" s="64"/>
      <c r="I35" s="10" t="str">
        <f t="shared" si="4"/>
        <v>OIS</v>
      </c>
      <c r="J35" s="94" t="str">
        <f t="shared" si="5"/>
        <v>--</v>
      </c>
      <c r="K35" s="146" t="str">
        <f>IFERROR(_xll.qlRateHelperQuoteName(J35,Trigger),"--")</f>
        <v>--</v>
      </c>
      <c r="L35" s="98" t="str">
        <f>IFERROR(_xll.qlRateHelperQuoteValue($J35,Trigger),"--")</f>
        <v>--</v>
      </c>
      <c r="M35" s="97" t="b">
        <v>0</v>
      </c>
      <c r="N35" s="94">
        <v>50</v>
      </c>
      <c r="O35" s="94">
        <v>1</v>
      </c>
      <c r="P35" s="99" t="str">
        <f>IFERROR(_xll.qlRateHelperEarliestDate(J35,Trigger),"--")</f>
        <v>--</v>
      </c>
      <c r="Q35" s="99" t="str">
        <f>IFERROR(_xll.qlRateHelperPillarDate(J35,Trigger),"--")</f>
        <v>--</v>
      </c>
      <c r="S35" s="4" t="str">
        <f t="shared" si="1"/>
        <v>BasSw</v>
      </c>
      <c r="T35" s="4" t="str">
        <v>obj_005ba</v>
      </c>
      <c r="U35" s="4" t="str">
        <f>IFERROR(_xll.qlRateHelperQuoteName(T35,Trigger),"")</f>
        <v>EUR1EON3E25Y_LCHQuote</v>
      </c>
      <c r="V35" s="70">
        <f>IFERROR(_xll.qlRateHelperRate(T35,Trigger),"")</f>
        <v>1.4874699999999999E-2</v>
      </c>
      <c r="W35" s="104" t="str">
        <f>IF(ISERROR(_xll.qlSwapRateHelperSpread($T35)),IF(ISERROR(_xll.qlFuturesRateHelperConvexityAdjustment($T35)),"",_xll.qlFuturesRateHelperConvexityAdjustment($T35)),_xll.qlSwapRateHelperSpread($T35))</f>
        <v/>
      </c>
      <c r="X35" s="5">
        <f>IFERROR(_xll.qlRateHelperEarliestDate(T35,Trigger),"")</f>
        <v>42250</v>
      </c>
      <c r="Y35" s="5">
        <f>IFERROR(_xll.qlRateHelperPillarDate(T35,Trigger),"")</f>
        <v>51382</v>
      </c>
      <c r="Z35" s="70">
        <v>1.5572392124158421E-2</v>
      </c>
      <c r="AA35" s="77">
        <v>0.67750030459971577</v>
      </c>
      <c r="AB35" s="170">
        <v>51382</v>
      </c>
      <c r="AC35" s="171">
        <v>1.55723921239239E-2</v>
      </c>
      <c r="AD35" s="173">
        <f t="shared" si="2"/>
        <v>2.345207361642565E-13</v>
      </c>
      <c r="AE35" s="175">
        <v>0.67750030459979804</v>
      </c>
      <c r="AF35" s="174">
        <f t="shared" si="3"/>
        <v>-8.22675261247241E-14</v>
      </c>
      <c r="AG35" s="171"/>
    </row>
    <row r="36" spans="1:33" ht="11.25" customHeight="1" x14ac:dyDescent="0.2">
      <c r="A36" s="59" t="s">
        <v>70</v>
      </c>
      <c r="B36" s="60" t="s">
        <v>62</v>
      </c>
      <c r="C36" s="61">
        <f t="shared" si="9"/>
        <v>2</v>
      </c>
      <c r="D36" s="62" t="str">
        <f t="shared" si="8"/>
        <v>Eonia</v>
      </c>
      <c r="E36" s="63" t="str">
        <f t="shared" si="6"/>
        <v>EUR15YOIS_LCHQuote</v>
      </c>
      <c r="F36" s="123"/>
      <c r="G36" s="64"/>
      <c r="I36" s="10" t="str">
        <f t="shared" si="4"/>
        <v>OIS</v>
      </c>
      <c r="J36" s="94" t="str">
        <f t="shared" si="5"/>
        <v>--</v>
      </c>
      <c r="K36" s="146" t="str">
        <f>IFERROR(_xll.qlRateHelperQuoteName(J36,Trigger),"--")</f>
        <v>--</v>
      </c>
      <c r="L36" s="98" t="str">
        <f>IFERROR(_xll.qlRateHelperQuoteValue($J36,Trigger),"--")</f>
        <v>--</v>
      </c>
      <c r="M36" s="97" t="b">
        <v>0</v>
      </c>
      <c r="N36" s="94">
        <v>50</v>
      </c>
      <c r="O36" s="94">
        <v>1</v>
      </c>
      <c r="P36" s="99" t="str">
        <f>IFERROR(_xll.qlRateHelperEarliestDate(J36,Trigger),"--")</f>
        <v>--</v>
      </c>
      <c r="Q36" s="99" t="str">
        <f>IFERROR(_xll.qlRateHelperPillarDate(J36,Trigger),"--")</f>
        <v>--</v>
      </c>
      <c r="S36" s="4" t="str">
        <f t="shared" si="1"/>
        <v>BasSw</v>
      </c>
      <c r="T36" s="4" t="str">
        <v>obj_005c7</v>
      </c>
      <c r="U36" s="4" t="str">
        <f>IFERROR(_xll.qlRateHelperQuoteName(T36,Trigger),"")</f>
        <v>EUR1EON3E30Y_LCHQuote</v>
      </c>
      <c r="V36" s="70">
        <f>IFERROR(_xll.qlRateHelperRate(T36,Trigger),"")</f>
        <v>1.51054E-2</v>
      </c>
      <c r="W36" s="104" t="str">
        <f>IF(ISERROR(_xll.qlSwapRateHelperSpread($T36)),IF(ISERROR(_xll.qlFuturesRateHelperConvexityAdjustment($T36)),"",_xll.qlFuturesRateHelperConvexityAdjustment($T36)),_xll.qlSwapRateHelperSpread($T36))</f>
        <v/>
      </c>
      <c r="X36" s="5">
        <f>IFERROR(_xll.qlRateHelperEarliestDate(T36,Trigger),"")</f>
        <v>42250</v>
      </c>
      <c r="Y36" s="5">
        <f>IFERROR(_xll.qlRateHelperPillarDate(T36,Trigger),"")</f>
        <v>53209</v>
      </c>
      <c r="Z36" s="70">
        <v>1.576516461820443E-2</v>
      </c>
      <c r="AA36" s="77">
        <v>0.62308650098718799</v>
      </c>
      <c r="AB36" s="170">
        <v>53209</v>
      </c>
      <c r="AC36" s="171">
        <v>1.5765164618209201E-2</v>
      </c>
      <c r="AD36" s="173">
        <f t="shared" si="2"/>
        <v>-4.7704895589362195E-15</v>
      </c>
      <c r="AE36" s="175">
        <v>0.62308650098741503</v>
      </c>
      <c r="AF36" s="174">
        <f t="shared" si="3"/>
        <v>-2.2704060853584451E-13</v>
      </c>
      <c r="AG36" s="171"/>
    </row>
    <row r="37" spans="1:33" ht="11.25" customHeight="1" x14ac:dyDescent="0.2">
      <c r="A37" s="59" t="s">
        <v>70</v>
      </c>
      <c r="B37" s="60" t="s">
        <v>63</v>
      </c>
      <c r="C37" s="61">
        <f t="shared" si="9"/>
        <v>2</v>
      </c>
      <c r="D37" s="62" t="str">
        <f t="shared" si="8"/>
        <v>Eonia</v>
      </c>
      <c r="E37" s="63" t="str">
        <f t="shared" si="6"/>
        <v>EUR20YOIS_LCHQuote</v>
      </c>
      <c r="F37" s="123"/>
      <c r="G37" s="64"/>
      <c r="I37" s="10" t="str">
        <f t="shared" si="4"/>
        <v>OIS</v>
      </c>
      <c r="J37" s="94" t="str">
        <f t="shared" si="5"/>
        <v>--</v>
      </c>
      <c r="K37" s="146" t="str">
        <f>IFERROR(_xll.qlRateHelperQuoteName(J37,Trigger),"--")</f>
        <v>--</v>
      </c>
      <c r="L37" s="98" t="str">
        <f>IFERROR(_xll.qlRateHelperQuoteValue($J37,Trigger),"--")</f>
        <v>--</v>
      </c>
      <c r="M37" s="97" t="b">
        <v>0</v>
      </c>
      <c r="N37" s="94">
        <v>50</v>
      </c>
      <c r="O37" s="94">
        <v>1</v>
      </c>
      <c r="P37" s="99" t="str">
        <f>IFERROR(_xll.qlRateHelperEarliestDate(J37,Trigger),"--")</f>
        <v>--</v>
      </c>
      <c r="Q37" s="99" t="str">
        <f>IFERROR(_xll.qlRateHelperPillarDate(J37,Trigger),"--")</f>
        <v>--</v>
      </c>
      <c r="S37" s="4" t="str">
        <f t="shared" si="1"/>
        <v>BasSw</v>
      </c>
      <c r="T37" s="4" t="str">
        <v>obj_005c4</v>
      </c>
      <c r="U37" s="4" t="str">
        <f>IFERROR(_xll.qlRateHelperQuoteName(T37,Trigger),"")</f>
        <v>EUR1EON3E40Y_LCHQuote</v>
      </c>
      <c r="V37" s="70">
        <f>IFERROR(_xll.qlRateHelperRate(T37,Trigger),"")</f>
        <v>1.5446E-2</v>
      </c>
      <c r="W37" s="104" t="str">
        <f>IF(ISERROR(_xll.qlSwapRateHelperSpread($T37)),IF(ISERROR(_xll.qlFuturesRateHelperConvexityAdjustment($T37)),"",_xll.qlFuturesRateHelperConvexityAdjustment($T37)),_xll.qlSwapRateHelperSpread($T37))</f>
        <v/>
      </c>
      <c r="X37" s="5">
        <f>IFERROR(_xll.qlRateHelperEarliestDate(T37,Trigger),"")</f>
        <v>42250</v>
      </c>
      <c r="Y37" s="5">
        <f>IFERROR(_xll.qlRateHelperPillarDate(T37,Trigger),"")</f>
        <v>56860</v>
      </c>
      <c r="Z37" s="70">
        <v>1.6078729444672365E-2</v>
      </c>
      <c r="AA37" s="77">
        <v>0.52568697911320528</v>
      </c>
      <c r="AB37" s="170">
        <v>56860</v>
      </c>
      <c r="AC37" s="171">
        <v>1.6078729444676601E-2</v>
      </c>
      <c r="AD37" s="173">
        <f t="shared" si="2"/>
        <v>-4.2361947283353629E-15</v>
      </c>
      <c r="AE37" s="175">
        <v>0.52568697911377904</v>
      </c>
      <c r="AF37" s="174">
        <f t="shared" si="3"/>
        <v>-5.737632591262809E-13</v>
      </c>
      <c r="AG37" s="171"/>
    </row>
    <row r="38" spans="1:33" ht="11.25" customHeight="1" x14ac:dyDescent="0.2">
      <c r="A38" s="59" t="s">
        <v>70</v>
      </c>
      <c r="B38" s="60" t="s">
        <v>64</v>
      </c>
      <c r="C38" s="61">
        <f t="shared" si="9"/>
        <v>2</v>
      </c>
      <c r="D38" s="62" t="str">
        <f t="shared" si="8"/>
        <v>Eonia</v>
      </c>
      <c r="E38" s="63" t="str">
        <f t="shared" si="6"/>
        <v>EUR25YOIS_LCHQuote</v>
      </c>
      <c r="F38" s="123"/>
      <c r="G38" s="64"/>
      <c r="I38" s="10" t="str">
        <f t="shared" si="4"/>
        <v>OIS</v>
      </c>
      <c r="J38" s="94" t="str">
        <f t="shared" si="5"/>
        <v>--</v>
      </c>
      <c r="K38" s="146" t="str">
        <f>IFERROR(_xll.qlRateHelperQuoteName(J38,Trigger),"--")</f>
        <v>--</v>
      </c>
      <c r="L38" s="98" t="str">
        <f>IFERROR(_xll.qlRateHelperQuoteValue($J38,Trigger),"--")</f>
        <v>--</v>
      </c>
      <c r="M38" s="97" t="b">
        <v>0</v>
      </c>
      <c r="N38" s="94">
        <v>50</v>
      </c>
      <c r="O38" s="94">
        <v>1</v>
      </c>
      <c r="P38" s="99" t="str">
        <f>IFERROR(_xll.qlRateHelperEarliestDate(J38,Trigger),"--")</f>
        <v>--</v>
      </c>
      <c r="Q38" s="99" t="str">
        <f>IFERROR(_xll.qlRateHelperPillarDate(J38,Trigger),"--")</f>
        <v>--</v>
      </c>
      <c r="S38" s="4" t="str">
        <f t="shared" si="1"/>
        <v>BasSw</v>
      </c>
      <c r="T38" s="4" t="str">
        <v>obj_005bb</v>
      </c>
      <c r="U38" s="4" t="str">
        <f>IFERROR(_xll.qlRateHelperQuoteName(T38,Trigger),"")</f>
        <v>EUR1EON3E50Y_LCHQuote</v>
      </c>
      <c r="V38" s="70">
        <f>IFERROR(_xll.qlRateHelperRate(T38,Trigger),"")</f>
        <v>1.5240999999999999E-2</v>
      </c>
      <c r="W38" s="104" t="str">
        <f>IF(ISERROR(_xll.qlSwapRateHelperSpread($T38)),IF(ISERROR(_xll.qlFuturesRateHelperConvexityAdjustment($T38)),"",_xll.qlFuturesRateHelperConvexityAdjustment($T38)),_xll.qlSwapRateHelperSpread($T38))</f>
        <v/>
      </c>
      <c r="X38" s="5">
        <f>IFERROR(_xll.qlRateHelperEarliestDate(T38,Trigger),"")</f>
        <v>42250</v>
      </c>
      <c r="Y38" s="5">
        <f>IFERROR(_xll.qlRateHelperPillarDate(T38,Trigger),"")</f>
        <v>60513</v>
      </c>
      <c r="Z38" s="70">
        <v>1.5672906185180389E-2</v>
      </c>
      <c r="AA38" s="77">
        <v>0.45680827233634208</v>
      </c>
      <c r="AB38" s="170">
        <v>60513</v>
      </c>
      <c r="AC38" s="171">
        <v>1.5672906185183799E-2</v>
      </c>
      <c r="AD38" s="173">
        <f t="shared" si="2"/>
        <v>-3.4104663537704027E-15</v>
      </c>
      <c r="AE38" s="175">
        <v>0.45680827233642102</v>
      </c>
      <c r="AF38" s="174">
        <f t="shared" si="3"/>
        <v>-7.893685705084863E-14</v>
      </c>
      <c r="AG38" s="171"/>
    </row>
    <row r="39" spans="1:33" ht="11.25" customHeight="1" x14ac:dyDescent="0.2">
      <c r="A39" s="59" t="s">
        <v>70</v>
      </c>
      <c r="B39" s="60" t="s">
        <v>66</v>
      </c>
      <c r="C39" s="61">
        <f t="shared" si="9"/>
        <v>2</v>
      </c>
      <c r="D39" s="62" t="str">
        <f t="shared" si="8"/>
        <v>Eonia</v>
      </c>
      <c r="E39" s="63" t="str">
        <f t="shared" si="6"/>
        <v>EUR30YOIS_LCHQuote</v>
      </c>
      <c r="F39" s="123"/>
      <c r="G39" s="64"/>
      <c r="I39" s="10" t="str">
        <f t="shared" si="4"/>
        <v>OIS</v>
      </c>
      <c r="J39" s="94" t="str">
        <f t="shared" si="5"/>
        <v>--</v>
      </c>
      <c r="K39" s="146" t="str">
        <f>IFERROR(_xll.qlRateHelperQuoteName(J39,Trigger),"--")</f>
        <v>--</v>
      </c>
      <c r="L39" s="98" t="str">
        <f>IFERROR(_xll.qlRateHelperQuoteValue($J39,Trigger),"--")</f>
        <v>--</v>
      </c>
      <c r="M39" s="97" t="b">
        <v>0</v>
      </c>
      <c r="N39" s="94">
        <v>50</v>
      </c>
      <c r="O39" s="94">
        <v>1</v>
      </c>
      <c r="P39" s="99" t="str">
        <f>IFERROR(_xll.qlRateHelperEarliestDate(J39,Trigger),"--")</f>
        <v>--</v>
      </c>
      <c r="Q39" s="99" t="str">
        <f>IFERROR(_xll.qlRateHelperPillarDate(J39,Trigger),"--")</f>
        <v>--</v>
      </c>
      <c r="S39" s="4" t="str">
        <f t="shared" si="1"/>
        <v>BasSw</v>
      </c>
      <c r="T39" s="4" t="str">
        <v>obj_005c2</v>
      </c>
      <c r="U39" s="4" t="str">
        <f>IFERROR(_xll.qlRateHelperQuoteName(T39,Trigger),"")</f>
        <v>EUR1EON3E60Y_LCHQuote</v>
      </c>
      <c r="V39" s="70">
        <f>IFERROR(_xll.qlRateHelperRate(T39,Trigger),"")</f>
        <v>1.5055000000000001E-2</v>
      </c>
      <c r="W39" s="104" t="str">
        <f>IF(ISERROR(_xll.qlSwapRateHelperSpread($T39)),IF(ISERROR(_xll.qlFuturesRateHelperConvexityAdjustment($T39)),"",_xll.qlFuturesRateHelperConvexityAdjustment($T39)),_xll.qlSwapRateHelperSpread($T39))</f>
        <v/>
      </c>
      <c r="X39" s="5">
        <f>IFERROR(_xll.qlRateHelperEarliestDate(T39,Trigger),"")</f>
        <v>42250</v>
      </c>
      <c r="Y39" s="5">
        <f>IFERROR(_xll.qlRateHelperPillarDate(T39,Trigger),"")</f>
        <v>64165</v>
      </c>
      <c r="Z39" s="70">
        <v>1.5327201436951229E-2</v>
      </c>
      <c r="AA39" s="77">
        <v>0.39863909166284833</v>
      </c>
      <c r="AB39" s="170">
        <v>64165</v>
      </c>
      <c r="AC39" s="171">
        <v>1.5327201436955699E-2</v>
      </c>
      <c r="AD39" s="173">
        <f t="shared" si="2"/>
        <v>-4.4703823975922319E-15</v>
      </c>
      <c r="AE39" s="175">
        <v>0.39863909166235201</v>
      </c>
      <c r="AF39" s="174">
        <f t="shared" si="3"/>
        <v>4.9632520315867623E-13</v>
      </c>
      <c r="AG39" s="171"/>
    </row>
    <row r="40" spans="1:33" ht="11.25" customHeight="1" x14ac:dyDescent="0.2">
      <c r="A40" s="59" t="s">
        <v>70</v>
      </c>
      <c r="B40" s="60" t="s">
        <v>68</v>
      </c>
      <c r="C40" s="61">
        <f t="shared" si="9"/>
        <v>2</v>
      </c>
      <c r="D40" s="62" t="str">
        <f t="shared" si="8"/>
        <v>Eonia</v>
      </c>
      <c r="E40" s="63" t="str">
        <f t="shared" si="6"/>
        <v>EUR40YOIS_LCHQuote</v>
      </c>
      <c r="F40" s="123"/>
      <c r="G40" s="64"/>
      <c r="I40" s="11" t="str">
        <f t="shared" si="4"/>
        <v>OIS</v>
      </c>
      <c r="J40" s="95" t="str">
        <f t="shared" si="5"/>
        <v>--</v>
      </c>
      <c r="K40" s="147" t="str">
        <f>IFERROR(_xll.qlRateHelperQuoteName(J40,Trigger),"--")</f>
        <v>--</v>
      </c>
      <c r="L40" s="101" t="str">
        <f>IFERROR(_xll.qlRateHelperQuoteValue($J40,Trigger),"--")</f>
        <v>--</v>
      </c>
      <c r="M40" s="100" t="b">
        <v>0</v>
      </c>
      <c r="N40" s="95">
        <v>50</v>
      </c>
      <c r="O40" s="95">
        <v>1</v>
      </c>
      <c r="P40" s="102" t="str">
        <f>IFERROR(_xll.qlRateHelperEarliestDate(J40,Trigger),"--")</f>
        <v>--</v>
      </c>
      <c r="Q40" s="102" t="str">
        <f>IFERROR(_xll.qlRateHelperPillarDate(J40,Trigger),"--")</f>
        <v>--</v>
      </c>
      <c r="S40" s="4" t="str">
        <f t="shared" si="1"/>
        <v/>
      </c>
      <c r="T40" s="4" t="e">
        <v>#N/A</v>
      </c>
      <c r="U40" s="4" t="str">
        <f>IFERROR(_xll.qlRateHelperQuoteName(T40,Trigger),"")</f>
        <v/>
      </c>
      <c r="V40" s="70" t="str">
        <f>IFERROR(_xll.qlRateHelperRate(T40,Trigger),"")</f>
        <v/>
      </c>
      <c r="W40" s="104" t="str">
        <f>IF(ISERROR(_xll.qlSwapRateHelperSpread($T40)),IF(ISERROR(_xll.qlFuturesRateHelperConvexityAdjustment($T40)),"",_xll.qlFuturesRateHelperConvexityAdjustment($T40)),_xll.qlSwapRateHelperSpread($T40))</f>
        <v/>
      </c>
      <c r="X40" s="5" t="str">
        <f>IFERROR(_xll.qlRateHelperEarliestDate(T40,Trigger),"")</f>
        <v/>
      </c>
      <c r="Y40" s="5" t="str">
        <f>IFERROR(_xll.qlRateHelperPillarDate(T40,Trigger),"")</f>
        <v/>
      </c>
      <c r="Z40" s="70" t="e">
        <v>#N/A</v>
      </c>
      <c r="AA40" s="77" t="e">
        <v>#N/A</v>
      </c>
      <c r="AB40" s="170" t="e">
        <v>#N/A</v>
      </c>
      <c r="AC40" s="171" t="e">
        <v>#N/A</v>
      </c>
      <c r="AD40" s="173" t="e">
        <f t="shared" si="2"/>
        <v>#N/A</v>
      </c>
      <c r="AE40" s="175" t="e">
        <v>#N/A</v>
      </c>
      <c r="AF40" s="174" t="e">
        <f t="shared" si="3"/>
        <v>#N/A</v>
      </c>
      <c r="AG40" s="171"/>
    </row>
    <row r="41" spans="1:33" ht="11.25" customHeight="1" x14ac:dyDescent="0.2">
      <c r="A41" s="59" t="s">
        <v>70</v>
      </c>
      <c r="B41" s="60" t="s">
        <v>69</v>
      </c>
      <c r="C41" s="61">
        <f t="shared" si="9"/>
        <v>2</v>
      </c>
      <c r="D41" s="62" t="str">
        <f t="shared" si="8"/>
        <v>Eonia</v>
      </c>
      <c r="E41" s="63" t="str">
        <f t="shared" si="6"/>
        <v>EUR50YOIS_LCHQuote</v>
      </c>
      <c r="F41" s="123"/>
      <c r="G41" s="64"/>
      <c r="I41" s="10" t="str">
        <f>A45</f>
        <v>BasSw</v>
      </c>
      <c r="J41" s="94" t="str">
        <f>IF(ISBLANK(G45),"--",G45)</f>
        <v>--</v>
      </c>
      <c r="K41" s="146" t="str">
        <f>IFERROR(_xll.qlRateHelperQuoteName(J41,Trigger),"--")</f>
        <v>--</v>
      </c>
      <c r="L41" s="98" t="str">
        <f>IFERROR(_xll.qlRateHelperQuoteValue($J41,Trigger),"--")</f>
        <v>--</v>
      </c>
      <c r="M41" s="97" t="b">
        <v>0</v>
      </c>
      <c r="N41" s="94">
        <v>50</v>
      </c>
      <c r="O41" s="94">
        <v>1</v>
      </c>
      <c r="P41" s="99" t="str">
        <f>IFERROR(_xll.qlRateHelperEarliestDate(J41,Trigger),"--")</f>
        <v>--</v>
      </c>
      <c r="Q41" s="99" t="str">
        <f>IFERROR(_xll.qlRateHelperPillarDate(J41,Trigger),"--")</f>
        <v>--</v>
      </c>
      <c r="S41" s="4" t="str">
        <f t="shared" si="1"/>
        <v/>
      </c>
      <c r="T41" s="4" t="e">
        <v>#N/A</v>
      </c>
      <c r="U41" s="4" t="str">
        <f>IFERROR(_xll.qlRateHelperQuoteName(T41,Trigger),"")</f>
        <v/>
      </c>
      <c r="V41" s="70" t="str">
        <f>IFERROR(_xll.qlRateHelperRate(T41,Trigger),"")</f>
        <v/>
      </c>
      <c r="W41" s="104" t="str">
        <f>IF(ISERROR(_xll.qlSwapRateHelperSpread($T41)),IF(ISERROR(_xll.qlFuturesRateHelperConvexityAdjustment($T41)),"",_xll.qlFuturesRateHelperConvexityAdjustment($T41)),_xll.qlSwapRateHelperSpread($T41))</f>
        <v/>
      </c>
      <c r="X41" s="5" t="str">
        <f>IFERROR(_xll.qlRateHelperEarliestDate(T41,Trigger),"")</f>
        <v/>
      </c>
      <c r="Y41" s="5" t="str">
        <f>IFERROR(_xll.qlRateHelperPillarDate(T41,Trigger),"")</f>
        <v/>
      </c>
      <c r="Z41" s="70" t="e">
        <v>#N/A</v>
      </c>
      <c r="AA41" s="77" t="e">
        <v>#N/A</v>
      </c>
      <c r="AB41" s="170" t="e">
        <v>#N/A</v>
      </c>
      <c r="AC41" s="171" t="e">
        <v>#N/A</v>
      </c>
      <c r="AD41" s="173" t="e">
        <f t="shared" si="2"/>
        <v>#N/A</v>
      </c>
      <c r="AE41" s="175" t="e">
        <v>#N/A</v>
      </c>
      <c r="AF41" s="174" t="e">
        <f t="shared" si="3"/>
        <v>#N/A</v>
      </c>
      <c r="AG41" s="171"/>
    </row>
    <row r="42" spans="1:33" ht="11.25" customHeight="1" x14ac:dyDescent="0.2">
      <c r="A42" s="1" t="s">
        <v>70</v>
      </c>
      <c r="B42" s="8" t="s">
        <v>112</v>
      </c>
      <c r="C42" s="7">
        <f t="shared" si="9"/>
        <v>2</v>
      </c>
      <c r="D42" s="9" t="str">
        <f t="shared" si="8"/>
        <v>Eonia</v>
      </c>
      <c r="E42" s="2" t="str">
        <f t="shared" si="6"/>
        <v>EUR60YOIS_LCHQuote</v>
      </c>
      <c r="F42" s="124"/>
      <c r="G42" s="3"/>
      <c r="I42" s="10" t="str">
        <f t="shared" ref="I42:I62" si="10">A46</f>
        <v>BasSw</v>
      </c>
      <c r="J42" s="94" t="str">
        <f t="shared" ref="J42:J62" si="11">IF(ISBLANK(G46),"--",G46)</f>
        <v>--</v>
      </c>
      <c r="K42" s="146" t="str">
        <f>IFERROR(_xll.qlRateHelperQuoteName(J42,Trigger),"--")</f>
        <v>--</v>
      </c>
      <c r="L42" s="98" t="str">
        <f>IFERROR(_xll.qlRateHelperQuoteValue($J42,Trigger),"--")</f>
        <v>--</v>
      </c>
      <c r="M42" s="97" t="b">
        <v>0</v>
      </c>
      <c r="N42" s="94">
        <v>50</v>
      </c>
      <c r="O42" s="94">
        <v>1</v>
      </c>
      <c r="P42" s="99" t="str">
        <f>IFERROR(_xll.qlRateHelperEarliestDate(J42,Trigger),"--")</f>
        <v>--</v>
      </c>
      <c r="Q42" s="99" t="str">
        <f>IFERROR(_xll.qlRateHelperPillarDate(J42,Trigger),"--")</f>
        <v>--</v>
      </c>
      <c r="S42" s="4" t="str">
        <f t="shared" si="1"/>
        <v/>
      </c>
      <c r="T42" s="4" t="e">
        <v>#N/A</v>
      </c>
      <c r="U42" s="4" t="str">
        <f>IFERROR(_xll.qlRateHelperQuoteName(T42,Trigger),"")</f>
        <v/>
      </c>
      <c r="V42" s="70" t="str">
        <f>IFERROR(_xll.qlRateHelperRate(T42,Trigger),"")</f>
        <v/>
      </c>
      <c r="W42" s="104" t="str">
        <f>IF(ISERROR(_xll.qlSwapRateHelperSpread($T42)),IF(ISERROR(_xll.qlFuturesRateHelperConvexityAdjustment($T42)),"",_xll.qlFuturesRateHelperConvexityAdjustment($T42)),_xll.qlSwapRateHelperSpread($T42))</f>
        <v/>
      </c>
      <c r="X42" s="5" t="str">
        <f>IFERROR(_xll.qlRateHelperEarliestDate(T42,Trigger),"")</f>
        <v/>
      </c>
      <c r="Y42" s="5" t="str">
        <f>IFERROR(_xll.qlRateHelperPillarDate(T42,Trigger),"")</f>
        <v/>
      </c>
      <c r="Z42" s="70" t="e">
        <v>#N/A</v>
      </c>
      <c r="AA42" s="77" t="e">
        <v>#N/A</v>
      </c>
      <c r="AB42" s="170" t="e">
        <v>#N/A</v>
      </c>
      <c r="AC42" s="171" t="e">
        <v>#N/A</v>
      </c>
      <c r="AD42" s="173" t="e">
        <f t="shared" si="2"/>
        <v>#N/A</v>
      </c>
      <c r="AE42" s="175" t="e">
        <v>#N/A</v>
      </c>
      <c r="AF42" s="174" t="e">
        <f t="shared" si="3"/>
        <v>#N/A</v>
      </c>
      <c r="AG42" s="171"/>
    </row>
    <row r="43" spans="1:33" ht="11.25" customHeight="1" x14ac:dyDescent="0.2">
      <c r="I43" s="10" t="str">
        <f t="shared" si="10"/>
        <v>BasSw</v>
      </c>
      <c r="J43" s="94" t="str">
        <f t="shared" si="11"/>
        <v>--</v>
      </c>
      <c r="K43" s="146" t="str">
        <f>IFERROR(_xll.qlRateHelperQuoteName(J43,Trigger),"--")</f>
        <v>--</v>
      </c>
      <c r="L43" s="98" t="str">
        <f>IFERROR(_xll.qlRateHelperQuoteValue($J43,Trigger),"--")</f>
        <v>--</v>
      </c>
      <c r="M43" s="97" t="b">
        <v>0</v>
      </c>
      <c r="N43" s="94">
        <v>50</v>
      </c>
      <c r="O43" s="94">
        <v>1</v>
      </c>
      <c r="P43" s="99" t="str">
        <f>IFERROR(_xll.qlRateHelperEarliestDate(J43,Trigger),"--")</f>
        <v>--</v>
      </c>
      <c r="Q43" s="99" t="str">
        <f>IFERROR(_xll.qlRateHelperPillarDate(J43,Trigger),"--")</f>
        <v>--</v>
      </c>
      <c r="S43" s="4" t="str">
        <f t="shared" si="1"/>
        <v/>
      </c>
      <c r="T43" s="4" t="e">
        <v>#N/A</v>
      </c>
      <c r="U43" s="4" t="str">
        <f>IFERROR(_xll.qlRateHelperQuoteName(T43,Trigger),"")</f>
        <v/>
      </c>
      <c r="V43" s="70" t="str">
        <f>IFERROR(_xll.qlRateHelperRate(T43,Trigger),"")</f>
        <v/>
      </c>
      <c r="W43" s="104" t="str">
        <f>IF(ISERROR(_xll.qlSwapRateHelperSpread($T43)),IF(ISERROR(_xll.qlFuturesRateHelperConvexityAdjustment($T43)),"",_xll.qlFuturesRateHelperConvexityAdjustment($T43)),_xll.qlSwapRateHelperSpread($T43))</f>
        <v/>
      </c>
      <c r="X43" s="5" t="str">
        <f>IFERROR(_xll.qlRateHelperEarliestDate(T43,Trigger),"")</f>
        <v/>
      </c>
      <c r="Y43" s="5" t="str">
        <f>IFERROR(_xll.qlRateHelperPillarDate(T43,Trigger),"")</f>
        <v/>
      </c>
      <c r="Z43" s="70" t="e">
        <v>#N/A</v>
      </c>
      <c r="AA43" s="77" t="e">
        <v>#N/A</v>
      </c>
      <c r="AB43" s="170" t="e">
        <v>#N/A</v>
      </c>
      <c r="AC43" s="171" t="e">
        <v>#N/A</v>
      </c>
      <c r="AD43" s="173" t="e">
        <f t="shared" si="2"/>
        <v>#N/A</v>
      </c>
      <c r="AE43" s="175" t="e">
        <v>#N/A</v>
      </c>
      <c r="AF43" s="174" t="e">
        <f t="shared" si="3"/>
        <v>#N/A</v>
      </c>
      <c r="AG43" s="171"/>
    </row>
    <row r="44" spans="1:33" ht="12.75" customHeight="1" x14ac:dyDescent="0.2">
      <c r="A44" s="65" t="s">
        <v>9</v>
      </c>
      <c r="B44" s="65" t="s">
        <v>29</v>
      </c>
      <c r="C44" s="65" t="s">
        <v>78</v>
      </c>
      <c r="D44" s="65" t="s">
        <v>4</v>
      </c>
      <c r="E44" s="65" t="s">
        <v>1</v>
      </c>
      <c r="F44" s="65" t="s">
        <v>146</v>
      </c>
      <c r="G44" s="65" t="s">
        <v>24</v>
      </c>
      <c r="I44" s="10" t="str">
        <f t="shared" si="10"/>
        <v>BasSw</v>
      </c>
      <c r="J44" s="94" t="str">
        <f t="shared" si="11"/>
        <v>--</v>
      </c>
      <c r="K44" s="146" t="str">
        <f>IFERROR(_xll.qlRateHelperQuoteName(J44,Trigger),"--")</f>
        <v>--</v>
      </c>
      <c r="L44" s="98" t="str">
        <f>IFERROR(_xll.qlRateHelperQuoteValue($J44,Trigger),"--")</f>
        <v>--</v>
      </c>
      <c r="M44" s="97" t="b">
        <v>0</v>
      </c>
      <c r="N44" s="94">
        <v>50</v>
      </c>
      <c r="O44" s="94">
        <v>1</v>
      </c>
      <c r="P44" s="99" t="str">
        <f>IFERROR(_xll.qlRateHelperEarliestDate(J44,Trigger),"--")</f>
        <v>--</v>
      </c>
      <c r="Q44" s="99" t="str">
        <f>IFERROR(_xll.qlRateHelperPillarDate(J44,Trigger),"--")</f>
        <v>--</v>
      </c>
      <c r="S44" s="4" t="str">
        <f t="shared" si="1"/>
        <v/>
      </c>
      <c r="T44" s="4" t="e">
        <v>#N/A</v>
      </c>
      <c r="U44" s="4" t="str">
        <f>IFERROR(_xll.qlRateHelperQuoteName(T44,Trigger),"")</f>
        <v/>
      </c>
      <c r="V44" s="70" t="str">
        <f>IFERROR(_xll.qlRateHelperRate(T44,Trigger),"")</f>
        <v/>
      </c>
      <c r="W44" s="104" t="str">
        <f>IF(ISERROR(_xll.qlSwapRateHelperSpread($T44)),IF(ISERROR(_xll.qlFuturesRateHelperConvexityAdjustment($T44)),"",_xll.qlFuturesRateHelperConvexityAdjustment($T44)),_xll.qlSwapRateHelperSpread($T44))</f>
        <v/>
      </c>
      <c r="X44" s="5" t="str">
        <f>IFERROR(_xll.qlRateHelperEarliestDate(T44,Trigger),"")</f>
        <v/>
      </c>
      <c r="Y44" s="5" t="str">
        <f>IFERROR(_xll.qlRateHelperPillarDate(T44,Trigger),"")</f>
        <v/>
      </c>
      <c r="Z44" s="70" t="e">
        <v>#N/A</v>
      </c>
      <c r="AA44" s="77" t="e">
        <v>#N/A</v>
      </c>
      <c r="AB44" s="170" t="e">
        <v>#N/A</v>
      </c>
      <c r="AC44" s="171" t="e">
        <v>#N/A</v>
      </c>
      <c r="AD44" s="173" t="e">
        <f t="shared" si="2"/>
        <v>#N/A</v>
      </c>
      <c r="AE44" s="175" t="e">
        <v>#N/A</v>
      </c>
      <c r="AF44" s="174" t="e">
        <f t="shared" si="3"/>
        <v>#N/A</v>
      </c>
      <c r="AG44" s="171"/>
    </row>
    <row r="45" spans="1:33" ht="11.25" customHeight="1" x14ac:dyDescent="0.2">
      <c r="A45" s="53" t="s">
        <v>118</v>
      </c>
      <c r="B45" s="54" t="s">
        <v>3</v>
      </c>
      <c r="C45" s="55">
        <v>2</v>
      </c>
      <c r="D45" s="56" t="str">
        <f t="shared" ref="D45:D50" si="12">$D$1</f>
        <v>Eonia</v>
      </c>
      <c r="E45" s="57" t="str">
        <f t="shared" ref="E45:E66" si="13">IF(LCHQuoteOverwrite,Currency&amp;"1EON3E"&amp;B45&amp;LCHQuoteSuffix,Currency&amp;"1EON3E"&amp;B45&amp;QuoteSuffix)</f>
        <v>EUR1EON3E6M_LCHQuote</v>
      </c>
      <c r="F45" s="176">
        <v>0</v>
      </c>
      <c r="G45" s="58"/>
      <c r="I45" s="10" t="str">
        <f t="shared" si="10"/>
        <v>BasSw</v>
      </c>
      <c r="J45" s="94" t="str">
        <f t="shared" si="11"/>
        <v>--</v>
      </c>
      <c r="K45" s="146" t="str">
        <f>IFERROR(_xll.qlRateHelperQuoteName(J45,Trigger),"--")</f>
        <v>--</v>
      </c>
      <c r="L45" s="98" t="str">
        <f>IFERROR(_xll.qlRateHelperQuoteValue($J45,Trigger),"--")</f>
        <v>--</v>
      </c>
      <c r="M45" s="97" t="b">
        <v>0</v>
      </c>
      <c r="N45" s="94">
        <v>50</v>
      </c>
      <c r="O45" s="94">
        <v>1</v>
      </c>
      <c r="P45" s="99" t="str">
        <f>IFERROR(_xll.qlRateHelperEarliestDate(J45,Trigger),"--")</f>
        <v>--</v>
      </c>
      <c r="Q45" s="99" t="str">
        <f>IFERROR(_xll.qlRateHelperPillarDate(J45,Trigger),"--")</f>
        <v>--</v>
      </c>
      <c r="S45" s="4" t="str">
        <f t="shared" si="1"/>
        <v/>
      </c>
      <c r="T45" s="4" t="e">
        <v>#N/A</v>
      </c>
      <c r="U45" s="4" t="str">
        <f>IFERROR(_xll.qlRateHelperQuoteName(T45,Trigger),"")</f>
        <v/>
      </c>
      <c r="V45" s="70" t="str">
        <f>IFERROR(_xll.qlRateHelperRate(T45,Trigger),"")</f>
        <v/>
      </c>
      <c r="W45" s="104" t="str">
        <f>IF(ISERROR(_xll.qlSwapRateHelperSpread($T45)),IF(ISERROR(_xll.qlFuturesRateHelperConvexityAdjustment($T45)),"",_xll.qlFuturesRateHelperConvexityAdjustment($T45)),_xll.qlSwapRateHelperSpread($T45))</f>
        <v/>
      </c>
      <c r="X45" s="5" t="str">
        <f>IFERROR(_xll.qlRateHelperEarliestDate(T45,Trigger),"")</f>
        <v/>
      </c>
      <c r="Y45" s="5" t="str">
        <f>IFERROR(_xll.qlRateHelperPillarDate(T45,Trigger),"")</f>
        <v/>
      </c>
      <c r="Z45" s="70" t="e">
        <v>#N/A</v>
      </c>
      <c r="AA45" s="77" t="e">
        <v>#N/A</v>
      </c>
      <c r="AB45" s="170" t="e">
        <v>#N/A</v>
      </c>
      <c r="AC45" s="171" t="e">
        <v>#N/A</v>
      </c>
      <c r="AD45" s="173" t="e">
        <f t="shared" si="2"/>
        <v>#N/A</v>
      </c>
      <c r="AE45" s="175" t="e">
        <v>#N/A</v>
      </c>
      <c r="AF45" s="174" t="e">
        <f t="shared" si="3"/>
        <v>#N/A</v>
      </c>
      <c r="AG45" s="171"/>
    </row>
    <row r="46" spans="1:33" ht="11.25" customHeight="1" x14ac:dyDescent="0.2">
      <c r="A46" s="59" t="s">
        <v>118</v>
      </c>
      <c r="B46" s="60" t="s">
        <v>28</v>
      </c>
      <c r="C46" s="61">
        <v>2</v>
      </c>
      <c r="D46" s="62" t="str">
        <f t="shared" si="12"/>
        <v>Eonia</v>
      </c>
      <c r="E46" s="63" t="str">
        <f t="shared" si="13"/>
        <v>EUR1EON3E1Y_LCHQuote</v>
      </c>
      <c r="F46" s="177">
        <v>0</v>
      </c>
      <c r="G46" s="64"/>
      <c r="I46" s="10" t="str">
        <f t="shared" si="10"/>
        <v>BasSw</v>
      </c>
      <c r="J46" s="94" t="str">
        <f t="shared" si="11"/>
        <v>--</v>
      </c>
      <c r="K46" s="146" t="str">
        <f>IFERROR(_xll.qlRateHelperQuoteName(J46,Trigger),"--")</f>
        <v>--</v>
      </c>
      <c r="L46" s="98" t="str">
        <f>IFERROR(_xll.qlRateHelperQuoteValue($J46,Trigger),"--")</f>
        <v>--</v>
      </c>
      <c r="M46" s="97" t="b">
        <v>0</v>
      </c>
      <c r="N46" s="94">
        <v>50</v>
      </c>
      <c r="O46" s="94">
        <v>1</v>
      </c>
      <c r="P46" s="99" t="str">
        <f>IFERROR(_xll.qlRateHelperEarliestDate(J46,Trigger),"--")</f>
        <v>--</v>
      </c>
      <c r="Q46" s="99" t="str">
        <f>IFERROR(_xll.qlRateHelperPillarDate(J46,Trigger),"--")</f>
        <v>--</v>
      </c>
      <c r="S46" s="4" t="str">
        <f t="shared" si="1"/>
        <v/>
      </c>
      <c r="T46" s="4" t="e">
        <v>#N/A</v>
      </c>
      <c r="U46" s="4" t="str">
        <f>IFERROR(_xll.qlRateHelperQuoteName(T46,Trigger),"")</f>
        <v/>
      </c>
      <c r="V46" s="70" t="str">
        <f>IFERROR(_xll.qlRateHelperRate(T46,Trigger),"")</f>
        <v/>
      </c>
      <c r="W46" s="104" t="str">
        <f>IF(ISERROR(_xll.qlSwapRateHelperSpread($T46)),IF(ISERROR(_xll.qlFuturesRateHelperConvexityAdjustment($T46)),"",_xll.qlFuturesRateHelperConvexityAdjustment($T46)),_xll.qlSwapRateHelperSpread($T46))</f>
        <v/>
      </c>
      <c r="X46" s="5" t="str">
        <f>IFERROR(_xll.qlRateHelperEarliestDate(T46,Trigger),"")</f>
        <v/>
      </c>
      <c r="Y46" s="5" t="str">
        <f>IFERROR(_xll.qlRateHelperPillarDate(T46,Trigger),"")</f>
        <v/>
      </c>
      <c r="Z46" s="70" t="e">
        <v>#N/A</v>
      </c>
      <c r="AA46" s="77" t="e">
        <v>#N/A</v>
      </c>
      <c r="AB46" s="170" t="e">
        <v>#N/A</v>
      </c>
      <c r="AC46" s="171" t="e">
        <v>#N/A</v>
      </c>
      <c r="AD46" s="173" t="e">
        <f t="shared" si="2"/>
        <v>#N/A</v>
      </c>
      <c r="AE46" s="175" t="e">
        <v>#N/A</v>
      </c>
      <c r="AF46" s="174" t="e">
        <f t="shared" si="3"/>
        <v>#N/A</v>
      </c>
      <c r="AG46" s="171"/>
    </row>
    <row r="47" spans="1:33" ht="11.25" customHeight="1" x14ac:dyDescent="0.2">
      <c r="A47" s="59" t="s">
        <v>118</v>
      </c>
      <c r="B47" s="60" t="s">
        <v>49</v>
      </c>
      <c r="C47" s="61">
        <v>2</v>
      </c>
      <c r="D47" s="62" t="str">
        <f t="shared" si="12"/>
        <v>Eonia</v>
      </c>
      <c r="E47" s="63" t="str">
        <f t="shared" si="13"/>
        <v>EUR1EON3E15M_LCHQuote</v>
      </c>
      <c r="F47" s="177">
        <v>0</v>
      </c>
      <c r="G47" s="64"/>
      <c r="I47" s="10" t="str">
        <f t="shared" si="10"/>
        <v>BasSw</v>
      </c>
      <c r="J47" s="94" t="str">
        <f t="shared" si="11"/>
        <v>obj_005c3#0005</v>
      </c>
      <c r="K47" s="146" t="str">
        <f>IFERROR(_xll.qlRateHelperQuoteName(J47,Trigger),"--")</f>
        <v>EUR1EON3E3Y_LCHQuote</v>
      </c>
      <c r="L47" s="98">
        <f>IFERROR(_xll.qlRateHelperQuoteValue($J47,Trigger),"--")</f>
        <v>-4.8200000000000001E-4</v>
      </c>
      <c r="M47" s="97" t="b">
        <v>1</v>
      </c>
      <c r="N47" s="94">
        <v>50</v>
      </c>
      <c r="O47" s="94">
        <v>1</v>
      </c>
      <c r="P47" s="99">
        <f>IFERROR(_xll.qlRateHelperEarliestDate(J47,Trigger),"--")</f>
        <v>42250</v>
      </c>
      <c r="Q47" s="99">
        <f>IFERROR(_xll.qlRateHelperPillarDate(J47,Trigger),"--")</f>
        <v>43346</v>
      </c>
      <c r="S47" s="4" t="str">
        <f t="shared" si="1"/>
        <v/>
      </c>
      <c r="T47" s="4" t="e">
        <v>#N/A</v>
      </c>
      <c r="U47" s="4" t="str">
        <f>IFERROR(_xll.qlRateHelperQuoteName(T47,Trigger),"")</f>
        <v/>
      </c>
      <c r="V47" s="70" t="str">
        <f>IFERROR(_xll.qlRateHelperRate(T47,Trigger),"")</f>
        <v/>
      </c>
      <c r="W47" s="104" t="str">
        <f>IF(ISERROR(_xll.qlSwapRateHelperSpread($T47)),IF(ISERROR(_xll.qlFuturesRateHelperConvexityAdjustment($T47)),"",_xll.qlFuturesRateHelperConvexityAdjustment($T47)),_xll.qlSwapRateHelperSpread($T47))</f>
        <v/>
      </c>
      <c r="X47" s="5" t="str">
        <f>IFERROR(_xll.qlRateHelperEarliestDate(T47,Trigger),"")</f>
        <v/>
      </c>
      <c r="Y47" s="5" t="str">
        <f>IFERROR(_xll.qlRateHelperPillarDate(T47,Trigger),"")</f>
        <v/>
      </c>
      <c r="Z47" s="70" t="e">
        <v>#N/A</v>
      </c>
      <c r="AA47" s="77" t="e">
        <v>#N/A</v>
      </c>
      <c r="AB47" s="170" t="e">
        <v>#N/A</v>
      </c>
      <c r="AC47" s="171" t="e">
        <v>#N/A</v>
      </c>
      <c r="AD47" s="173" t="e">
        <f t="shared" si="2"/>
        <v>#N/A</v>
      </c>
      <c r="AE47" s="175" t="e">
        <v>#N/A</v>
      </c>
      <c r="AF47" s="174" t="e">
        <f t="shared" si="3"/>
        <v>#N/A</v>
      </c>
      <c r="AG47" s="171"/>
    </row>
    <row r="48" spans="1:33" ht="11.25" customHeight="1" x14ac:dyDescent="0.2">
      <c r="A48" s="59" t="s">
        <v>118</v>
      </c>
      <c r="B48" s="60" t="s">
        <v>50</v>
      </c>
      <c r="C48" s="61">
        <v>2</v>
      </c>
      <c r="D48" s="62" t="str">
        <f t="shared" si="12"/>
        <v>Eonia</v>
      </c>
      <c r="E48" s="63" t="str">
        <f t="shared" si="13"/>
        <v>EUR1EON3E18M_LCHQuote</v>
      </c>
      <c r="F48" s="177">
        <v>0</v>
      </c>
      <c r="G48" s="64"/>
      <c r="I48" s="10" t="str">
        <f t="shared" si="10"/>
        <v>BasSw</v>
      </c>
      <c r="J48" s="94" t="str">
        <f t="shared" si="11"/>
        <v>obj_005c1#0005</v>
      </c>
      <c r="K48" s="146" t="str">
        <f>IFERROR(_xll.qlRateHelperQuoteName(J48,Trigger),"--")</f>
        <v>EUR1EON3E4Y_LCHQuote</v>
      </c>
      <c r="L48" s="98">
        <f>IFERROR(_xll.qlRateHelperQuoteValue($J48,Trigger),"--")</f>
        <v>6.8274999999999998E-4</v>
      </c>
      <c r="M48" s="97" t="b">
        <v>1</v>
      </c>
      <c r="N48" s="94">
        <v>50</v>
      </c>
      <c r="O48" s="94">
        <v>1</v>
      </c>
      <c r="P48" s="99">
        <f>IFERROR(_xll.qlRateHelperEarliestDate(J48,Trigger),"--")</f>
        <v>42250</v>
      </c>
      <c r="Q48" s="99">
        <f>IFERROR(_xll.qlRateHelperPillarDate(J48,Trigger),"--")</f>
        <v>43711</v>
      </c>
      <c r="S48" s="4" t="str">
        <f t="shared" si="1"/>
        <v/>
      </c>
      <c r="T48" s="4" t="e">
        <v>#N/A</v>
      </c>
      <c r="U48" s="4" t="str">
        <f>IFERROR(_xll.qlRateHelperQuoteName(T48,Trigger),"")</f>
        <v/>
      </c>
      <c r="V48" s="70" t="str">
        <f>IFERROR(_xll.qlRateHelperRate(T48,Trigger),"")</f>
        <v/>
      </c>
      <c r="W48" s="104" t="str">
        <f>IF(ISERROR(_xll.qlSwapRateHelperSpread($T48)),IF(ISERROR(_xll.qlFuturesRateHelperConvexityAdjustment($T48)),"",_xll.qlFuturesRateHelperConvexityAdjustment($T48)),_xll.qlSwapRateHelperSpread($T48))</f>
        <v/>
      </c>
      <c r="X48" s="5" t="str">
        <f>IFERROR(_xll.qlRateHelperEarliestDate(T48,Trigger),"")</f>
        <v/>
      </c>
      <c r="Y48" s="5" t="str">
        <f>IFERROR(_xll.qlRateHelperPillarDate(T48,Trigger),"")</f>
        <v/>
      </c>
      <c r="Z48" s="70" t="e">
        <v>#N/A</v>
      </c>
      <c r="AA48" s="77" t="e">
        <v>#N/A</v>
      </c>
      <c r="AB48" s="170" t="e">
        <v>#N/A</v>
      </c>
      <c r="AC48" s="171" t="e">
        <v>#N/A</v>
      </c>
      <c r="AD48" s="173" t="e">
        <f t="shared" si="2"/>
        <v>#N/A</v>
      </c>
      <c r="AE48" s="175" t="e">
        <v>#N/A</v>
      </c>
      <c r="AF48" s="174" t="e">
        <f t="shared" si="3"/>
        <v>#N/A</v>
      </c>
      <c r="AG48" s="171"/>
    </row>
    <row r="49" spans="1:33" ht="11.25" customHeight="1" x14ac:dyDescent="0.2">
      <c r="A49" s="59" t="s">
        <v>118</v>
      </c>
      <c r="B49" s="60" t="s">
        <v>51</v>
      </c>
      <c r="C49" s="61">
        <v>2</v>
      </c>
      <c r="D49" s="62" t="str">
        <f t="shared" si="12"/>
        <v>Eonia</v>
      </c>
      <c r="E49" s="63" t="str">
        <f t="shared" si="13"/>
        <v>EUR1EON3E21M_LCHQuote</v>
      </c>
      <c r="F49" s="177">
        <v>0</v>
      </c>
      <c r="G49" s="64"/>
      <c r="I49" s="10" t="str">
        <f t="shared" si="10"/>
        <v>BasSw</v>
      </c>
      <c r="J49" s="94" t="str">
        <f t="shared" si="11"/>
        <v>obj_005c5#0005</v>
      </c>
      <c r="K49" s="146" t="str">
        <f>IFERROR(_xll.qlRateHelperQuoteName(J49,Trigger),"--")</f>
        <v>EUR1EON3E5Y_LCHQuote</v>
      </c>
      <c r="L49" s="98">
        <f>IFERROR(_xll.qlRateHelperQuoteValue($J49,Trigger),"--")</f>
        <v>2.0430000000000001E-3</v>
      </c>
      <c r="M49" s="97" t="b">
        <v>1</v>
      </c>
      <c r="N49" s="94">
        <v>50</v>
      </c>
      <c r="O49" s="94">
        <v>1</v>
      </c>
      <c r="P49" s="99">
        <f>IFERROR(_xll.qlRateHelperEarliestDate(J49,Trigger),"--")</f>
        <v>42250</v>
      </c>
      <c r="Q49" s="99">
        <f>IFERROR(_xll.qlRateHelperPillarDate(J49,Trigger),"--")</f>
        <v>44077</v>
      </c>
      <c r="S49" s="4" t="str">
        <f t="shared" si="1"/>
        <v/>
      </c>
      <c r="T49" s="4" t="e">
        <v>#N/A</v>
      </c>
      <c r="U49" s="4" t="str">
        <f>IFERROR(_xll.qlRateHelperQuoteName(T49,Trigger),"")</f>
        <v/>
      </c>
      <c r="V49" s="70" t="str">
        <f>IFERROR(_xll.qlRateHelperRate(T49,Trigger),"")</f>
        <v/>
      </c>
      <c r="W49" s="104" t="str">
        <f>IF(ISERROR(_xll.qlSwapRateHelperSpread($T49)),IF(ISERROR(_xll.qlFuturesRateHelperConvexityAdjustment($T49)),"",_xll.qlFuturesRateHelperConvexityAdjustment($T49)),_xll.qlSwapRateHelperSpread($T49))</f>
        <v/>
      </c>
      <c r="X49" s="5" t="str">
        <f>IFERROR(_xll.qlRateHelperEarliestDate(T49,Trigger),"")</f>
        <v/>
      </c>
      <c r="Y49" s="5" t="str">
        <f>IFERROR(_xll.qlRateHelperPillarDate(T49,Trigger),"")</f>
        <v/>
      </c>
      <c r="Z49" s="70" t="e">
        <v>#N/A</v>
      </c>
      <c r="AA49" s="77" t="e">
        <v>#N/A</v>
      </c>
      <c r="AB49" s="170" t="e">
        <v>#N/A</v>
      </c>
      <c r="AC49" s="171" t="e">
        <v>#N/A</v>
      </c>
      <c r="AD49" s="173" t="e">
        <f t="shared" si="2"/>
        <v>#N/A</v>
      </c>
      <c r="AE49" s="175" t="e">
        <v>#N/A</v>
      </c>
      <c r="AF49" s="174" t="e">
        <f t="shared" si="3"/>
        <v>#N/A</v>
      </c>
      <c r="AG49" s="171"/>
    </row>
    <row r="50" spans="1:33" ht="11.25" customHeight="1" x14ac:dyDescent="0.2">
      <c r="A50" s="59" t="s">
        <v>118</v>
      </c>
      <c r="B50" s="60" t="s">
        <v>52</v>
      </c>
      <c r="C50" s="61">
        <v>2</v>
      </c>
      <c r="D50" s="62" t="str">
        <f t="shared" si="12"/>
        <v>Eonia</v>
      </c>
      <c r="E50" s="63" t="str">
        <f t="shared" si="13"/>
        <v>EUR1EON3E2Y_LCHQuote</v>
      </c>
      <c r="F50" s="177">
        <v>0</v>
      </c>
      <c r="G50" s="64"/>
      <c r="I50" s="10" t="str">
        <f t="shared" si="10"/>
        <v>BasSw</v>
      </c>
      <c r="J50" s="94" t="str">
        <f t="shared" si="11"/>
        <v>obj_005bf#0005</v>
      </c>
      <c r="K50" s="146" t="str">
        <f>IFERROR(_xll.qlRateHelperQuoteName(J50,Trigger),"--")</f>
        <v>EUR1EON3E6Y_LCHQuote</v>
      </c>
      <c r="L50" s="98">
        <f>IFERROR(_xll.qlRateHelperQuoteValue($J50,Trigger),"--")</f>
        <v>3.5070499999999998E-3</v>
      </c>
      <c r="M50" s="97" t="b">
        <v>1</v>
      </c>
      <c r="N50" s="94">
        <v>50</v>
      </c>
      <c r="O50" s="94">
        <v>1</v>
      </c>
      <c r="P50" s="99">
        <f>IFERROR(_xll.qlRateHelperEarliestDate(J50,Trigger),"--")</f>
        <v>42250</v>
      </c>
      <c r="Q50" s="99">
        <f>IFERROR(_xll.qlRateHelperPillarDate(J50,Trigger),"--")</f>
        <v>44442</v>
      </c>
      <c r="S50" s="4" t="str">
        <f t="shared" si="1"/>
        <v/>
      </c>
      <c r="T50" s="4" t="e">
        <v>#N/A</v>
      </c>
      <c r="U50" s="4" t="str">
        <f>IFERROR(_xll.qlRateHelperQuoteName(T50,Trigger),"")</f>
        <v/>
      </c>
      <c r="V50" s="70" t="str">
        <f>IFERROR(_xll.qlRateHelperRate(T50,Trigger),"")</f>
        <v/>
      </c>
      <c r="W50" s="104" t="str">
        <f>IF(ISERROR(_xll.qlSwapRateHelperSpread($T50)),IF(ISERROR(_xll.qlFuturesRateHelperConvexityAdjustment($T50)),"",_xll.qlFuturesRateHelperConvexityAdjustment($T50)),_xll.qlSwapRateHelperSpread($T50))</f>
        <v/>
      </c>
      <c r="X50" s="5" t="str">
        <f>IFERROR(_xll.qlRateHelperEarliestDate(T50,Trigger),"")</f>
        <v/>
      </c>
      <c r="Y50" s="5" t="str">
        <f>IFERROR(_xll.qlRateHelperPillarDate(T50,Trigger),"")</f>
        <v/>
      </c>
      <c r="Z50" s="70" t="e">
        <v>#N/A</v>
      </c>
      <c r="AA50" s="77" t="e">
        <v>#N/A</v>
      </c>
      <c r="AB50" s="170" t="e">
        <v>#N/A</v>
      </c>
      <c r="AC50" s="171" t="e">
        <v>#N/A</v>
      </c>
      <c r="AD50" s="173" t="e">
        <f t="shared" si="2"/>
        <v>#N/A</v>
      </c>
      <c r="AE50" s="175" t="e">
        <v>#N/A</v>
      </c>
      <c r="AF50" s="174" t="e">
        <f t="shared" si="3"/>
        <v>#N/A</v>
      </c>
      <c r="AG50" s="171"/>
    </row>
    <row r="51" spans="1:33" ht="11.25" customHeight="1" x14ac:dyDescent="0.2">
      <c r="A51" s="59" t="s">
        <v>118</v>
      </c>
      <c r="B51" s="60" t="s">
        <v>53</v>
      </c>
      <c r="C51" s="61">
        <v>2</v>
      </c>
      <c r="D51" s="62" t="str">
        <f t="shared" ref="D51:D66" si="14">$D$1</f>
        <v>Eonia</v>
      </c>
      <c r="E51" s="63" t="str">
        <f t="shared" si="13"/>
        <v>EUR1EON3E3Y_LCHQuote</v>
      </c>
      <c r="F51" s="177">
        <v>0</v>
      </c>
      <c r="G51" s="64" t="str">
        <f>_xll.qlOISRateHelper(,$C51,$B51,$E51,$D51,,Permanent,Trigger,ObjectOverwrite)</f>
        <v>obj_005c3#0005</v>
      </c>
      <c r="I51" s="10" t="str">
        <f t="shared" si="10"/>
        <v>BasSw</v>
      </c>
      <c r="J51" s="94" t="str">
        <f t="shared" si="11"/>
        <v>obj_005be#0005</v>
      </c>
      <c r="K51" s="146" t="str">
        <f>IFERROR(_xll.qlRateHelperQuoteName(J51,Trigger),"--")</f>
        <v>EUR1EON3E7Y_LCHQuote</v>
      </c>
      <c r="L51" s="98">
        <f>IFERROR(_xll.qlRateHelperQuoteValue($J51,Trigger),"--")</f>
        <v>4.9900999999999999E-3</v>
      </c>
      <c r="M51" s="97" t="b">
        <v>1</v>
      </c>
      <c r="N51" s="94">
        <v>50</v>
      </c>
      <c r="O51" s="94">
        <v>1</v>
      </c>
      <c r="P51" s="99">
        <f>IFERROR(_xll.qlRateHelperEarliestDate(J51,Trigger),"--")</f>
        <v>42250</v>
      </c>
      <c r="Q51" s="99">
        <f>IFERROR(_xll.qlRateHelperPillarDate(J51,Trigger),"--")</f>
        <v>44809</v>
      </c>
      <c r="S51" s="4" t="str">
        <f t="shared" si="1"/>
        <v/>
      </c>
      <c r="T51" s="4" t="e">
        <v>#N/A</v>
      </c>
      <c r="U51" s="4" t="str">
        <f>IFERROR(_xll.qlRateHelperQuoteName(T51,Trigger),"")</f>
        <v/>
      </c>
      <c r="V51" s="70" t="str">
        <f>IFERROR(_xll.qlRateHelperRate(T51,Trigger),"")</f>
        <v/>
      </c>
      <c r="W51" s="104" t="str">
        <f>IF(ISERROR(_xll.qlSwapRateHelperSpread($T51)),IF(ISERROR(_xll.qlFuturesRateHelperConvexityAdjustment($T51)),"",_xll.qlFuturesRateHelperConvexityAdjustment($T51)),_xll.qlSwapRateHelperSpread($T51))</f>
        <v/>
      </c>
      <c r="X51" s="5" t="str">
        <f>IFERROR(_xll.qlRateHelperEarliestDate(T51,Trigger),"")</f>
        <v/>
      </c>
      <c r="Y51" s="5" t="str">
        <f>IFERROR(_xll.qlRateHelperPillarDate(T51,Trigger),"")</f>
        <v/>
      </c>
      <c r="Z51" s="70" t="e">
        <v>#N/A</v>
      </c>
      <c r="AA51" s="77" t="e">
        <v>#N/A</v>
      </c>
      <c r="AB51" s="170" t="e">
        <v>#N/A</v>
      </c>
      <c r="AC51" s="171" t="e">
        <v>#N/A</v>
      </c>
      <c r="AD51" s="173" t="e">
        <f t="shared" si="2"/>
        <v>#N/A</v>
      </c>
      <c r="AE51" s="175" t="e">
        <v>#N/A</v>
      </c>
      <c r="AF51" s="174" t="e">
        <f t="shared" si="3"/>
        <v>#N/A</v>
      </c>
      <c r="AG51" s="171"/>
    </row>
    <row r="52" spans="1:33" ht="11.25" customHeight="1" x14ac:dyDescent="0.2">
      <c r="A52" s="59" t="s">
        <v>118</v>
      </c>
      <c r="B52" s="60" t="s">
        <v>54</v>
      </c>
      <c r="C52" s="61">
        <v>2</v>
      </c>
      <c r="D52" s="62" t="str">
        <f t="shared" si="14"/>
        <v>Eonia</v>
      </c>
      <c r="E52" s="63" t="str">
        <f t="shared" si="13"/>
        <v>EUR1EON3E4Y_LCHQuote</v>
      </c>
      <c r="F52" s="177">
        <v>0</v>
      </c>
      <c r="G52" s="64" t="str">
        <f>_xll.qlOISRateHelper(,$C52,$B52,$E52,$D52,,Permanent,Trigger,ObjectOverwrite)</f>
        <v>obj_005c1#0005</v>
      </c>
      <c r="I52" s="10" t="str">
        <f t="shared" si="10"/>
        <v>BasSw</v>
      </c>
      <c r="J52" s="94" t="str">
        <f t="shared" si="11"/>
        <v>obj_005b8#0005</v>
      </c>
      <c r="K52" s="146" t="str">
        <f>IFERROR(_xll.qlRateHelperQuoteName(J52,Trigger),"--")</f>
        <v>EUR1EON3E8Y_LCHQuote</v>
      </c>
      <c r="L52" s="98">
        <f>IFERROR(_xll.qlRateHelperQuoteValue($J52,Trigger),"--")</f>
        <v>6.3995500000000004E-3</v>
      </c>
      <c r="M52" s="97" t="b">
        <v>1</v>
      </c>
      <c r="N52" s="94">
        <v>50</v>
      </c>
      <c r="O52" s="94">
        <v>1</v>
      </c>
      <c r="P52" s="99">
        <f>IFERROR(_xll.qlRateHelperEarliestDate(J52,Trigger),"--")</f>
        <v>42250</v>
      </c>
      <c r="Q52" s="99">
        <f>IFERROR(_xll.qlRateHelperPillarDate(J52,Trigger),"--")</f>
        <v>45173</v>
      </c>
      <c r="S52" s="4" t="str">
        <f t="shared" si="1"/>
        <v/>
      </c>
      <c r="T52" s="4" t="e">
        <v>#N/A</v>
      </c>
      <c r="U52" s="4" t="str">
        <f>IFERROR(_xll.qlRateHelperQuoteName(T52,Trigger),"")</f>
        <v/>
      </c>
      <c r="V52" s="70" t="str">
        <f>IFERROR(_xll.qlRateHelperRate(T52,Trigger),"")</f>
        <v/>
      </c>
      <c r="W52" s="104" t="str">
        <f>IF(ISERROR(_xll.qlSwapRateHelperSpread($T52)),IF(ISERROR(_xll.qlFuturesRateHelperConvexityAdjustment($T52)),"",_xll.qlFuturesRateHelperConvexityAdjustment($T52)),_xll.qlSwapRateHelperSpread($T52))</f>
        <v/>
      </c>
      <c r="X52" s="5" t="str">
        <f>IFERROR(_xll.qlRateHelperEarliestDate(T52,Trigger),"")</f>
        <v/>
      </c>
      <c r="Y52" s="5" t="str">
        <f>IFERROR(_xll.qlRateHelperPillarDate(T52,Trigger),"")</f>
        <v/>
      </c>
      <c r="Z52" s="70" t="e">
        <v>#N/A</v>
      </c>
      <c r="AA52" s="77" t="e">
        <v>#N/A</v>
      </c>
      <c r="AB52" s="170" t="e">
        <v>#N/A</v>
      </c>
      <c r="AC52" s="171" t="e">
        <v>#N/A</v>
      </c>
      <c r="AD52" s="173" t="e">
        <f t="shared" si="2"/>
        <v>#N/A</v>
      </c>
      <c r="AE52" s="175" t="e">
        <v>#N/A</v>
      </c>
      <c r="AF52" s="174" t="e">
        <f t="shared" si="3"/>
        <v>#N/A</v>
      </c>
      <c r="AG52" s="171"/>
    </row>
    <row r="53" spans="1:33" ht="11.25" customHeight="1" x14ac:dyDescent="0.2">
      <c r="A53" s="59" t="s">
        <v>118</v>
      </c>
      <c r="B53" s="60" t="s">
        <v>55</v>
      </c>
      <c r="C53" s="61">
        <v>2</v>
      </c>
      <c r="D53" s="62" t="str">
        <f t="shared" si="14"/>
        <v>Eonia</v>
      </c>
      <c r="E53" s="63" t="str">
        <f t="shared" si="13"/>
        <v>EUR1EON3E5Y_LCHQuote</v>
      </c>
      <c r="F53" s="177">
        <v>0</v>
      </c>
      <c r="G53" s="64" t="str">
        <f>_xll.qlOISRateHelper(,$C53,$B53,$E53,$D53,,Permanent,Trigger,ObjectOverwrite)</f>
        <v>obj_005c5#0005</v>
      </c>
      <c r="I53" s="10" t="str">
        <f t="shared" si="10"/>
        <v>BasSw</v>
      </c>
      <c r="J53" s="94" t="str">
        <f t="shared" si="11"/>
        <v>obj_005bc#0005</v>
      </c>
      <c r="K53" s="146" t="str">
        <f>IFERROR(_xll.qlRateHelperQuoteName(J53,Trigger),"--")</f>
        <v>EUR1EON3E9Y_LCHQuote</v>
      </c>
      <c r="L53" s="98">
        <f>IFERROR(_xll.qlRateHelperQuoteValue($J53,Trigger),"--")</f>
        <v>7.7026000000000004E-3</v>
      </c>
      <c r="M53" s="97" t="b">
        <v>1</v>
      </c>
      <c r="N53" s="94">
        <v>50</v>
      </c>
      <c r="O53" s="94">
        <v>1</v>
      </c>
      <c r="P53" s="99">
        <f>IFERROR(_xll.qlRateHelperEarliestDate(J53,Trigger),"--")</f>
        <v>42250</v>
      </c>
      <c r="Q53" s="99">
        <f>IFERROR(_xll.qlRateHelperPillarDate(J53,Trigger),"--")</f>
        <v>45538</v>
      </c>
      <c r="S53" s="4" t="str">
        <f t="shared" si="1"/>
        <v/>
      </c>
      <c r="T53" s="4" t="e">
        <v>#N/A</v>
      </c>
      <c r="U53" s="4" t="str">
        <f>IFERROR(_xll.qlRateHelperQuoteName(T53,Trigger),"")</f>
        <v/>
      </c>
      <c r="V53" s="70" t="str">
        <f>IFERROR(_xll.qlRateHelperRate(T53,Trigger),"")</f>
        <v/>
      </c>
      <c r="W53" s="104" t="str">
        <f>IF(ISERROR(_xll.qlSwapRateHelperSpread($T53)),IF(ISERROR(_xll.qlFuturesRateHelperConvexityAdjustment($T53)),"",_xll.qlFuturesRateHelperConvexityAdjustment($T53)),_xll.qlSwapRateHelperSpread($T53))</f>
        <v/>
      </c>
      <c r="X53" s="5" t="str">
        <f>IFERROR(_xll.qlRateHelperEarliestDate(T53,Trigger),"")</f>
        <v/>
      </c>
      <c r="Y53" s="5" t="str">
        <f>IFERROR(_xll.qlRateHelperPillarDate(T53,Trigger),"")</f>
        <v/>
      </c>
      <c r="Z53" s="70" t="e">
        <v>#N/A</v>
      </c>
      <c r="AA53" s="77" t="e">
        <v>#N/A</v>
      </c>
      <c r="AB53" s="170" t="e">
        <v>#N/A</v>
      </c>
      <c r="AC53" s="171" t="e">
        <v>#N/A</v>
      </c>
      <c r="AD53" s="173" t="e">
        <f t="shared" si="2"/>
        <v>#N/A</v>
      </c>
      <c r="AE53" s="175" t="e">
        <v>#N/A</v>
      </c>
      <c r="AF53" s="174" t="e">
        <f t="shared" si="3"/>
        <v>#N/A</v>
      </c>
      <c r="AG53" s="171"/>
    </row>
    <row r="54" spans="1:33" ht="11.25" customHeight="1" x14ac:dyDescent="0.2">
      <c r="A54" s="59" t="s">
        <v>118</v>
      </c>
      <c r="B54" s="60" t="s">
        <v>56</v>
      </c>
      <c r="C54" s="61">
        <v>2</v>
      </c>
      <c r="D54" s="62" t="str">
        <f t="shared" si="14"/>
        <v>Eonia</v>
      </c>
      <c r="E54" s="63" t="str">
        <f t="shared" si="13"/>
        <v>EUR1EON3E6Y_LCHQuote</v>
      </c>
      <c r="F54" s="177">
        <v>0</v>
      </c>
      <c r="G54" s="64" t="str">
        <f>_xll.qlOISRateHelper(,$C54,$B54,$E54,$D54,,Permanent,Trigger,ObjectOverwrite)</f>
        <v>obj_005bf#0005</v>
      </c>
      <c r="I54" s="10" t="str">
        <f t="shared" si="10"/>
        <v>BasSw</v>
      </c>
      <c r="J54" s="94" t="str">
        <f t="shared" si="11"/>
        <v>obj_005b9#0005</v>
      </c>
      <c r="K54" s="146" t="str">
        <f>IFERROR(_xll.qlRateHelperQuoteName(J54,Trigger),"--")</f>
        <v>EUR1EON3E10Y_LCHQuote</v>
      </c>
      <c r="L54" s="98">
        <f>IFERROR(_xll.qlRateHelperQuoteValue($J54,Trigger),"--")</f>
        <v>8.8521999999999993E-3</v>
      </c>
      <c r="M54" s="97" t="b">
        <v>1</v>
      </c>
      <c r="N54" s="94">
        <v>50</v>
      </c>
      <c r="O54" s="94">
        <v>1</v>
      </c>
      <c r="P54" s="99">
        <f>IFERROR(_xll.qlRateHelperEarliestDate(J54,Trigger),"--")</f>
        <v>42250</v>
      </c>
      <c r="Q54" s="99">
        <f>IFERROR(_xll.qlRateHelperPillarDate(J54,Trigger),"--")</f>
        <v>45903</v>
      </c>
      <c r="S54" s="4" t="str">
        <f t="shared" ref="S54:S62" si="15">IFERROR(INDEX($I$3:$I$62,MATCH(U54,$K$3:$K$62,0),1),"")</f>
        <v/>
      </c>
      <c r="T54" s="4" t="e">
        <v>#N/A</v>
      </c>
      <c r="U54" s="4" t="str">
        <f>IFERROR(_xll.qlRateHelperQuoteName(T54,Trigger),"")</f>
        <v/>
      </c>
      <c r="V54" s="70" t="str">
        <f>IFERROR(_xll.qlRateHelperRate(T54,Trigger),"")</f>
        <v/>
      </c>
      <c r="W54" s="104" t="str">
        <f>IF(ISERROR(_xll.qlSwapRateHelperSpread($T54)),IF(ISERROR(_xll.qlFuturesRateHelperConvexityAdjustment($T54)),"",_xll.qlFuturesRateHelperConvexityAdjustment($T54)),_xll.qlSwapRateHelperSpread($T54))</f>
        <v/>
      </c>
      <c r="X54" s="5" t="str">
        <f>IFERROR(_xll.qlRateHelperEarliestDate(T54,Trigger),"")</f>
        <v/>
      </c>
      <c r="Y54" s="5" t="str">
        <f>IFERROR(_xll.qlRateHelperPillarDate(T54,Trigger),"")</f>
        <v/>
      </c>
      <c r="Z54" s="70" t="e">
        <v>#N/A</v>
      </c>
      <c r="AA54" s="77" t="e">
        <v>#N/A</v>
      </c>
      <c r="AB54" s="170" t="e">
        <v>#N/A</v>
      </c>
      <c r="AC54" s="171" t="e">
        <v>#N/A</v>
      </c>
      <c r="AD54" s="173" t="e">
        <f t="shared" si="2"/>
        <v>#N/A</v>
      </c>
      <c r="AE54" s="175" t="e">
        <v>#N/A</v>
      </c>
      <c r="AF54" s="174" t="e">
        <f t="shared" si="3"/>
        <v>#N/A</v>
      </c>
      <c r="AG54" s="171"/>
    </row>
    <row r="55" spans="1:33" ht="11.25" customHeight="1" x14ac:dyDescent="0.2">
      <c r="A55" s="59" t="s">
        <v>118</v>
      </c>
      <c r="B55" s="60" t="s">
        <v>57</v>
      </c>
      <c r="C55" s="61">
        <v>2</v>
      </c>
      <c r="D55" s="62" t="str">
        <f t="shared" si="14"/>
        <v>Eonia</v>
      </c>
      <c r="E55" s="63" t="str">
        <f t="shared" si="13"/>
        <v>EUR1EON3E7Y_LCHQuote</v>
      </c>
      <c r="F55" s="177">
        <v>0</v>
      </c>
      <c r="G55" s="64" t="str">
        <f>_xll.qlOISRateHelper(,$C55,$B55,$E55,$D55,,Permanent,Trigger,ObjectOverwrite)</f>
        <v>obj_005be#0005</v>
      </c>
      <c r="I55" s="10" t="str">
        <f t="shared" si="10"/>
        <v>BasSw</v>
      </c>
      <c r="J55" s="94" t="str">
        <f t="shared" si="11"/>
        <v>obj_005c6#0005</v>
      </c>
      <c r="K55" s="146" t="str">
        <f>IFERROR(_xll.qlRateHelperQuoteName(J55,Trigger),"--")</f>
        <v>EUR1EON3E12Y_LCHQuote</v>
      </c>
      <c r="L55" s="98">
        <f>IFERROR(_xll.qlRateHelperQuoteValue($J55,Trigger),"--")</f>
        <v>1.0721400000000001E-2</v>
      </c>
      <c r="M55" s="97" t="b">
        <v>1</v>
      </c>
      <c r="N55" s="94">
        <v>50</v>
      </c>
      <c r="O55" s="94">
        <v>1</v>
      </c>
      <c r="P55" s="99">
        <f>IFERROR(_xll.qlRateHelperEarliestDate(J55,Trigger),"--")</f>
        <v>42250</v>
      </c>
      <c r="Q55" s="99">
        <f>IFERROR(_xll.qlRateHelperPillarDate(J55,Trigger),"--")</f>
        <v>46633</v>
      </c>
      <c r="S55" s="4" t="str">
        <f t="shared" si="15"/>
        <v/>
      </c>
      <c r="T55" s="4" t="e">
        <v>#N/A</v>
      </c>
      <c r="U55" s="4" t="str">
        <f>IFERROR(_xll.qlRateHelperQuoteName(T55,Trigger),"")</f>
        <v/>
      </c>
      <c r="V55" s="70" t="str">
        <f>IFERROR(_xll.qlRateHelperRate(T55,Trigger),"")</f>
        <v/>
      </c>
      <c r="W55" s="104" t="str">
        <f>IF(ISERROR(_xll.qlSwapRateHelperSpread($T55)),IF(ISERROR(_xll.qlFuturesRateHelperConvexityAdjustment($T55)),"",_xll.qlFuturesRateHelperConvexityAdjustment($T55)),_xll.qlSwapRateHelperSpread($T55))</f>
        <v/>
      </c>
      <c r="X55" s="5" t="str">
        <f>IFERROR(_xll.qlRateHelperEarliestDate(T55,Trigger),"")</f>
        <v/>
      </c>
      <c r="Y55" s="5" t="str">
        <f>IFERROR(_xll.qlRateHelperPillarDate(T55,Trigger),"")</f>
        <v/>
      </c>
      <c r="Z55" s="70" t="e">
        <v>#N/A</v>
      </c>
      <c r="AA55" s="77" t="e">
        <v>#N/A</v>
      </c>
      <c r="AB55" s="170" t="e">
        <v>#N/A</v>
      </c>
      <c r="AC55" s="171" t="e">
        <v>#N/A</v>
      </c>
      <c r="AD55" s="173" t="e">
        <f t="shared" si="2"/>
        <v>#N/A</v>
      </c>
      <c r="AE55" s="175" t="e">
        <v>#N/A</v>
      </c>
      <c r="AF55" s="174" t="e">
        <f t="shared" si="3"/>
        <v>#N/A</v>
      </c>
      <c r="AG55" s="171"/>
    </row>
    <row r="56" spans="1:33" ht="11.25" customHeight="1" x14ac:dyDescent="0.2">
      <c r="A56" s="59" t="s">
        <v>118</v>
      </c>
      <c r="B56" s="60" t="s">
        <v>58</v>
      </c>
      <c r="C56" s="61">
        <v>2</v>
      </c>
      <c r="D56" s="62" t="str">
        <f t="shared" si="14"/>
        <v>Eonia</v>
      </c>
      <c r="E56" s="63" t="str">
        <f t="shared" si="13"/>
        <v>EUR1EON3E8Y_LCHQuote</v>
      </c>
      <c r="F56" s="177">
        <v>0</v>
      </c>
      <c r="G56" s="64" t="str">
        <f>_xll.qlOISRateHelper(,$C56,$B56,$E56,$D56,,Permanent,Trigger,ObjectOverwrite)</f>
        <v>obj_005b8#0005</v>
      </c>
      <c r="I56" s="10" t="str">
        <f t="shared" si="10"/>
        <v>BasSw</v>
      </c>
      <c r="J56" s="94" t="str">
        <f t="shared" si="11"/>
        <v>obj_005bd#0005</v>
      </c>
      <c r="K56" s="146" t="str">
        <f>IFERROR(_xll.qlRateHelperQuoteName(J56,Trigger),"--")</f>
        <v>EUR1EON3E15Y_LCHQuote</v>
      </c>
      <c r="L56" s="98">
        <f>IFERROR(_xll.qlRateHelperQuoteValue($J56,Trigger),"--")</f>
        <v>1.27002E-2</v>
      </c>
      <c r="M56" s="97" t="b">
        <v>1</v>
      </c>
      <c r="N56" s="94">
        <v>50</v>
      </c>
      <c r="O56" s="94">
        <v>1</v>
      </c>
      <c r="P56" s="99">
        <f>IFERROR(_xll.qlRateHelperEarliestDate(J56,Trigger),"--")</f>
        <v>42250</v>
      </c>
      <c r="Q56" s="99">
        <f>IFERROR(_xll.qlRateHelperPillarDate(J56,Trigger),"--")</f>
        <v>47729</v>
      </c>
      <c r="S56" s="4" t="str">
        <f t="shared" si="15"/>
        <v/>
      </c>
      <c r="T56" s="4" t="e">
        <v>#N/A</v>
      </c>
      <c r="U56" s="4" t="str">
        <f>IFERROR(_xll.qlRateHelperQuoteName(T56,Trigger),"")</f>
        <v/>
      </c>
      <c r="V56" s="70" t="str">
        <f>IFERROR(_xll.qlRateHelperRate(T56,Trigger),"")</f>
        <v/>
      </c>
      <c r="W56" s="104" t="str">
        <f>IF(ISERROR(_xll.qlSwapRateHelperSpread($T56)),IF(ISERROR(_xll.qlFuturesRateHelperConvexityAdjustment($T56)),"",_xll.qlFuturesRateHelperConvexityAdjustment($T56)),_xll.qlSwapRateHelperSpread($T56))</f>
        <v/>
      </c>
      <c r="X56" s="5" t="str">
        <f>IFERROR(_xll.qlRateHelperEarliestDate(T56,Trigger),"")</f>
        <v/>
      </c>
      <c r="Y56" s="5" t="str">
        <f>IFERROR(_xll.qlRateHelperPillarDate(T56,Trigger),"")</f>
        <v/>
      </c>
      <c r="Z56" s="70" t="e">
        <v>#N/A</v>
      </c>
      <c r="AA56" s="77" t="e">
        <v>#N/A</v>
      </c>
      <c r="AB56" s="170" t="e">
        <v>#N/A</v>
      </c>
      <c r="AC56" s="171" t="e">
        <v>#N/A</v>
      </c>
      <c r="AD56" s="173" t="e">
        <f t="shared" si="2"/>
        <v>#N/A</v>
      </c>
      <c r="AE56" s="175" t="e">
        <v>#N/A</v>
      </c>
      <c r="AF56" s="174" t="e">
        <f t="shared" si="3"/>
        <v>#N/A</v>
      </c>
      <c r="AG56" s="171"/>
    </row>
    <row r="57" spans="1:33" ht="11.25" customHeight="1" x14ac:dyDescent="0.2">
      <c r="A57" s="59" t="s">
        <v>118</v>
      </c>
      <c r="B57" s="60" t="s">
        <v>59</v>
      </c>
      <c r="C57" s="61">
        <v>2</v>
      </c>
      <c r="D57" s="62" t="str">
        <f t="shared" si="14"/>
        <v>Eonia</v>
      </c>
      <c r="E57" s="63" t="str">
        <f t="shared" si="13"/>
        <v>EUR1EON3E9Y_LCHQuote</v>
      </c>
      <c r="F57" s="177">
        <v>0</v>
      </c>
      <c r="G57" s="64" t="str">
        <f>_xll.qlOISRateHelper(,$C57,$B57,$E57,$D57,,Permanent,Trigger,ObjectOverwrite)</f>
        <v>obj_005bc#0005</v>
      </c>
      <c r="I57" s="10" t="str">
        <f t="shared" si="10"/>
        <v>BasSw</v>
      </c>
      <c r="J57" s="94" t="str">
        <f t="shared" si="11"/>
        <v>obj_005c0#0005</v>
      </c>
      <c r="K57" s="146" t="str">
        <f>IFERROR(_xll.qlRateHelperQuoteName(J57,Trigger),"--")</f>
        <v>EUR1EON3E20Y_LCHQuote</v>
      </c>
      <c r="L57" s="98">
        <f>IFERROR(_xll.qlRateHelperQuoteValue($J57,Trigger),"--")</f>
        <v>1.43558E-2</v>
      </c>
      <c r="M57" s="97" t="b">
        <v>1</v>
      </c>
      <c r="N57" s="94">
        <v>50</v>
      </c>
      <c r="O57" s="94">
        <v>1</v>
      </c>
      <c r="P57" s="99">
        <f>IFERROR(_xll.qlRateHelperEarliestDate(J57,Trigger),"--")</f>
        <v>42250</v>
      </c>
      <c r="Q57" s="99">
        <f>IFERROR(_xll.qlRateHelperPillarDate(J57,Trigger),"--")</f>
        <v>49555</v>
      </c>
      <c r="S57" s="4" t="str">
        <f t="shared" si="15"/>
        <v/>
      </c>
      <c r="T57" s="4" t="e">
        <v>#N/A</v>
      </c>
      <c r="U57" s="4" t="str">
        <f>IFERROR(_xll.qlRateHelperQuoteName(T57,Trigger),"")</f>
        <v/>
      </c>
      <c r="V57" s="70" t="str">
        <f>IFERROR(_xll.qlRateHelperRate(T57,Trigger),"")</f>
        <v/>
      </c>
      <c r="W57" s="104" t="str">
        <f>IF(ISERROR(_xll.qlSwapRateHelperSpread($T57)),IF(ISERROR(_xll.qlFuturesRateHelperConvexityAdjustment($T57)),"",_xll.qlFuturesRateHelperConvexityAdjustment($T57)),_xll.qlSwapRateHelperSpread($T57))</f>
        <v/>
      </c>
      <c r="X57" s="5" t="str">
        <f>IFERROR(_xll.qlRateHelperEarliestDate(T57,Trigger),"")</f>
        <v/>
      </c>
      <c r="Y57" s="5" t="str">
        <f>IFERROR(_xll.qlRateHelperPillarDate(T57,Trigger),"")</f>
        <v/>
      </c>
      <c r="Z57" s="70" t="e">
        <v>#N/A</v>
      </c>
      <c r="AA57" s="77" t="e">
        <v>#N/A</v>
      </c>
      <c r="AB57" s="170" t="e">
        <v>#N/A</v>
      </c>
      <c r="AC57" s="171" t="e">
        <v>#N/A</v>
      </c>
      <c r="AD57" s="173" t="e">
        <f t="shared" si="2"/>
        <v>#N/A</v>
      </c>
      <c r="AE57" s="175" t="e">
        <v>#N/A</v>
      </c>
      <c r="AF57" s="174" t="e">
        <f t="shared" si="3"/>
        <v>#N/A</v>
      </c>
      <c r="AG57" s="171"/>
    </row>
    <row r="58" spans="1:33" ht="11.25" customHeight="1" x14ac:dyDescent="0.2">
      <c r="A58" s="59" t="s">
        <v>118</v>
      </c>
      <c r="B58" s="60" t="s">
        <v>60</v>
      </c>
      <c r="C58" s="61">
        <v>2</v>
      </c>
      <c r="D58" s="62" t="str">
        <f t="shared" si="14"/>
        <v>Eonia</v>
      </c>
      <c r="E58" s="63" t="str">
        <f t="shared" si="13"/>
        <v>EUR1EON3E10Y_LCHQuote</v>
      </c>
      <c r="F58" s="177">
        <v>0</v>
      </c>
      <c r="G58" s="64" t="str">
        <f>_xll.qlOISRateHelper(,$C58,$B58,$E58,$D58,,Permanent,Trigger,ObjectOverwrite)</f>
        <v>obj_005b9#0005</v>
      </c>
      <c r="I58" s="10" t="str">
        <f t="shared" si="10"/>
        <v>BasSw</v>
      </c>
      <c r="J58" s="94" t="str">
        <f t="shared" si="11"/>
        <v>obj_005ba#0005</v>
      </c>
      <c r="K58" s="146" t="str">
        <f>IFERROR(_xll.qlRateHelperQuoteName(J58,Trigger),"--")</f>
        <v>EUR1EON3E25Y_LCHQuote</v>
      </c>
      <c r="L58" s="98">
        <f>IFERROR(_xll.qlRateHelperQuoteValue($J58,Trigger),"--")</f>
        <v>1.4874699999999999E-2</v>
      </c>
      <c r="M58" s="97" t="b">
        <v>1</v>
      </c>
      <c r="N58" s="94">
        <v>50</v>
      </c>
      <c r="O58" s="94">
        <v>1</v>
      </c>
      <c r="P58" s="99">
        <f>IFERROR(_xll.qlRateHelperEarliestDate(J58,Trigger),"--")</f>
        <v>42250</v>
      </c>
      <c r="Q58" s="99">
        <f>IFERROR(_xll.qlRateHelperPillarDate(J58,Trigger),"--")</f>
        <v>51382</v>
      </c>
      <c r="S58" s="4" t="str">
        <f t="shared" si="15"/>
        <v/>
      </c>
      <c r="T58" s="4" t="e">
        <v>#N/A</v>
      </c>
      <c r="U58" s="4" t="str">
        <f>IFERROR(_xll.qlRateHelperQuoteName(T58,Trigger),"")</f>
        <v/>
      </c>
      <c r="V58" s="70" t="str">
        <f>IFERROR(_xll.qlRateHelperRate(T58,Trigger),"")</f>
        <v/>
      </c>
      <c r="W58" s="104" t="str">
        <f>IF(ISERROR(_xll.qlSwapRateHelperSpread($T58)),IF(ISERROR(_xll.qlFuturesRateHelperConvexityAdjustment($T58)),"",_xll.qlFuturesRateHelperConvexityAdjustment($T58)),_xll.qlSwapRateHelperSpread($T58))</f>
        <v/>
      </c>
      <c r="X58" s="5" t="str">
        <f>IFERROR(_xll.qlRateHelperEarliestDate(T58,Trigger),"")</f>
        <v/>
      </c>
      <c r="Y58" s="5" t="str">
        <f>IFERROR(_xll.qlRateHelperPillarDate(T58,Trigger),"")</f>
        <v/>
      </c>
      <c r="Z58" s="70" t="e">
        <v>#N/A</v>
      </c>
      <c r="AA58" s="77" t="e">
        <v>#N/A</v>
      </c>
      <c r="AB58" s="170" t="e">
        <v>#N/A</v>
      </c>
      <c r="AC58" s="171" t="e">
        <v>#N/A</v>
      </c>
      <c r="AD58" s="173" t="e">
        <f t="shared" si="2"/>
        <v>#N/A</v>
      </c>
      <c r="AE58" s="175" t="e">
        <v>#N/A</v>
      </c>
      <c r="AF58" s="174" t="e">
        <f t="shared" si="3"/>
        <v>#N/A</v>
      </c>
      <c r="AG58" s="171"/>
    </row>
    <row r="59" spans="1:33" ht="11.25" customHeight="1" x14ac:dyDescent="0.2">
      <c r="A59" s="59" t="s">
        <v>118</v>
      </c>
      <c r="B59" s="60" t="s">
        <v>61</v>
      </c>
      <c r="C59" s="61">
        <v>2</v>
      </c>
      <c r="D59" s="62" t="str">
        <f t="shared" si="14"/>
        <v>Eonia</v>
      </c>
      <c r="E59" s="63" t="str">
        <f t="shared" si="13"/>
        <v>EUR1EON3E12Y_LCHQuote</v>
      </c>
      <c r="F59" s="177">
        <v>0</v>
      </c>
      <c r="G59" s="64" t="str">
        <f>_xll.qlOISRateHelper(,$C59,$B59,$E59,$D59,,Permanent,Trigger,ObjectOverwrite)</f>
        <v>obj_005c6#0005</v>
      </c>
      <c r="I59" s="10" t="str">
        <f t="shared" si="10"/>
        <v>BasSw</v>
      </c>
      <c r="J59" s="94" t="str">
        <f t="shared" si="11"/>
        <v>obj_005c7#0005</v>
      </c>
      <c r="K59" s="146" t="str">
        <f>IFERROR(_xll.qlRateHelperQuoteName(J59,Trigger),"--")</f>
        <v>EUR1EON3E30Y_LCHQuote</v>
      </c>
      <c r="L59" s="98">
        <f>IFERROR(_xll.qlRateHelperQuoteValue($J59,Trigger),"--")</f>
        <v>1.51054E-2</v>
      </c>
      <c r="M59" s="97" t="b">
        <v>1</v>
      </c>
      <c r="N59" s="94">
        <v>50</v>
      </c>
      <c r="O59" s="94">
        <v>1</v>
      </c>
      <c r="P59" s="99">
        <f>IFERROR(_xll.qlRateHelperEarliestDate(J59,Trigger),"--")</f>
        <v>42250</v>
      </c>
      <c r="Q59" s="99">
        <f>IFERROR(_xll.qlRateHelperPillarDate(J59,Trigger),"--")</f>
        <v>53209</v>
      </c>
      <c r="S59" s="4" t="str">
        <f t="shared" si="15"/>
        <v/>
      </c>
      <c r="T59" s="4" t="e">
        <v>#N/A</v>
      </c>
      <c r="U59" s="4" t="str">
        <f>IFERROR(_xll.qlRateHelperQuoteName(T59,Trigger),"")</f>
        <v/>
      </c>
      <c r="V59" s="70" t="str">
        <f>IFERROR(_xll.qlRateHelperRate(T59,Trigger),"")</f>
        <v/>
      </c>
      <c r="W59" s="104" t="str">
        <f>IF(ISERROR(_xll.qlSwapRateHelperSpread($T59)),IF(ISERROR(_xll.qlFuturesRateHelperConvexityAdjustment($T59)),"",_xll.qlFuturesRateHelperConvexityAdjustment($T59)),_xll.qlSwapRateHelperSpread($T59))</f>
        <v/>
      </c>
      <c r="X59" s="5" t="str">
        <f>IFERROR(_xll.qlRateHelperEarliestDate(T59,Trigger),"")</f>
        <v/>
      </c>
      <c r="Y59" s="5" t="str">
        <f>IFERROR(_xll.qlRateHelperPillarDate(T59,Trigger),"")</f>
        <v/>
      </c>
      <c r="Z59" s="70" t="e">
        <v>#N/A</v>
      </c>
      <c r="AA59" s="77" t="e">
        <v>#N/A</v>
      </c>
      <c r="AB59" s="170" t="e">
        <v>#N/A</v>
      </c>
      <c r="AC59" s="171" t="e">
        <v>#N/A</v>
      </c>
      <c r="AD59" s="173" t="e">
        <f t="shared" si="2"/>
        <v>#N/A</v>
      </c>
      <c r="AE59" s="175" t="e">
        <v>#N/A</v>
      </c>
      <c r="AF59" s="174" t="e">
        <f t="shared" si="3"/>
        <v>#N/A</v>
      </c>
      <c r="AG59" s="171"/>
    </row>
    <row r="60" spans="1:33" ht="11.25" customHeight="1" x14ac:dyDescent="0.2">
      <c r="A60" s="59" t="s">
        <v>118</v>
      </c>
      <c r="B60" s="60" t="s">
        <v>62</v>
      </c>
      <c r="C60" s="61">
        <v>2</v>
      </c>
      <c r="D60" s="62" t="str">
        <f t="shared" si="14"/>
        <v>Eonia</v>
      </c>
      <c r="E60" s="63" t="str">
        <f t="shared" si="13"/>
        <v>EUR1EON3E15Y_LCHQuote</v>
      </c>
      <c r="F60" s="177">
        <v>0</v>
      </c>
      <c r="G60" s="64" t="str">
        <f>_xll.qlOISRateHelper(,$C60,$B60,$E60,$D60,,Permanent,Trigger,ObjectOverwrite)</f>
        <v>obj_005bd#0005</v>
      </c>
      <c r="I60" s="10" t="str">
        <f t="shared" si="10"/>
        <v>BasSw</v>
      </c>
      <c r="J60" s="94" t="str">
        <f t="shared" si="11"/>
        <v>obj_005c4#0005</v>
      </c>
      <c r="K60" s="146" t="str">
        <f>IFERROR(_xll.qlRateHelperQuoteName(J60,Trigger),"--")</f>
        <v>EUR1EON3E40Y_LCHQuote</v>
      </c>
      <c r="L60" s="98">
        <f>IFERROR(_xll.qlRateHelperQuoteValue($J60,Trigger),"--")</f>
        <v>1.5446E-2</v>
      </c>
      <c r="M60" s="97" t="b">
        <v>1</v>
      </c>
      <c r="N60" s="94">
        <v>50</v>
      </c>
      <c r="O60" s="94">
        <v>1</v>
      </c>
      <c r="P60" s="99">
        <f>IFERROR(_xll.qlRateHelperEarliestDate(J60,Trigger),"--")</f>
        <v>42250</v>
      </c>
      <c r="Q60" s="99">
        <f>IFERROR(_xll.qlRateHelperPillarDate(J60,Trigger),"--")</f>
        <v>56860</v>
      </c>
      <c r="S60" s="4" t="str">
        <f t="shared" si="15"/>
        <v/>
      </c>
      <c r="T60" s="4" t="e">
        <v>#N/A</v>
      </c>
      <c r="U60" s="4" t="str">
        <f>IFERROR(_xll.qlRateHelperQuoteName(T60,Trigger),"")</f>
        <v/>
      </c>
      <c r="V60" s="70" t="str">
        <f>IFERROR(_xll.qlRateHelperRate(T60,Trigger),"")</f>
        <v/>
      </c>
      <c r="W60" s="104" t="str">
        <f>IF(ISERROR(_xll.qlSwapRateHelperSpread($T60)),IF(ISERROR(_xll.qlFuturesRateHelperConvexityAdjustment($T60)),"",_xll.qlFuturesRateHelperConvexityAdjustment($T60)),_xll.qlSwapRateHelperSpread($T60))</f>
        <v/>
      </c>
      <c r="X60" s="5" t="str">
        <f>IFERROR(_xll.qlRateHelperEarliestDate(T60,Trigger),"")</f>
        <v/>
      </c>
      <c r="Y60" s="5" t="str">
        <f>IFERROR(_xll.qlRateHelperPillarDate(T60,Trigger),"")</f>
        <v/>
      </c>
      <c r="Z60" s="70" t="e">
        <v>#N/A</v>
      </c>
      <c r="AA60" s="77" t="e">
        <v>#N/A</v>
      </c>
      <c r="AB60" s="170" t="e">
        <v>#N/A</v>
      </c>
      <c r="AC60" s="171" t="e">
        <v>#N/A</v>
      </c>
      <c r="AD60" s="173" t="e">
        <f t="shared" si="2"/>
        <v>#N/A</v>
      </c>
      <c r="AE60" s="175" t="e">
        <v>#N/A</v>
      </c>
      <c r="AF60" s="174" t="e">
        <f t="shared" si="3"/>
        <v>#N/A</v>
      </c>
      <c r="AG60" s="171"/>
    </row>
    <row r="61" spans="1:33" ht="11.25" customHeight="1" x14ac:dyDescent="0.2">
      <c r="A61" s="59" t="s">
        <v>118</v>
      </c>
      <c r="B61" s="60" t="s">
        <v>63</v>
      </c>
      <c r="C61" s="61">
        <v>2</v>
      </c>
      <c r="D61" s="62" t="str">
        <f t="shared" si="14"/>
        <v>Eonia</v>
      </c>
      <c r="E61" s="63" t="str">
        <f t="shared" si="13"/>
        <v>EUR1EON3E20Y_LCHQuote</v>
      </c>
      <c r="F61" s="177">
        <v>0</v>
      </c>
      <c r="G61" s="64" t="str">
        <f>_xll.qlOISRateHelper(,$C61,$B61,$E61,$D61,,Permanent,Trigger,ObjectOverwrite)</f>
        <v>obj_005c0#0005</v>
      </c>
      <c r="I61" s="10" t="str">
        <f t="shared" si="10"/>
        <v>BasSw</v>
      </c>
      <c r="J61" s="94" t="str">
        <f t="shared" si="11"/>
        <v>obj_005bb#0005</v>
      </c>
      <c r="K61" s="146" t="str">
        <f>IFERROR(_xll.qlRateHelperQuoteName(J61,Trigger),"--")</f>
        <v>EUR1EON3E50Y_LCHQuote</v>
      </c>
      <c r="L61" s="98">
        <f>IFERROR(_xll.qlRateHelperQuoteValue($J61,Trigger),"--")</f>
        <v>1.5240999999999999E-2</v>
      </c>
      <c r="M61" s="97" t="b">
        <v>1</v>
      </c>
      <c r="N61" s="94">
        <v>50</v>
      </c>
      <c r="O61" s="94">
        <v>1</v>
      </c>
      <c r="P61" s="99">
        <f>IFERROR(_xll.qlRateHelperEarliestDate(J61,Trigger),"--")</f>
        <v>42250</v>
      </c>
      <c r="Q61" s="99">
        <f>IFERROR(_xll.qlRateHelperPillarDate(J61,Trigger),"--")</f>
        <v>60513</v>
      </c>
      <c r="S61" s="4" t="str">
        <f t="shared" si="15"/>
        <v/>
      </c>
      <c r="T61" s="4" t="e">
        <v>#N/A</v>
      </c>
      <c r="U61" s="4" t="str">
        <f>IFERROR(_xll.qlRateHelperQuoteName(T61,Trigger),"")</f>
        <v/>
      </c>
      <c r="V61" s="70" t="str">
        <f>IFERROR(_xll.qlRateHelperRate(T61,Trigger),"")</f>
        <v/>
      </c>
      <c r="W61" s="104" t="str">
        <f>IF(ISERROR(_xll.qlSwapRateHelperSpread($T61)),IF(ISERROR(_xll.qlFuturesRateHelperConvexityAdjustment($T61)),"",_xll.qlFuturesRateHelperConvexityAdjustment($T61)),_xll.qlSwapRateHelperSpread($T61))</f>
        <v/>
      </c>
      <c r="X61" s="5" t="str">
        <f>IFERROR(_xll.qlRateHelperEarliestDate(T61,Trigger),"")</f>
        <v/>
      </c>
      <c r="Y61" s="5" t="str">
        <f>IFERROR(_xll.qlRateHelperPillarDate(T61,Trigger),"")</f>
        <v/>
      </c>
      <c r="Z61" s="70" t="e">
        <v>#N/A</v>
      </c>
      <c r="AA61" s="77" t="e">
        <v>#N/A</v>
      </c>
      <c r="AB61" s="170" t="e">
        <v>#N/A</v>
      </c>
      <c r="AC61" s="171" t="e">
        <v>#N/A</v>
      </c>
      <c r="AD61" s="173" t="e">
        <f t="shared" si="2"/>
        <v>#N/A</v>
      </c>
      <c r="AE61" s="175" t="e">
        <v>#N/A</v>
      </c>
      <c r="AF61" s="174" t="e">
        <f t="shared" si="3"/>
        <v>#N/A</v>
      </c>
      <c r="AG61" s="171"/>
    </row>
    <row r="62" spans="1:33" ht="11.25" customHeight="1" x14ac:dyDescent="0.2">
      <c r="A62" s="59" t="s">
        <v>118</v>
      </c>
      <c r="B62" s="60" t="s">
        <v>64</v>
      </c>
      <c r="C62" s="61">
        <v>2</v>
      </c>
      <c r="D62" s="62" t="str">
        <f t="shared" si="14"/>
        <v>Eonia</v>
      </c>
      <c r="E62" s="63" t="str">
        <f t="shared" si="13"/>
        <v>EUR1EON3E25Y_LCHQuote</v>
      </c>
      <c r="F62" s="177">
        <v>0</v>
      </c>
      <c r="G62" s="64" t="str">
        <f>_xll.qlOISRateHelper(,$C62,$B62,$E62,$D62,,Permanent,Trigger,ObjectOverwrite)</f>
        <v>obj_005ba#0005</v>
      </c>
      <c r="I62" s="11" t="str">
        <f t="shared" si="10"/>
        <v>BasSw</v>
      </c>
      <c r="J62" s="95" t="str">
        <f t="shared" si="11"/>
        <v>obj_005c2#0005</v>
      </c>
      <c r="K62" s="147" t="str">
        <f>IFERROR(_xll.qlRateHelperQuoteName(J62,Trigger),"--")</f>
        <v>EUR1EON3E60Y_LCHQuote</v>
      </c>
      <c r="L62" s="101">
        <f>IFERROR(_xll.qlRateHelperQuoteValue($J62,Trigger),"--")</f>
        <v>1.5055000000000001E-2</v>
      </c>
      <c r="M62" s="100" t="b">
        <v>1</v>
      </c>
      <c r="N62" s="95">
        <v>50</v>
      </c>
      <c r="O62" s="95">
        <v>1</v>
      </c>
      <c r="P62" s="102">
        <f>IFERROR(_xll.qlRateHelperEarliestDate(J62,Trigger),"--")</f>
        <v>42250</v>
      </c>
      <c r="Q62" s="102">
        <f>IFERROR(_xll.qlRateHelperPillarDate(J62,Trigger),"--")</f>
        <v>64165</v>
      </c>
      <c r="S62" s="6" t="str">
        <f t="shared" si="15"/>
        <v/>
      </c>
      <c r="T62" s="6" t="e">
        <v>#N/A</v>
      </c>
      <c r="U62" s="6" t="str">
        <f>IFERROR(_xll.qlRateHelperQuoteName(T62,Trigger),"")</f>
        <v/>
      </c>
      <c r="V62" s="79" t="str">
        <f>IFERROR(_xll.qlRateHelperRate(T62,Trigger),"")</f>
        <v/>
      </c>
      <c r="W62" s="105" t="str">
        <f>IF(ISERROR(_xll.qlSwapRateHelperSpread($T62)),IF(ISERROR(_xll.qlFuturesRateHelperConvexityAdjustment($T62)),"",_xll.qlFuturesRateHelperConvexityAdjustment($T62)),_xll.qlSwapRateHelperSpread($T62))</f>
        <v/>
      </c>
      <c r="X62" s="12" t="str">
        <f>IFERROR(_xll.qlRateHelperEarliestDate(T62,Trigger),"")</f>
        <v/>
      </c>
      <c r="Y62" s="12" t="str">
        <f>IFERROR(_xll.qlRateHelperPillarDate(T62,Trigger),"")</f>
        <v/>
      </c>
      <c r="Z62" s="79" t="e">
        <v>#N/A</v>
      </c>
      <c r="AA62" s="78" t="e">
        <v>#N/A</v>
      </c>
      <c r="AB62" s="170" t="e">
        <v>#N/A</v>
      </c>
      <c r="AC62" s="171" t="e">
        <v>#N/A</v>
      </c>
      <c r="AD62" s="173" t="e">
        <f t="shared" si="2"/>
        <v>#N/A</v>
      </c>
      <c r="AE62" s="175" t="e">
        <v>#N/A</v>
      </c>
      <c r="AF62" s="174" t="e">
        <f t="shared" si="3"/>
        <v>#N/A</v>
      </c>
      <c r="AG62" s="171"/>
    </row>
    <row r="63" spans="1:33" ht="11.25" customHeight="1" x14ac:dyDescent="0.2">
      <c r="A63" s="59" t="s">
        <v>118</v>
      </c>
      <c r="B63" s="60" t="s">
        <v>66</v>
      </c>
      <c r="C63" s="61">
        <v>2</v>
      </c>
      <c r="D63" s="62" t="str">
        <f t="shared" si="14"/>
        <v>Eonia</v>
      </c>
      <c r="E63" s="63" t="str">
        <f t="shared" si="13"/>
        <v>EUR1EON3E30Y_LCHQuote</v>
      </c>
      <c r="F63" s="177">
        <v>0</v>
      </c>
      <c r="G63" s="64" t="str">
        <f>_xll.qlOISRateHelper(,$C63,$B63,$E63,$D63,,Permanent,Trigger,ObjectOverwrite)</f>
        <v>obj_005c7#0005</v>
      </c>
    </row>
    <row r="64" spans="1:33" ht="11.25" customHeight="1" x14ac:dyDescent="0.2">
      <c r="A64" s="59" t="s">
        <v>118</v>
      </c>
      <c r="B64" s="60" t="s">
        <v>68</v>
      </c>
      <c r="C64" s="61">
        <v>2</v>
      </c>
      <c r="D64" s="62" t="str">
        <f t="shared" si="14"/>
        <v>Eonia</v>
      </c>
      <c r="E64" s="63" t="str">
        <f t="shared" si="13"/>
        <v>EUR1EON3E40Y_LCHQuote</v>
      </c>
      <c r="F64" s="177">
        <v>0</v>
      </c>
      <c r="G64" s="64" t="str">
        <f>_xll.qlOISRateHelper(,$C64,$B64,$E64,$D64,,Permanent,Trigger,ObjectOverwrite)</f>
        <v>obj_005c4#0005</v>
      </c>
    </row>
    <row r="65" spans="1:7" ht="11.25" customHeight="1" x14ac:dyDescent="0.2">
      <c r="A65" s="59" t="s">
        <v>118</v>
      </c>
      <c r="B65" s="60" t="s">
        <v>69</v>
      </c>
      <c r="C65" s="61">
        <v>2</v>
      </c>
      <c r="D65" s="62" t="str">
        <f t="shared" si="14"/>
        <v>Eonia</v>
      </c>
      <c r="E65" s="63" t="str">
        <f t="shared" si="13"/>
        <v>EUR1EON3E50Y_LCHQuote</v>
      </c>
      <c r="F65" s="177">
        <v>0</v>
      </c>
      <c r="G65" s="64" t="str">
        <f>_xll.qlOISRateHelper(,$C65,$B65,$E65,$D65,,Permanent,Trigger,ObjectOverwrite)</f>
        <v>obj_005bb#0005</v>
      </c>
    </row>
    <row r="66" spans="1:7" ht="11.25" customHeight="1" x14ac:dyDescent="0.2">
      <c r="A66" s="1" t="s">
        <v>118</v>
      </c>
      <c r="B66" s="8" t="s">
        <v>112</v>
      </c>
      <c r="C66" s="7">
        <v>2</v>
      </c>
      <c r="D66" s="9" t="str">
        <f t="shared" si="14"/>
        <v>Eonia</v>
      </c>
      <c r="E66" s="2" t="str">
        <f t="shared" si="13"/>
        <v>EUR1EON3E60Y_LCHQuote</v>
      </c>
      <c r="F66" s="178">
        <v>0</v>
      </c>
      <c r="G66" s="3" t="str">
        <f>_xll.qlOISRateHelper(,$C66,$B66,$E66,$D66,,Permanent,Trigger,ObjectOverwrite)</f>
        <v>obj_005c2#0005</v>
      </c>
    </row>
    <row r="67" spans="1:7" ht="11.25" customHeight="1" x14ac:dyDescent="0.2"/>
    <row r="68" spans="1:7" ht="11.25" customHeight="1" x14ac:dyDescent="0.2"/>
    <row r="69" spans="1:7" ht="11.25" customHeight="1" x14ac:dyDescent="0.2"/>
    <row r="70" spans="1:7" ht="11.25" customHeight="1" x14ac:dyDescent="0.2"/>
    <row r="71" spans="1:7" ht="11.25" customHeight="1" x14ac:dyDescent="0.2"/>
    <row r="72" spans="1:7" ht="11.25" customHeight="1" x14ac:dyDescent="0.2"/>
    <row r="73" spans="1:7" ht="11.25" customHeight="1" x14ac:dyDescent="0.2"/>
    <row r="74" spans="1:7" ht="11.25" customHeight="1" x14ac:dyDescent="0.2"/>
    <row r="75" spans="1:7" ht="11.25" customHeight="1" x14ac:dyDescent="0.2"/>
    <row r="76" spans="1:7" ht="11.25" customHeight="1" x14ac:dyDescent="0.2"/>
    <row r="77" spans="1:7" ht="11.25" customHeight="1" x14ac:dyDescent="0.2"/>
    <row r="78" spans="1:7" ht="11.25" customHeight="1" x14ac:dyDescent="0.2"/>
    <row r="79" spans="1:7" ht="11.25" customHeight="1" x14ac:dyDescent="0.2"/>
    <row r="80" spans="1:7" ht="11.25" customHeight="1" x14ac:dyDescent="0.2"/>
  </sheetData>
  <mergeCells count="1">
    <mergeCell ref="AH2:AI2"/>
  </mergeCells>
  <dataValidations count="1">
    <dataValidation type="list" allowBlank="1" showInputMessage="1" showErrorMessage="1" sqref="AI6">
      <formula1>"AllDepos,DeposBeforeFirstFuturesStartDate,DeposBeforeFirstFuturesStartDatePlusOne,DeposBeforeFirstFuturesExpiryDate"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O96"/>
  <sheetViews>
    <sheetView showGridLines="0" topLeftCell="L1" zoomScaleNormal="100" workbookViewId="0">
      <selection activeCell="L1" sqref="L1"/>
    </sheetView>
  </sheetViews>
  <sheetFormatPr defaultRowHeight="11.25" outlineLevelCol="1" x14ac:dyDescent="0.2"/>
  <cols>
    <col min="1" max="1" width="6" style="46" hidden="1" customWidth="1" outlineLevel="1"/>
    <col min="2" max="2" width="9" style="51" hidden="1" customWidth="1" outlineLevel="1"/>
    <col min="3" max="3" width="6.7109375" style="50" hidden="1" customWidth="1" outlineLevel="1"/>
    <col min="4" max="4" width="7" style="50" hidden="1" customWidth="1" outlineLevel="1"/>
    <col min="5" max="5" width="19.28515625" style="50" hidden="1" customWidth="1" outlineLevel="1"/>
    <col min="6" max="6" width="20.28515625" style="50" hidden="1" customWidth="1" outlineLevel="1"/>
    <col min="7" max="7" width="15.140625" style="50" hidden="1" customWidth="1" outlineLevel="1"/>
    <col min="8" max="8" width="21.42578125" style="52" hidden="1" customWidth="1" outlineLevel="1"/>
    <col min="9" max="9" width="24.42578125" style="46" hidden="1" customWidth="1" outlineLevel="1"/>
    <col min="10" max="11" width="15.140625" style="46" hidden="1" customWidth="1" outlineLevel="1"/>
    <col min="12" max="12" width="2.7109375" style="46" customWidth="1" collapsed="1"/>
    <col min="13" max="13" width="6" style="46" hidden="1" customWidth="1" outlineLevel="1"/>
    <col min="14" max="15" width="15.140625" style="103" hidden="1" customWidth="1" outlineLevel="1"/>
    <col min="16" max="16" width="21.42578125" style="103" hidden="1" customWidth="1" outlineLevel="1"/>
    <col min="17" max="17" width="9.7109375" style="103" hidden="1" customWidth="1" outlineLevel="1"/>
    <col min="18" max="18" width="7.85546875" style="103" hidden="1" customWidth="1" outlineLevel="1"/>
    <col min="19" max="19" width="9" style="103" hidden="1" customWidth="1" outlineLevel="1"/>
    <col min="20" max="20" width="5.85546875" style="103" hidden="1" customWidth="1" outlineLevel="1"/>
    <col min="21" max="22" width="10.7109375" style="103" hidden="1" customWidth="1" outlineLevel="1"/>
    <col min="23" max="23" width="2.7109375" style="48" hidden="1" customWidth="1" outlineLevel="1"/>
    <col min="24" max="24" width="6" style="46" customWidth="1" collapsed="1"/>
    <col min="25" max="26" width="10.140625" style="46" hidden="1" customWidth="1" outlineLevel="1"/>
    <col min="27" max="27" width="24.7109375" style="46" customWidth="1" collapsed="1"/>
    <col min="28" max="29" width="9.7109375" style="46" customWidth="1"/>
    <col min="30" max="31" width="17.28515625" style="46" bestFit="1" customWidth="1"/>
    <col min="32" max="32" width="12" style="46" bestFit="1" customWidth="1"/>
    <col min="33" max="33" width="12" style="46" customWidth="1"/>
    <col min="34" max="34" width="11.85546875" style="46" hidden="1" customWidth="1" outlineLevel="1"/>
    <col min="35" max="35" width="9" style="46" hidden="1" customWidth="1" outlineLevel="1"/>
    <col min="36" max="38" width="12.42578125" style="46" hidden="1" customWidth="1" outlineLevel="1"/>
    <col min="39" max="39" width="2.7109375" style="46" customWidth="1" collapsed="1"/>
    <col min="40" max="40" width="24.42578125" style="46" bestFit="1" customWidth="1"/>
    <col min="41" max="41" width="21.42578125" style="46" bestFit="1" customWidth="1"/>
    <col min="42" max="42" width="11" style="46" bestFit="1" customWidth="1"/>
    <col min="43" max="43" width="9.140625" style="46"/>
    <col min="44" max="44" width="21.42578125" style="46" bestFit="1" customWidth="1"/>
    <col min="45" max="16384" width="9.140625" style="46"/>
  </cols>
  <sheetData>
    <row r="1" spans="1:41" ht="18" customHeight="1" x14ac:dyDescent="0.2">
      <c r="G1" s="50" t="s">
        <v>0</v>
      </c>
      <c r="H1" s="50" t="str">
        <f>"_SYNTH"&amp;$G$1</f>
        <v>_SYNTH3M</v>
      </c>
      <c r="M1" s="67" t="s">
        <v>24</v>
      </c>
      <c r="N1" s="106"/>
      <c r="O1" s="106"/>
      <c r="P1" s="106"/>
      <c r="Q1" s="106"/>
      <c r="R1" s="106"/>
      <c r="S1" s="106"/>
      <c r="T1" s="106"/>
      <c r="U1" s="106"/>
      <c r="V1" s="96"/>
      <c r="W1" s="93"/>
      <c r="X1" s="74" t="str">
        <f>Currency&amp;$G$1</f>
        <v>EUR3M</v>
      </c>
      <c r="Y1" s="66"/>
      <c r="Z1" s="66"/>
      <c r="AA1" s="66"/>
      <c r="AB1" s="69"/>
      <c r="AC1" s="69"/>
      <c r="AD1" s="66"/>
      <c r="AE1" s="66"/>
      <c r="AF1" s="184" t="s">
        <v>143</v>
      </c>
      <c r="AG1" s="184" t="s">
        <v>154</v>
      </c>
    </row>
    <row r="2" spans="1:41" ht="21.75" customHeight="1" x14ac:dyDescent="0.2">
      <c r="A2" s="65" t="s">
        <v>9</v>
      </c>
      <c r="B2" s="65" t="s">
        <v>29</v>
      </c>
      <c r="C2" s="65"/>
      <c r="D2" s="65"/>
      <c r="E2" s="65"/>
      <c r="F2" s="65"/>
      <c r="G2" s="65" t="s">
        <v>4</v>
      </c>
      <c r="H2" s="65" t="s">
        <v>1</v>
      </c>
      <c r="I2" s="65"/>
      <c r="J2" s="65" t="s">
        <v>150</v>
      </c>
      <c r="K2" s="65" t="s">
        <v>151</v>
      </c>
      <c r="M2" s="73" t="s">
        <v>9</v>
      </c>
      <c r="N2" s="73" t="s">
        <v>150</v>
      </c>
      <c r="O2" s="73" t="s">
        <v>151</v>
      </c>
      <c r="P2" s="73" t="s">
        <v>79</v>
      </c>
      <c r="Q2" s="73" t="s">
        <v>82</v>
      </c>
      <c r="R2" s="73" t="s">
        <v>80</v>
      </c>
      <c r="S2" s="73" t="s">
        <v>81</v>
      </c>
      <c r="T2" s="73" t="s">
        <v>83</v>
      </c>
      <c r="U2" s="73" t="s">
        <v>22</v>
      </c>
      <c r="V2" s="73" t="s">
        <v>76</v>
      </c>
      <c r="W2" s="93"/>
      <c r="X2" s="73" t="s">
        <v>9</v>
      </c>
      <c r="Y2" s="73" t="s">
        <v>150</v>
      </c>
      <c r="Z2" s="73" t="s">
        <v>151</v>
      </c>
      <c r="AA2" s="73" t="s">
        <v>79</v>
      </c>
      <c r="AB2" s="75" t="s">
        <v>23</v>
      </c>
      <c r="AC2" s="75" t="s">
        <v>84</v>
      </c>
      <c r="AD2" s="73" t="s">
        <v>22</v>
      </c>
      <c r="AE2" s="73" t="s">
        <v>76</v>
      </c>
      <c r="AF2" s="172">
        <f t="array" ref="AF2:AF90">_xll.qlPiecewiseYieldCurveData(YieldCurve1_3M,Trigger)</f>
        <v>-3.345972890241333E-4</v>
      </c>
      <c r="AG2" s="76">
        <f t="array" ref="AG2:AG90">_xll.qlPiecewiseYieldCurveData(yieldcurve2_3M,Trigger)</f>
        <v>1</v>
      </c>
      <c r="AJ2" s="46" t="s">
        <v>155</v>
      </c>
      <c r="AL2" s="46" t="s">
        <v>156</v>
      </c>
      <c r="AN2" s="182" t="s">
        <v>85</v>
      </c>
      <c r="AO2" s="183"/>
    </row>
    <row r="3" spans="1:41" ht="11.25" customHeight="1" x14ac:dyDescent="0.2">
      <c r="A3" s="1" t="s">
        <v>26</v>
      </c>
      <c r="B3" s="8" t="s">
        <v>0</v>
      </c>
      <c r="C3" s="124"/>
      <c r="D3" s="124"/>
      <c r="E3" s="124"/>
      <c r="F3" s="124"/>
      <c r="G3" s="7" t="str">
        <f>PROPER(Currency)&amp;FamilyName&amp;B3</f>
        <v>Euribor3M</v>
      </c>
      <c r="H3" s="121" t="str">
        <f>IF(LCHQuoteOverwrite,Currency&amp;Tenor&amp;"D"&amp;LCHQuoteSuffix,Currency&amp;Tenor&amp;"D"&amp;QuoteSuffix)</f>
        <v>EUR3MD_LCHQuote</v>
      </c>
      <c r="I3" s="124"/>
      <c r="J3" s="3" t="str">
        <f>_xll.qlDepositRateHelper(,H3,G3,Permanent,Trigger,ObjectOverwrite)</f>
        <v>obj_00627#0005</v>
      </c>
      <c r="K3" s="3" t="str">
        <f>J3</f>
        <v>obj_00627#0005</v>
      </c>
      <c r="L3" s="49"/>
      <c r="M3" s="11" t="str">
        <f>A3</f>
        <v>Dp</v>
      </c>
      <c r="N3" s="95" t="str">
        <f>IF(ISBLANK(J3),"--",J3)</f>
        <v>obj_00627#0005</v>
      </c>
      <c r="O3" s="95" t="str">
        <f>IF(ISBLANK(K3),"--",K3)</f>
        <v>obj_00627#0005</v>
      </c>
      <c r="P3" s="147" t="str">
        <f>IFERROR(_xll.qlRateHelperQuoteName(N3,Trigger),"--")</f>
        <v>EUR3MD_LCHQuote</v>
      </c>
      <c r="Q3" s="101">
        <f>IFERROR(_xll.qlRateHelperQuoteValue($N3,Trigger),"--")</f>
        <v>-3.3E-4</v>
      </c>
      <c r="R3" s="100" t="b">
        <v>1</v>
      </c>
      <c r="S3" s="95">
        <v>30</v>
      </c>
      <c r="T3" s="95">
        <v>1</v>
      </c>
      <c r="U3" s="102">
        <f>IFERROR(_xll.qlRateHelperEarliestDate(N3,Trigger),"--")</f>
        <v>42250</v>
      </c>
      <c r="V3" s="102">
        <f>IFERROR(_xll.qlRateHelperPillarDate(N3,Trigger),"--")</f>
        <v>42341</v>
      </c>
      <c r="X3" s="4" t="str">
        <f t="shared" ref="X3:X34" si="0">IFERROR(INDEX($M$3:$M$90,MATCH(AA3,$P$3:$P$90,0),1),"")</f>
        <v>Dp</v>
      </c>
      <c r="Y3" s="4" t="str">
        <f t="array" ref="Y3:Y90">_xll.qlRateHelperSelection(_xll.ohFilter(RateHelpers1,IncludeFlag),_xll.ohFilter(Priority,IncludeFlag),$AO$3,$AO$4,$AO$5,$AO$6,_xll.ohFilter(MinDistance,IncludeFlag),Trigger)</f>
        <v>obj_00627</v>
      </c>
      <c r="Z3" s="4" t="str">
        <f t="array" ref="Z3:Z90">_xll.qlRateHelperSelection(_xll.ohFilter(RateHelpers2,IncludeFlag),_xll.ohFilter(Priority,IncludeFlag),$AO$3,$AO$4,$AO$5,$AO$6,_xll.ohFilter(MinDistance,IncludeFlag),Trigger)</f>
        <v>obj_00627</v>
      </c>
      <c r="AA3" s="4" t="str">
        <f>IFERROR(_xll.qlRateHelperQuoteName(Y3,Trigger),"")</f>
        <v>EUR3MD_LCHQuote</v>
      </c>
      <c r="AB3" s="70">
        <f>IFERROR(_xll.qlRateHelperRate(Y3,Trigger),"")</f>
        <v>-3.3E-4</v>
      </c>
      <c r="AC3" s="104" t="str">
        <f>IF(ISERROR(_xll.qlSwapRateHelperSpread($Y3)),IF(ISERROR(_xll.qlFuturesRateHelperConvexityAdjustment($Y3)),"",_xll.qlFuturesRateHelperConvexityAdjustment($Y3)),_xll.qlSwapRateHelperSpread($Y3))</f>
        <v/>
      </c>
      <c r="AD3" s="5">
        <f>IFERROR(_xll.qlRateHelperEarliestDate(Y3,Trigger),"")</f>
        <v>42250</v>
      </c>
      <c r="AE3" s="5">
        <f>IFERROR(_xll.qlRateHelperPillarDate(Y3,Trigger),"")</f>
        <v>42341</v>
      </c>
      <c r="AF3" s="70">
        <v>-3.345972890241333E-4</v>
      </c>
      <c r="AG3" s="77">
        <v>1.0000850044167362</v>
      </c>
      <c r="AH3" s="170">
        <f t="array" ref="AH3:AH90">_xll.ohFilter([1]REP00100!$C$2:$C$1000,([1]REP00100!$A$2:$A$1000="EUR_EURIBOR_3M_EOD"))</f>
        <v>42341</v>
      </c>
      <c r="AI3" s="171">
        <f t="array" ref="AI3:AI90">_xll.ohFilter([1]REP00100!$E$2:$E$1000,([1]REP00100!$A$2:$A$1000="EUR_EURIBOR_3M_EOD"))</f>
        <v>-3.3459728902308997E-4</v>
      </c>
      <c r="AJ3" s="173">
        <f t="shared" ref="AJ3:AJ34" si="1">AF3-AI3</f>
        <v>-1.0433277505828009E-15</v>
      </c>
      <c r="AK3" s="80">
        <f t="array" ref="AK3:AK90">_xll.ohFilter([1]REP00101!$F$2:$F$1000,([1]REP00101!$A$2:$A$1000="EUR_EURIBOR_3M_EOD"))</f>
        <v>1.0000852571900201</v>
      </c>
      <c r="AL3" s="162">
        <f t="shared" ref="AL3:AL34" si="2">AK3-AG3</f>
        <v>2.5277328385975295E-7</v>
      </c>
      <c r="AN3" s="107" t="s">
        <v>86</v>
      </c>
      <c r="AO3" s="108">
        <v>12</v>
      </c>
    </row>
    <row r="4" spans="1:41" ht="11.25" customHeight="1" x14ac:dyDescent="0.2">
      <c r="B4" s="46"/>
      <c r="C4" s="46"/>
      <c r="D4" s="46"/>
      <c r="E4" s="46"/>
      <c r="F4" s="46"/>
      <c r="G4" s="46"/>
      <c r="H4" s="46" t="s">
        <v>95</v>
      </c>
      <c r="L4" s="48"/>
      <c r="M4" s="10" t="str">
        <f t="shared" ref="M4:M15" si="3">A6</f>
        <v>FUT</v>
      </c>
      <c r="N4" s="94" t="str">
        <f t="shared" ref="N4:N15" si="4">IF(ISBLANK(J6),"--",J6)</f>
        <v>obj_005c8#0005</v>
      </c>
      <c r="O4" s="94" t="str">
        <f t="shared" ref="O4:O15" si="5">IF(ISBLANK(K6),"--",K6)</f>
        <v>obj_005c8#0005</v>
      </c>
      <c r="P4" s="146" t="str">
        <f>IFERROR(_xll.qlRateHelperQuoteName(N4,Trigger),"--")</f>
        <v>FEIU5_LCHQuote</v>
      </c>
      <c r="Q4" s="150">
        <f>IFERROR(_xll.qlRateHelperQuoteValue($N4,Trigger),"--")</f>
        <v>100.03500000000001</v>
      </c>
      <c r="R4" s="97" t="b">
        <v>1</v>
      </c>
      <c r="S4" s="94">
        <v>20</v>
      </c>
      <c r="T4" s="94">
        <v>1</v>
      </c>
      <c r="U4" s="99">
        <f>IFERROR(_xll.qlRateHelperEarliestDate(N4,Trigger),"--")</f>
        <v>42263</v>
      </c>
      <c r="V4" s="99">
        <f>IFERROR(_xll.qlRateHelperPillarDate(N4,Trigger),"--")</f>
        <v>42354</v>
      </c>
      <c r="X4" s="4" t="str">
        <f t="shared" si="0"/>
        <v>FUT</v>
      </c>
      <c r="Y4" s="4" t="str">
        <v>obj_005c8</v>
      </c>
      <c r="Z4" s="4" t="str">
        <v>obj_005c8</v>
      </c>
      <c r="AA4" s="4" t="str">
        <f>IFERROR(_xll.qlRateHelperQuoteName(Y4,Trigger),"")</f>
        <v>FEIU5_LCHQuote</v>
      </c>
      <c r="AB4" s="70">
        <f>IFERROR(_xll.qlRateHelperRate(Y4,Trigger),"")</f>
        <v>-3.5000000000007248E-4</v>
      </c>
      <c r="AC4" s="104">
        <f>IF(ISERROR(_xll.qlSwapRateHelperSpread($Y4)),IF(ISERROR(_xll.qlFuturesRateHelperConvexityAdjustment($Y4)),"",_xll.qlFuturesRateHelperConvexityAdjustment($Y4)),_xll.qlSwapRateHelperSpread($Y4))</f>
        <v>0</v>
      </c>
      <c r="AD4" s="5">
        <f>IFERROR(_xll.qlRateHelperEarliestDate(Y4,Trigger),"")</f>
        <v>42263</v>
      </c>
      <c r="AE4" s="5">
        <f>IFERROR(_xll.qlRateHelperPillarDate(Y4,Trigger),"")</f>
        <v>42354</v>
      </c>
      <c r="AF4" s="70">
        <v>-3.5200706621926482E-4</v>
      </c>
      <c r="AG4" s="77">
        <v>1.0001003835230355</v>
      </c>
      <c r="AH4" s="170">
        <v>42354</v>
      </c>
      <c r="AI4" s="171">
        <v>-3.5200706621915E-4</v>
      </c>
      <c r="AJ4" s="173">
        <f t="shared" si="1"/>
        <v>-1.1481701006621492E-16</v>
      </c>
      <c r="AK4" s="80">
        <v>1.0001022319349699</v>
      </c>
      <c r="AL4" s="162">
        <f t="shared" si="2"/>
        <v>1.8484119344019945E-6</v>
      </c>
      <c r="AN4" s="107" t="s">
        <v>87</v>
      </c>
      <c r="AO4" s="108">
        <v>0</v>
      </c>
    </row>
    <row r="5" spans="1:41" ht="11.25" customHeight="1" x14ac:dyDescent="0.2">
      <c r="A5" s="65" t="s">
        <v>9</v>
      </c>
      <c r="B5" s="65" t="s">
        <v>97</v>
      </c>
      <c r="C5" s="65" t="s">
        <v>33</v>
      </c>
      <c r="D5" s="65"/>
      <c r="E5" s="65" t="s">
        <v>147</v>
      </c>
      <c r="F5" s="65" t="s">
        <v>148</v>
      </c>
      <c r="G5" s="65" t="s">
        <v>4</v>
      </c>
      <c r="H5" s="65" t="s">
        <v>1</v>
      </c>
      <c r="I5" s="65" t="s">
        <v>96</v>
      </c>
      <c r="J5" s="65" t="s">
        <v>150</v>
      </c>
      <c r="K5" s="65" t="s">
        <v>151</v>
      </c>
      <c r="L5" s="48"/>
      <c r="M5" s="10" t="str">
        <f t="shared" si="3"/>
        <v>FUT</v>
      </c>
      <c r="N5" s="94" t="str">
        <f t="shared" si="4"/>
        <v>obj_00646#0005</v>
      </c>
      <c r="O5" s="94" t="str">
        <f t="shared" si="5"/>
        <v>obj_00646#0005</v>
      </c>
      <c r="P5" s="146" t="str">
        <f>IFERROR(_xll.qlRateHelperQuoteName(N5,Trigger),"--")</f>
        <v>FEIZ5_LCHQuote</v>
      </c>
      <c r="Q5" s="150">
        <f>IFERROR(_xll.qlRateHelperQuoteValue($N5,Trigger),"--")</f>
        <v>100.0354</v>
      </c>
      <c r="R5" s="97" t="b">
        <v>1</v>
      </c>
      <c r="S5" s="94">
        <v>20</v>
      </c>
      <c r="T5" s="94">
        <v>1</v>
      </c>
      <c r="U5" s="99">
        <f>IFERROR(_xll.qlRateHelperEarliestDate(N5,Trigger),"--")</f>
        <v>42354</v>
      </c>
      <c r="V5" s="99">
        <f>IFERROR(_xll.qlRateHelperPillarDate(N5,Trigger),"--")</f>
        <v>42445</v>
      </c>
      <c r="X5" s="4" t="str">
        <f t="shared" si="0"/>
        <v>FUT</v>
      </c>
      <c r="Y5" s="4" t="str">
        <v>obj_00646</v>
      </c>
      <c r="Z5" s="4" t="str">
        <v>obj_00646</v>
      </c>
      <c r="AA5" s="4" t="str">
        <f>IFERROR(_xll.qlRateHelperQuoteName(Y5,Trigger),"")</f>
        <v>FEIZ5_LCHQuote</v>
      </c>
      <c r="AB5" s="70">
        <f>IFERROR(_xll.qlRateHelperRate(Y5,Trigger),"")</f>
        <v>-3.5399999999996545E-4</v>
      </c>
      <c r="AC5" s="104">
        <f>IF(ISERROR(_xll.qlSwapRateHelperSpread($Y5)),IF(ISERROR(_xll.qlFuturesRateHelperConvexityAdjustment($Y5)),"",_xll.qlFuturesRateHelperConvexityAdjustment($Y5)),_xll.qlSwapRateHelperSpread($Y5))</f>
        <v>0</v>
      </c>
      <c r="AD5" s="5">
        <f>IFERROR(_xll.qlRateHelperEarliestDate(Y5,Trigger),"")</f>
        <v>42354</v>
      </c>
      <c r="AE5" s="5">
        <f>IFERROR(_xll.qlRateHelperPillarDate(Y5,Trigger),"")</f>
        <v>42445</v>
      </c>
      <c r="AF5" s="70">
        <v>-3.552062289327959E-4</v>
      </c>
      <c r="AG5" s="77">
        <v>1.0001898838478085</v>
      </c>
      <c r="AH5" s="170">
        <v>42445</v>
      </c>
      <c r="AI5" s="171">
        <v>-3.5520622892996998E-4</v>
      </c>
      <c r="AJ5" s="173">
        <f t="shared" si="1"/>
        <v>-2.825918752474843E-15</v>
      </c>
      <c r="AK5" s="80">
        <v>1.0001917324251599</v>
      </c>
      <c r="AL5" s="162">
        <f t="shared" si="2"/>
        <v>1.8485773514154147E-6</v>
      </c>
      <c r="AM5" s="80"/>
      <c r="AN5" s="107" t="s">
        <v>88</v>
      </c>
      <c r="AO5" s="108">
        <v>8</v>
      </c>
    </row>
    <row r="6" spans="1:41" ht="11.25" customHeight="1" x14ac:dyDescent="0.2">
      <c r="A6" s="59" t="s">
        <v>94</v>
      </c>
      <c r="B6" s="116" t="b">
        <v>1</v>
      </c>
      <c r="C6" s="62" t="str">
        <f>_xll.qlIMMNextCode(_xll.qlSettingsEvaluationDate(Trigger),B6,Trigger)</f>
        <v>U5</v>
      </c>
      <c r="D6" s="123"/>
      <c r="E6" s="157">
        <f>_xll.qlIMMdate(C6,,Trigger)</f>
        <v>42263</v>
      </c>
      <c r="F6" s="157">
        <f>_xll.qlIMMNextDate(E6,,Trigger)</f>
        <v>42354</v>
      </c>
      <c r="G6" s="61" t="str">
        <f t="shared" ref="G6:G17" si="6">PROPER(Currency)&amp;FamilyName&amp;Tenor</f>
        <v>Euribor3M</v>
      </c>
      <c r="H6" s="119" t="str">
        <f t="shared" ref="H6:H17" si="7">IF(LCHQuoteOverwrite,"FEI"&amp;$C6&amp;LCHQuoteSuffix,Currency&amp;"FUT"&amp;$G$1&amp;$C6&amp;QuoteSuffix)</f>
        <v>FEIU5_LCHQuote</v>
      </c>
      <c r="I6" s="125">
        <f t="shared" ref="I6:I17" si="8">IF(LCHQuoteOverwrite,0,Currency&amp;"FUT"&amp;$G$1&amp;$C6&amp;"ConvAdj"&amp;QuoteSuffix)</f>
        <v>0</v>
      </c>
      <c r="J6" s="64" t="str">
        <f>_xll.qlFuturesRateHelper(,$H6,$H$4,$E6,$G6,$I6,FALSE,"customdate",$F6,Permanent,Trigger,ObjectOverwrite)</f>
        <v>obj_005c8#0005</v>
      </c>
      <c r="K6" s="64" t="str">
        <f>J6</f>
        <v>obj_005c8#0005</v>
      </c>
      <c r="L6" s="48"/>
      <c r="M6" s="10" t="str">
        <f t="shared" si="3"/>
        <v>FUT</v>
      </c>
      <c r="N6" s="94" t="str">
        <f t="shared" si="4"/>
        <v>obj_00643#0005</v>
      </c>
      <c r="O6" s="94" t="str">
        <f t="shared" si="5"/>
        <v>obj_00643#0005</v>
      </c>
      <c r="P6" s="146" t="str">
        <f>IFERROR(_xll.qlRateHelperQuoteName(N6,Trigger),"--")</f>
        <v>FEIH6_LCHQuote</v>
      </c>
      <c r="Q6" s="150">
        <f>IFERROR(_xll.qlRateHelperQuoteValue($N6,Trigger),"--")</f>
        <v>100.03090011</v>
      </c>
      <c r="R6" s="97" t="b">
        <v>1</v>
      </c>
      <c r="S6" s="94">
        <v>20</v>
      </c>
      <c r="T6" s="94">
        <v>1</v>
      </c>
      <c r="U6" s="99">
        <f>IFERROR(_xll.qlRateHelperEarliestDate(N6,Trigger),"--")</f>
        <v>42445</v>
      </c>
      <c r="V6" s="99">
        <f>IFERROR(_xll.qlRateHelperPillarDate(N6,Trigger),"--")</f>
        <v>42536</v>
      </c>
      <c r="X6" s="4" t="str">
        <f t="shared" si="0"/>
        <v>FUT</v>
      </c>
      <c r="Y6" s="4" t="str">
        <v>obj_00643</v>
      </c>
      <c r="Z6" s="4" t="str">
        <v>obj_00643</v>
      </c>
      <c r="AA6" s="4" t="str">
        <f>IFERROR(_xll.qlRateHelperQuoteName(Y6,Trigger),"")</f>
        <v>FEIH6_LCHQuote</v>
      </c>
      <c r="AB6" s="70">
        <f>IFERROR(_xll.qlRateHelperRate(Y6,Trigger),"")</f>
        <v>-3.0900109999998371E-4</v>
      </c>
      <c r="AC6" s="104">
        <f>IF(ISERROR(_xll.qlSwapRateHelperSpread($Y6)),IF(ISERROR(_xll.qlFuturesRateHelperConvexityAdjustment($Y6)),"",_xll.qlFuturesRateHelperConvexityAdjustment($Y6)),_xll.qlSwapRateHelperSpread($Y6))</f>
        <v>0</v>
      </c>
      <c r="AD6" s="5">
        <f>IFERROR(_xll.qlRateHelperEarliestDate(Y6,Trigger),"")</f>
        <v>42445</v>
      </c>
      <c r="AE6" s="5">
        <f>IFERROR(_xll.qlRateHelperPillarDate(Y6,Trigger),"")</f>
        <v>42536</v>
      </c>
      <c r="AF6" s="70">
        <v>-3.4196665269364449E-4</v>
      </c>
      <c r="AG6" s="77">
        <v>1.0002680134268855</v>
      </c>
      <c r="AH6" s="170">
        <v>42536</v>
      </c>
      <c r="AI6" s="171">
        <v>-3.4196664852660999E-4</v>
      </c>
      <c r="AJ6" s="173">
        <f t="shared" si="1"/>
        <v>-4.1670345017445765E-12</v>
      </c>
      <c r="AK6" s="80">
        <v>1.0002698621453501</v>
      </c>
      <c r="AL6" s="162">
        <f t="shared" si="2"/>
        <v>1.8487184645366028E-6</v>
      </c>
      <c r="AN6" s="107" t="s">
        <v>89</v>
      </c>
      <c r="AO6" s="109" t="s">
        <v>90</v>
      </c>
    </row>
    <row r="7" spans="1:41" ht="11.25" customHeight="1" x14ac:dyDescent="0.2">
      <c r="A7" s="59" t="s">
        <v>94</v>
      </c>
      <c r="B7" s="116" t="b">
        <v>1</v>
      </c>
      <c r="C7" s="62" t="str">
        <f>_xll.qlIMMNextCode(C6,B7,Trigger)</f>
        <v>Z5</v>
      </c>
      <c r="D7" s="123"/>
      <c r="E7" s="157">
        <f>_xll.qlIMMdate(C7,,Trigger)</f>
        <v>42354</v>
      </c>
      <c r="F7" s="157">
        <f>_xll.qlIMMNextDate(E7,,Trigger)</f>
        <v>42445</v>
      </c>
      <c r="G7" s="61" t="str">
        <f t="shared" si="6"/>
        <v>Euribor3M</v>
      </c>
      <c r="H7" s="119" t="str">
        <f t="shared" si="7"/>
        <v>FEIZ5_LCHQuote</v>
      </c>
      <c r="I7" s="125">
        <f t="shared" si="8"/>
        <v>0</v>
      </c>
      <c r="J7" s="64" t="str">
        <f>_xll.qlFuturesRateHelper(,$H7,$H$4,$E7,$G7,$I7,FALSE,"customdate",$F7,Permanent,Trigger,ObjectOverwrite)</f>
        <v>obj_00646#0005</v>
      </c>
      <c r="K7" s="64" t="str">
        <f t="shared" ref="K7:K17" si="9">J7</f>
        <v>obj_00646#0005</v>
      </c>
      <c r="L7" s="48"/>
      <c r="M7" s="10" t="str">
        <f t="shared" si="3"/>
        <v>FUT</v>
      </c>
      <c r="N7" s="94" t="str">
        <f t="shared" si="4"/>
        <v>obj_00649#0005</v>
      </c>
      <c r="O7" s="94" t="str">
        <f t="shared" si="5"/>
        <v>obj_00649#0005</v>
      </c>
      <c r="P7" s="146" t="str">
        <f>IFERROR(_xll.qlRateHelperQuoteName(N7,Trigger),"--")</f>
        <v>FEIM6_LCHQuote</v>
      </c>
      <c r="Q7" s="150">
        <f>IFERROR(_xll.qlRateHelperQuoteValue($N7,Trigger),"--")</f>
        <v>100.02670000000001</v>
      </c>
      <c r="R7" s="97" t="b">
        <v>1</v>
      </c>
      <c r="S7" s="94">
        <v>20</v>
      </c>
      <c r="T7" s="94">
        <v>1</v>
      </c>
      <c r="U7" s="99">
        <f>IFERROR(_xll.qlRateHelperEarliestDate(N7,Trigger),"--")</f>
        <v>42536</v>
      </c>
      <c r="V7" s="99">
        <f>IFERROR(_xll.qlRateHelperPillarDate(N7,Trigger),"--")</f>
        <v>42634</v>
      </c>
      <c r="X7" s="4" t="str">
        <f t="shared" si="0"/>
        <v>FUT</v>
      </c>
      <c r="Y7" s="4" t="str">
        <v>obj_00649</v>
      </c>
      <c r="Z7" s="4" t="str">
        <v>obj_00649</v>
      </c>
      <c r="AA7" s="4" t="str">
        <f>IFERROR(_xll.qlRateHelperQuoteName(Y7,Trigger),"")</f>
        <v>FEIM6_LCHQuote</v>
      </c>
      <c r="AB7" s="70">
        <f>IFERROR(_xll.qlRateHelperRate(Y7,Trigger),"")</f>
        <v>-2.6700000000001722E-4</v>
      </c>
      <c r="AC7" s="104">
        <f>IF(ISERROR(_xll.qlSwapRateHelperSpread($Y7)),IF(ISERROR(_xll.qlFuturesRateHelperConvexityAdjustment($Y7)),"",_xll.qlFuturesRateHelperConvexityAdjustment($Y7)),_xll.qlSwapRateHelperSpread($Y7))</f>
        <v>0</v>
      </c>
      <c r="AD7" s="5">
        <f>IFERROR(_xll.qlRateHelperEarliestDate(Y7,Trigger),"")</f>
        <v>42536</v>
      </c>
      <c r="AE7" s="5">
        <f>IFERROR(_xll.qlRateHelperPillarDate(Y7,Trigger),"")</f>
        <v>42634</v>
      </c>
      <c r="AF7" s="70">
        <v>-3.238775071991512E-4</v>
      </c>
      <c r="AG7" s="77">
        <v>1.0003407213632043</v>
      </c>
      <c r="AH7" s="170">
        <v>42634</v>
      </c>
      <c r="AI7" s="171">
        <v>-3.2387750409026999E-4</v>
      </c>
      <c r="AJ7" s="173">
        <f t="shared" si="1"/>
        <v>-3.1088812080248829E-12</v>
      </c>
      <c r="AK7" s="80">
        <v>1.00034257021605</v>
      </c>
      <c r="AL7" s="162">
        <f t="shared" si="2"/>
        <v>1.8488528457094588E-6</v>
      </c>
    </row>
    <row r="8" spans="1:41" ht="11.25" customHeight="1" x14ac:dyDescent="0.2">
      <c r="A8" s="59" t="s">
        <v>94</v>
      </c>
      <c r="B8" s="116" t="b">
        <v>1</v>
      </c>
      <c r="C8" s="62" t="str">
        <f>_xll.qlIMMNextCode(C7,B8,Trigger)</f>
        <v>H6</v>
      </c>
      <c r="D8" s="123"/>
      <c r="E8" s="157">
        <f>_xll.qlIMMdate(C8,,Trigger)</f>
        <v>42445</v>
      </c>
      <c r="F8" s="157">
        <f>_xll.qlIMMNextDate(E8,,Trigger)</f>
        <v>42536</v>
      </c>
      <c r="G8" s="61" t="str">
        <f t="shared" si="6"/>
        <v>Euribor3M</v>
      </c>
      <c r="H8" s="119" t="str">
        <f t="shared" si="7"/>
        <v>FEIH6_LCHQuote</v>
      </c>
      <c r="I8" s="125">
        <f t="shared" si="8"/>
        <v>0</v>
      </c>
      <c r="J8" s="64" t="str">
        <f>_xll.qlFuturesRateHelper(,$H8,$H$4,$E8,$G8,$I8,FALSE,"customdate",$F8,Permanent,Trigger,ObjectOverwrite)</f>
        <v>obj_00643#0005</v>
      </c>
      <c r="K8" s="64" t="str">
        <f t="shared" si="9"/>
        <v>obj_00643#0005</v>
      </c>
      <c r="L8" s="48"/>
      <c r="M8" s="10" t="str">
        <f t="shared" si="3"/>
        <v>FUT</v>
      </c>
      <c r="N8" s="94" t="str">
        <f t="shared" si="4"/>
        <v>obj_0064d#0005</v>
      </c>
      <c r="O8" s="94" t="str">
        <f t="shared" si="5"/>
        <v>obj_0064d#0005</v>
      </c>
      <c r="P8" s="146" t="str">
        <f>IFERROR(_xll.qlRateHelperQuoteName(N8,Trigger),"--")</f>
        <v>FEIU6_LCHQuote</v>
      </c>
      <c r="Q8" s="150">
        <f>IFERROR(_xll.qlRateHelperQuoteValue($N8,Trigger),"--")</f>
        <v>100.0076</v>
      </c>
      <c r="R8" s="97" t="b">
        <v>1</v>
      </c>
      <c r="S8" s="94">
        <v>20</v>
      </c>
      <c r="T8" s="94">
        <v>1</v>
      </c>
      <c r="U8" s="99">
        <f>IFERROR(_xll.qlRateHelperEarliestDate(N8,Trigger),"--")</f>
        <v>42634</v>
      </c>
      <c r="V8" s="99">
        <f>IFERROR(_xll.qlRateHelperPillarDate(N8,Trigger),"--")</f>
        <v>42725</v>
      </c>
      <c r="X8" s="4" t="str">
        <f t="shared" si="0"/>
        <v>FUT</v>
      </c>
      <c r="Y8" s="4" t="str">
        <v>obj_0064d</v>
      </c>
      <c r="Z8" s="4" t="str">
        <v>obj_0064d</v>
      </c>
      <c r="AA8" s="4" t="str">
        <f>IFERROR(_xll.qlRateHelperQuoteName(Y8,Trigger),"")</f>
        <v>FEIU6_LCHQuote</v>
      </c>
      <c r="AB8" s="70">
        <f>IFERROR(_xll.qlRateHelperRate(Y8,Trigger),"")</f>
        <v>-7.5999999999964984E-5</v>
      </c>
      <c r="AC8" s="104">
        <f>IF(ISERROR(_xll.qlSwapRateHelperSpread($Y8)),IF(ISERROR(_xll.qlFuturesRateHelperConvexityAdjustment($Y8)),"",_xll.qlFuturesRateHelperConvexityAdjustment($Y8)),_xll.qlSwapRateHelperSpread($Y8))</f>
        <v>0</v>
      </c>
      <c r="AD8" s="5">
        <f>IFERROR(_xll.qlRateHelperEarliestDate(Y8,Trigger),"")</f>
        <v>42634</v>
      </c>
      <c r="AE8" s="5">
        <f>IFERROR(_xll.qlRateHelperPillarDate(Y8,Trigger),"")</f>
        <v>42725</v>
      </c>
      <c r="AF8" s="70">
        <v>-2.7679002241285386E-4</v>
      </c>
      <c r="AG8" s="77">
        <v>1.0003599393891509</v>
      </c>
      <c r="AH8" s="170">
        <v>42725</v>
      </c>
      <c r="AI8" s="171">
        <v>-2.7679001989501002E-4</v>
      </c>
      <c r="AJ8" s="173">
        <f t="shared" si="1"/>
        <v>-2.5178438435753681E-12</v>
      </c>
      <c r="AK8" s="80">
        <v>1.00036178827752</v>
      </c>
      <c r="AL8" s="162">
        <f t="shared" si="2"/>
        <v>1.8488883690714886E-6</v>
      </c>
    </row>
    <row r="9" spans="1:41" ht="11.25" customHeight="1" x14ac:dyDescent="0.2">
      <c r="A9" s="59" t="s">
        <v>94</v>
      </c>
      <c r="B9" s="116" t="b">
        <v>1</v>
      </c>
      <c r="C9" s="62" t="str">
        <f>_xll.qlIMMNextCode(C8,B9,Trigger)</f>
        <v>M6</v>
      </c>
      <c r="D9" s="123"/>
      <c r="E9" s="157">
        <f>_xll.qlIMMdate(C9,,Trigger)</f>
        <v>42536</v>
      </c>
      <c r="F9" s="157">
        <f>_xll.qlIMMNextDate(E9,,Trigger)</f>
        <v>42634</v>
      </c>
      <c r="G9" s="61" t="str">
        <f t="shared" si="6"/>
        <v>Euribor3M</v>
      </c>
      <c r="H9" s="119" t="str">
        <f t="shared" si="7"/>
        <v>FEIM6_LCHQuote</v>
      </c>
      <c r="I9" s="125">
        <f t="shared" si="8"/>
        <v>0</v>
      </c>
      <c r="J9" s="64" t="str">
        <f>_xll.qlFuturesRateHelper(,$H9,$H$4,$E9,$G9,$I9,FALSE,"customdate",$F9,Permanent,Trigger,ObjectOverwrite)</f>
        <v>obj_00649#0005</v>
      </c>
      <c r="K9" s="64" t="str">
        <f t="shared" si="9"/>
        <v>obj_00649#0005</v>
      </c>
      <c r="L9" s="48"/>
      <c r="M9" s="10" t="str">
        <f t="shared" si="3"/>
        <v>FUT</v>
      </c>
      <c r="N9" s="94" t="str">
        <f t="shared" si="4"/>
        <v>obj_0064b#0005</v>
      </c>
      <c r="O9" s="94" t="str">
        <f t="shared" si="5"/>
        <v>obj_0064b#0005</v>
      </c>
      <c r="P9" s="146" t="str">
        <f>IFERROR(_xll.qlRateHelperQuoteName(N9,Trigger),"--")</f>
        <v>FEIZ6_LCHQuote</v>
      </c>
      <c r="Q9" s="150">
        <f>IFERROR(_xll.qlRateHelperQuoteValue($N9,Trigger),"--")</f>
        <v>99.973698650000003</v>
      </c>
      <c r="R9" s="97" t="b">
        <v>1</v>
      </c>
      <c r="S9" s="94">
        <v>20</v>
      </c>
      <c r="T9" s="94">
        <v>1</v>
      </c>
      <c r="U9" s="99">
        <f>IFERROR(_xll.qlRateHelperEarliestDate(N9,Trigger),"--")</f>
        <v>42725</v>
      </c>
      <c r="V9" s="99">
        <f>IFERROR(_xll.qlRateHelperPillarDate(N9,Trigger),"--")</f>
        <v>42809</v>
      </c>
      <c r="X9" s="4" t="str">
        <f t="shared" si="0"/>
        <v>FUT</v>
      </c>
      <c r="Y9" s="4" t="str">
        <v>obj_0064b</v>
      </c>
      <c r="Z9" s="4" t="str">
        <v>obj_0064b</v>
      </c>
      <c r="AA9" s="4" t="str">
        <f>IFERROR(_xll.qlRateHelperQuoteName(Y9,Trigger),"")</f>
        <v>FEIZ6_LCHQuote</v>
      </c>
      <c r="AB9" s="70">
        <f>IFERROR(_xll.qlRateHelperRate(Y9,Trigger),"")</f>
        <v>2.6301350000002E-4</v>
      </c>
      <c r="AC9" s="104">
        <f>IF(ISERROR(_xll.qlSwapRateHelperSpread($Y9)),IF(ISERROR(_xll.qlFuturesRateHelperConvexityAdjustment($Y9)),"",_xll.qlFuturesRateHelperConvexityAdjustment($Y9)),_xll.qlSwapRateHelperSpread($Y9))</f>
        <v>0</v>
      </c>
      <c r="AD9" s="5">
        <f>IFERROR(_xll.qlRateHelperEarliestDate(Y9,Trigger),"")</f>
        <v>42725</v>
      </c>
      <c r="AE9" s="5">
        <f>IFERROR(_xll.qlRateHelperPillarDate(Y9,Trigger),"")</f>
        <v>42809</v>
      </c>
      <c r="AF9" s="70">
        <v>-1.9541817115528937E-4</v>
      </c>
      <c r="AG9" s="77">
        <v>1.0002985513849865</v>
      </c>
      <c r="AH9" s="170">
        <v>42809</v>
      </c>
      <c r="AI9" s="171">
        <v>-1.9541817204057999E-4</v>
      </c>
      <c r="AJ9" s="173">
        <f t="shared" si="1"/>
        <v>8.8529062010865578E-13</v>
      </c>
      <c r="AK9" s="80">
        <v>1.0003004001645599</v>
      </c>
      <c r="AL9" s="162">
        <f t="shared" si="2"/>
        <v>1.8487795734323242E-6</v>
      </c>
    </row>
    <row r="10" spans="1:41" ht="11.25" customHeight="1" x14ac:dyDescent="0.2">
      <c r="A10" s="59" t="s">
        <v>94</v>
      </c>
      <c r="B10" s="116" t="b">
        <v>1</v>
      </c>
      <c r="C10" s="62" t="str">
        <f>_xll.qlIMMNextCode(C9,B10,Trigger)</f>
        <v>U6</v>
      </c>
      <c r="D10" s="123"/>
      <c r="E10" s="157">
        <f>_xll.qlIMMdate(C10,,Trigger)</f>
        <v>42634</v>
      </c>
      <c r="F10" s="157">
        <f>_xll.qlIMMNextDate(E10,,Trigger)</f>
        <v>42725</v>
      </c>
      <c r="G10" s="61" t="str">
        <f t="shared" si="6"/>
        <v>Euribor3M</v>
      </c>
      <c r="H10" s="119" t="str">
        <f t="shared" si="7"/>
        <v>FEIU6_LCHQuote</v>
      </c>
      <c r="I10" s="125">
        <f t="shared" si="8"/>
        <v>0</v>
      </c>
      <c r="J10" s="64" t="str">
        <f>_xll.qlFuturesRateHelper(,$H10,$H$4,$E10,$G10,$I10,FALSE,"customdate",$F10,Permanent,Trigger,ObjectOverwrite)</f>
        <v>obj_0064d#0005</v>
      </c>
      <c r="K10" s="64" t="str">
        <f t="shared" si="9"/>
        <v>obj_0064d#0005</v>
      </c>
      <c r="L10" s="48"/>
      <c r="M10" s="10" t="str">
        <f t="shared" si="3"/>
        <v>FUT</v>
      </c>
      <c r="N10" s="94" t="str">
        <f t="shared" si="4"/>
        <v>obj_00648#0005</v>
      </c>
      <c r="O10" s="94" t="str">
        <f t="shared" si="5"/>
        <v>obj_00648#0005</v>
      </c>
      <c r="P10" s="146" t="str">
        <f>IFERROR(_xll.qlRateHelperQuoteName(N10,Trigger),"--")</f>
        <v>FEIH7_LCHQuote</v>
      </c>
      <c r="Q10" s="150">
        <f>IFERROR(_xll.qlRateHelperQuoteValue($N10,Trigger),"--")</f>
        <v>99.935001150000005</v>
      </c>
      <c r="R10" s="97" t="b">
        <v>1</v>
      </c>
      <c r="S10" s="94">
        <v>20</v>
      </c>
      <c r="T10" s="94">
        <v>1</v>
      </c>
      <c r="U10" s="99">
        <f>IFERROR(_xll.qlRateHelperEarliestDate(N10,Trigger),"--")</f>
        <v>42809</v>
      </c>
      <c r="V10" s="99">
        <f>IFERROR(_xll.qlRateHelperPillarDate(N10,Trigger),"--")</f>
        <v>42907</v>
      </c>
      <c r="X10" s="4" t="str">
        <f t="shared" si="0"/>
        <v>FUT</v>
      </c>
      <c r="Y10" s="4" t="str">
        <v>obj_00648</v>
      </c>
      <c r="Z10" s="4" t="str">
        <v>obj_00648</v>
      </c>
      <c r="AA10" s="4" t="str">
        <f>IFERROR(_xll.qlRateHelperQuoteName(Y10,Trigger),"")</f>
        <v>FEIH7_LCHQuote</v>
      </c>
      <c r="AB10" s="70">
        <f>IFERROR(_xll.qlRateHelperRate(Y10,Trigger),"")</f>
        <v>6.499884999999761E-4</v>
      </c>
      <c r="AC10" s="104">
        <f>IF(ISERROR(_xll.qlSwapRateHelperSpread($Y10)),IF(ISERROR(_xll.qlFuturesRateHelperConvexityAdjustment($Y10)),"",_xll.qlFuturesRateHelperConvexityAdjustment($Y10)),_xll.qlSwapRateHelperSpread($Y10))</f>
        <v>0</v>
      </c>
      <c r="AD10" s="5">
        <f>IFERROR(_xll.qlRateHelperEarliestDate(Y10,Trigger),"")</f>
        <v>42809</v>
      </c>
      <c r="AE10" s="5">
        <f>IFERROR(_xll.qlRateHelperPillarDate(Y10,Trigger),"")</f>
        <v>42907</v>
      </c>
      <c r="AF10" s="70">
        <v>-6.8363243989771295E-5</v>
      </c>
      <c r="AG10" s="77">
        <v>1.0001215875987459</v>
      </c>
      <c r="AH10" s="170">
        <v>42907</v>
      </c>
      <c r="AI10" s="171">
        <v>-6.8363240214359996E-5</v>
      </c>
      <c r="AJ10" s="173">
        <f t="shared" si="1"/>
        <v>-3.7754112986940203E-12</v>
      </c>
      <c r="AK10" s="80">
        <v>1.00012343604308</v>
      </c>
      <c r="AL10" s="162">
        <f t="shared" si="2"/>
        <v>1.8484443340405221E-6</v>
      </c>
    </row>
    <row r="11" spans="1:41" ht="11.25" customHeight="1" x14ac:dyDescent="0.2">
      <c r="A11" s="59" t="s">
        <v>94</v>
      </c>
      <c r="B11" s="116" t="b">
        <v>1</v>
      </c>
      <c r="C11" s="62" t="str">
        <f>_xll.qlIMMNextCode(C10,B11,Trigger)</f>
        <v>Z6</v>
      </c>
      <c r="D11" s="123"/>
      <c r="E11" s="157">
        <f>_xll.qlIMMdate(C11,,Trigger)</f>
        <v>42725</v>
      </c>
      <c r="F11" s="157">
        <f>_xll.qlIMMNextDate(E11,,Trigger)</f>
        <v>42809</v>
      </c>
      <c r="G11" s="61" t="str">
        <f t="shared" si="6"/>
        <v>Euribor3M</v>
      </c>
      <c r="H11" s="119" t="str">
        <f t="shared" si="7"/>
        <v>FEIZ6_LCHQuote</v>
      </c>
      <c r="I11" s="125">
        <f t="shared" si="8"/>
        <v>0</v>
      </c>
      <c r="J11" s="64" t="str">
        <f>_xll.qlFuturesRateHelper(,$H11,$H$4,$E11,$G11,$I11,FALSE,"customdate",$F11,Permanent,Trigger,ObjectOverwrite)</f>
        <v>obj_0064b#0005</v>
      </c>
      <c r="K11" s="64" t="str">
        <f t="shared" si="9"/>
        <v>obj_0064b#0005</v>
      </c>
      <c r="L11" s="48"/>
      <c r="M11" s="10" t="str">
        <f t="shared" si="3"/>
        <v>FUT</v>
      </c>
      <c r="N11" s="94" t="str">
        <f t="shared" si="4"/>
        <v>obj_00645#0005</v>
      </c>
      <c r="O11" s="94" t="str">
        <f t="shared" si="5"/>
        <v>obj_00645#0005</v>
      </c>
      <c r="P11" s="146" t="str">
        <f>IFERROR(_xll.qlRateHelperQuoteName(N11,Trigger),"--")</f>
        <v>FEIM7_LCHQuote</v>
      </c>
      <c r="Q11" s="150">
        <f>IFERROR(_xll.qlRateHelperQuoteValue($N11,Trigger),"--")</f>
        <v>99.891500780000001</v>
      </c>
      <c r="R11" s="97" t="b">
        <v>1</v>
      </c>
      <c r="S11" s="94">
        <v>20</v>
      </c>
      <c r="T11" s="94">
        <v>1</v>
      </c>
      <c r="U11" s="99">
        <f>IFERROR(_xll.qlRateHelperEarliestDate(N11,Trigger),"--")</f>
        <v>42907</v>
      </c>
      <c r="V11" s="99">
        <f>IFERROR(_xll.qlRateHelperPillarDate(N11,Trigger),"--")</f>
        <v>42998</v>
      </c>
      <c r="X11" s="4" t="str">
        <f t="shared" si="0"/>
        <v>FUT</v>
      </c>
      <c r="Y11" s="4" t="str">
        <v>obj_00645</v>
      </c>
      <c r="Z11" s="4" t="str">
        <v>obj_00645</v>
      </c>
      <c r="AA11" s="4" t="str">
        <f>IFERROR(_xll.qlRateHelperQuoteName(Y11,Trigger),"")</f>
        <v>FEIM7_LCHQuote</v>
      </c>
      <c r="AB11" s="70">
        <f>IFERROR(_xll.qlRateHelperRate(Y11,Trigger),"")</f>
        <v>1.0849922000000234E-3</v>
      </c>
      <c r="AC11" s="104">
        <f>IF(ISERROR(_xll.qlSwapRateHelperSpread($Y11)),IF(ISERROR(_xll.qlFuturesRateHelperConvexityAdjustment($Y11)),"",_xll.qlFuturesRateHelperConvexityAdjustment($Y11)),_xll.qlSwapRateHelperSpread($Y11))</f>
        <v>0</v>
      </c>
      <c r="AD11" s="5">
        <f>IFERROR(_xll.qlRateHelperEarliestDate(Y11,Trigger),"")</f>
        <v>42907</v>
      </c>
      <c r="AE11" s="5">
        <f>IFERROR(_xll.qlRateHelperPillarDate(Y11,Trigger),"")</f>
        <v>42998</v>
      </c>
      <c r="AF11" s="70">
        <v>7.3387128170944704E-5</v>
      </c>
      <c r="AG11" s="77">
        <v>0.99984736795587359</v>
      </c>
      <c r="AH11" s="170">
        <v>42998</v>
      </c>
      <c r="AI11" s="171">
        <v>7.338712669739E-5</v>
      </c>
      <c r="AJ11" s="173">
        <f t="shared" si="1"/>
        <v>1.4735547038211699E-12</v>
      </c>
      <c r="AK11" s="80">
        <v>0.99984921590324805</v>
      </c>
      <c r="AL11" s="162">
        <f t="shared" si="2"/>
        <v>1.8479473744559272E-6</v>
      </c>
    </row>
    <row r="12" spans="1:41" ht="11.25" customHeight="1" x14ac:dyDescent="0.2">
      <c r="A12" s="59" t="s">
        <v>94</v>
      </c>
      <c r="B12" s="116" t="b">
        <v>1</v>
      </c>
      <c r="C12" s="62" t="str">
        <f>_xll.qlIMMNextCode(C11,B12,Trigger)</f>
        <v>H7</v>
      </c>
      <c r="D12" s="123"/>
      <c r="E12" s="157">
        <f>_xll.qlIMMdate(C12,,Trigger)</f>
        <v>42809</v>
      </c>
      <c r="F12" s="157">
        <f>_xll.qlIMMNextDate(E12,,Trigger)</f>
        <v>42907</v>
      </c>
      <c r="G12" s="61" t="str">
        <f t="shared" si="6"/>
        <v>Euribor3M</v>
      </c>
      <c r="H12" s="119" t="str">
        <f t="shared" si="7"/>
        <v>FEIH7_LCHQuote</v>
      </c>
      <c r="I12" s="125">
        <f t="shared" si="8"/>
        <v>0</v>
      </c>
      <c r="J12" s="64" t="str">
        <f>_xll.qlFuturesRateHelper(,$H12,$H$4,$E12,$G12,$I12,FALSE,"customdate",$F12,Permanent,Trigger,ObjectOverwrite)</f>
        <v>obj_00648#0005</v>
      </c>
      <c r="K12" s="64" t="str">
        <f t="shared" si="9"/>
        <v>obj_00648#0005</v>
      </c>
      <c r="L12" s="48" t="s">
        <v>36</v>
      </c>
      <c r="M12" s="10" t="str">
        <f t="shared" si="3"/>
        <v>FUT</v>
      </c>
      <c r="N12" s="94" t="str">
        <f t="shared" si="4"/>
        <v>obj_0064c#0005</v>
      </c>
      <c r="O12" s="94" t="str">
        <f t="shared" si="5"/>
        <v>obj_0064c#0005</v>
      </c>
      <c r="P12" s="146" t="str">
        <f>IFERROR(_xll.qlRateHelperQuoteName(N12,Trigger),"--")</f>
        <v>FEIU7_LCHQuote</v>
      </c>
      <c r="Q12" s="150">
        <f>IFERROR(_xll.qlRateHelperQuoteValue($N12,Trigger),"--")</f>
        <v>99.838099999999997</v>
      </c>
      <c r="R12" s="97" t="b">
        <v>1</v>
      </c>
      <c r="S12" s="94">
        <v>20</v>
      </c>
      <c r="T12" s="94">
        <v>1</v>
      </c>
      <c r="U12" s="99">
        <f>IFERROR(_xll.qlRateHelperEarliestDate(N12,Trigger),"--")</f>
        <v>42998</v>
      </c>
      <c r="V12" s="99">
        <f>IFERROR(_xll.qlRateHelperPillarDate(N12,Trigger),"--")</f>
        <v>43089</v>
      </c>
      <c r="X12" s="4" t="str">
        <f t="shared" si="0"/>
        <v>FUT</v>
      </c>
      <c r="Y12" s="4" t="str">
        <v>obj_0064c</v>
      </c>
      <c r="Z12" s="4" t="str">
        <v>obj_0064c</v>
      </c>
      <c r="AA12" s="4" t="str">
        <f>IFERROR(_xll.qlRateHelperQuoteName(Y12,Trigger),"")</f>
        <v>FEIU7_LCHQuote</v>
      </c>
      <c r="AB12" s="70">
        <f>IFERROR(_xll.qlRateHelperRate(Y12,Trigger),"")</f>
        <v>1.6190000000000371E-3</v>
      </c>
      <c r="AC12" s="104">
        <f>IF(ISERROR(_xll.qlSwapRateHelperSpread($Y12)),IF(ISERROR(_xll.qlFuturesRateHelperConvexityAdjustment($Y12)),"",_xll.qlFuturesRateHelperConvexityAdjustment($Y12)),_xll.qlSwapRateHelperSpread($Y12))</f>
        <v>0</v>
      </c>
      <c r="AD12" s="5">
        <f>IFERROR(_xll.qlRateHelperEarliestDate(Y12,Trigger),"")</f>
        <v>42998</v>
      </c>
      <c r="AE12" s="5">
        <f>IFERROR(_xll.qlRateHelperPillarDate(Y12,Trigger),"")</f>
        <v>43089</v>
      </c>
      <c r="AF12" s="70">
        <v>2.4302618889966238E-4</v>
      </c>
      <c r="AG12" s="77">
        <v>0.99943835058711339</v>
      </c>
      <c r="AH12" s="170">
        <v>43089</v>
      </c>
      <c r="AI12" s="171">
        <v>2.4302618759890001E-4</v>
      </c>
      <c r="AJ12" s="173">
        <f t="shared" si="1"/>
        <v>1.3007623678260721E-12</v>
      </c>
      <c r="AK12" s="80">
        <v>0.99944019777852999</v>
      </c>
      <c r="AL12" s="162">
        <f t="shared" si="2"/>
        <v>1.8471914166040548E-6</v>
      </c>
    </row>
    <row r="13" spans="1:41" ht="11.25" customHeight="1" x14ac:dyDescent="0.2">
      <c r="A13" s="59" t="s">
        <v>94</v>
      </c>
      <c r="B13" s="116" t="b">
        <v>1</v>
      </c>
      <c r="C13" s="62" t="str">
        <f>_xll.qlIMMNextCode(C12,B13,Trigger)</f>
        <v>M7</v>
      </c>
      <c r="D13" s="123"/>
      <c r="E13" s="157">
        <f>_xll.qlIMMdate(C13,,Trigger)</f>
        <v>42907</v>
      </c>
      <c r="F13" s="157">
        <f>_xll.qlIMMNextDate(E13,,Trigger)</f>
        <v>42998</v>
      </c>
      <c r="G13" s="61" t="str">
        <f t="shared" si="6"/>
        <v>Euribor3M</v>
      </c>
      <c r="H13" s="119" t="str">
        <f t="shared" si="7"/>
        <v>FEIM7_LCHQuote</v>
      </c>
      <c r="I13" s="125">
        <f t="shared" si="8"/>
        <v>0</v>
      </c>
      <c r="J13" s="64" t="str">
        <f>_xll.qlFuturesRateHelper(,$H13,$H$4,$E13,$G13,$I13,FALSE,"customdate",$F13,Permanent,Trigger,ObjectOverwrite)</f>
        <v>obj_00645#0005</v>
      </c>
      <c r="K13" s="64" t="str">
        <f t="shared" si="9"/>
        <v>obj_00645#0005</v>
      </c>
      <c r="L13" s="48"/>
      <c r="M13" s="10" t="str">
        <f t="shared" si="3"/>
        <v>FUT</v>
      </c>
      <c r="N13" s="94" t="str">
        <f t="shared" si="4"/>
        <v>obj_0064a#0005</v>
      </c>
      <c r="O13" s="94" t="str">
        <f t="shared" si="5"/>
        <v>obj_0064a#0005</v>
      </c>
      <c r="P13" s="146" t="str">
        <f>IFERROR(_xll.qlRateHelperQuoteName(N13,Trigger),"--")</f>
        <v>FEIZ7_LCHQuote</v>
      </c>
      <c r="Q13" s="150">
        <f>IFERROR(_xll.qlRateHelperQuoteValue($N13,Trigger),"--")</f>
        <v>99.779899999999998</v>
      </c>
      <c r="R13" s="97" t="b">
        <v>1</v>
      </c>
      <c r="S13" s="94">
        <v>20</v>
      </c>
      <c r="T13" s="94">
        <v>1</v>
      </c>
      <c r="U13" s="99">
        <f>IFERROR(_xll.qlRateHelperEarliestDate(N13,Trigger),"--")</f>
        <v>43089</v>
      </c>
      <c r="V13" s="99">
        <f>IFERROR(_xll.qlRateHelperPillarDate(N13,Trigger),"--")</f>
        <v>43180</v>
      </c>
      <c r="X13" s="4" t="str">
        <f t="shared" si="0"/>
        <v>FUT</v>
      </c>
      <c r="Y13" s="4" t="str">
        <v>obj_0064a</v>
      </c>
      <c r="Z13" s="4" t="str">
        <v>obj_0064a</v>
      </c>
      <c r="AA13" s="4" t="str">
        <f>IFERROR(_xll.qlRateHelperQuoteName(Y13,Trigger),"")</f>
        <v>FEIZ7_LCHQuote</v>
      </c>
      <c r="AB13" s="70">
        <f>IFERROR(_xll.qlRateHelperRate(Y13,Trigger),"")</f>
        <v>2.2010000000000085E-3</v>
      </c>
      <c r="AC13" s="104">
        <f>IF(ISERROR(_xll.qlSwapRateHelperSpread($Y13)),IF(ISERROR(_xll.qlFuturesRateHelperConvexityAdjustment($Y13)),"",_xll.qlFuturesRateHelperConvexityAdjustment($Y13)),_xll.qlSwapRateHelperSpread($Y13))</f>
        <v>0</v>
      </c>
      <c r="AD13" s="5">
        <f>IFERROR(_xll.qlRateHelperEarliestDate(Y13,Trigger),"")</f>
        <v>43089</v>
      </c>
      <c r="AE13" s="5">
        <f>IFERROR(_xll.qlRateHelperPillarDate(Y13,Trigger),"")</f>
        <v>43180</v>
      </c>
      <c r="AF13" s="70">
        <v>4.3712660340646122E-4</v>
      </c>
      <c r="AG13" s="77">
        <v>0.99888260667695417</v>
      </c>
      <c r="AH13" s="170">
        <v>43180</v>
      </c>
      <c r="AI13" s="171">
        <v>4.3712660224504997E-4</v>
      </c>
      <c r="AJ13" s="173">
        <f t="shared" si="1"/>
        <v>1.1614112449542802E-12</v>
      </c>
      <c r="AK13" s="80">
        <v>0.99888445284122795</v>
      </c>
      <c r="AL13" s="162">
        <f t="shared" si="2"/>
        <v>1.8461642737888084E-6</v>
      </c>
    </row>
    <row r="14" spans="1:41" ht="11.25" customHeight="1" x14ac:dyDescent="0.2">
      <c r="A14" s="59" t="s">
        <v>94</v>
      </c>
      <c r="B14" s="116" t="b">
        <v>1</v>
      </c>
      <c r="C14" s="62" t="str">
        <f>_xll.qlIMMNextCode(C13,B14,Trigger)</f>
        <v>U7</v>
      </c>
      <c r="D14" s="123"/>
      <c r="E14" s="157">
        <f>_xll.qlIMMdate(C14,,Trigger)</f>
        <v>42998</v>
      </c>
      <c r="F14" s="157">
        <f>_xll.qlIMMNextDate(E14,,Trigger)</f>
        <v>43089</v>
      </c>
      <c r="G14" s="61" t="str">
        <f t="shared" si="6"/>
        <v>Euribor3M</v>
      </c>
      <c r="H14" s="119" t="str">
        <f t="shared" si="7"/>
        <v>FEIU7_LCHQuote</v>
      </c>
      <c r="I14" s="125">
        <f t="shared" si="8"/>
        <v>0</v>
      </c>
      <c r="J14" s="64" t="str">
        <f>_xll.qlFuturesRateHelper(,$H14,$H$4,$E14,$G14,$I14,FALSE,"customdate",$F14,Permanent,Trigger,ObjectOverwrite)</f>
        <v>obj_0064c#0005</v>
      </c>
      <c r="K14" s="64" t="str">
        <f t="shared" si="9"/>
        <v>obj_0064c#0005</v>
      </c>
      <c r="L14" s="48"/>
      <c r="M14" s="10" t="str">
        <f t="shared" si="3"/>
        <v>FUT</v>
      </c>
      <c r="N14" s="94" t="str">
        <f t="shared" si="4"/>
        <v>obj_00647#0005</v>
      </c>
      <c r="O14" s="94" t="str">
        <f t="shared" si="5"/>
        <v>obj_00647#0005</v>
      </c>
      <c r="P14" s="146" t="str">
        <f>IFERROR(_xll.qlRateHelperQuoteName(N14,Trigger),"--")</f>
        <v>FEIH8_LCHQuote</v>
      </c>
      <c r="Q14" s="150">
        <f>IFERROR(_xll.qlRateHelperQuoteValue($N14,Trigger),"--")</f>
        <v>99.706800000000001</v>
      </c>
      <c r="R14" s="97" t="b">
        <v>1</v>
      </c>
      <c r="S14" s="94">
        <v>20</v>
      </c>
      <c r="T14" s="94">
        <v>1</v>
      </c>
      <c r="U14" s="99">
        <f>IFERROR(_xll.qlRateHelperEarliestDate(N14,Trigger),"--")</f>
        <v>43180</v>
      </c>
      <c r="V14" s="99">
        <f>IFERROR(_xll.qlRateHelperPillarDate(N14,Trigger),"--")</f>
        <v>43271</v>
      </c>
      <c r="X14" s="4" t="str">
        <f t="shared" si="0"/>
        <v>FUT</v>
      </c>
      <c r="Y14" s="4" t="str">
        <v>obj_00647</v>
      </c>
      <c r="Z14" s="4" t="str">
        <v>obj_00647</v>
      </c>
      <c r="AA14" s="4" t="str">
        <f>IFERROR(_xll.qlRateHelperQuoteName(Y14,Trigger),"")</f>
        <v>FEIH8_LCHQuote</v>
      </c>
      <c r="AB14" s="70">
        <f>IFERROR(_xll.qlRateHelperRate(Y14,Trigger),"")</f>
        <v>2.9319999999999347E-3</v>
      </c>
      <c r="AC14" s="104">
        <f>IF(ISERROR(_xll.qlSwapRateHelperSpread($Y14)),IF(ISERROR(_xll.qlFuturesRateHelperConvexityAdjustment($Y14)),"",_xll.qlFuturesRateHelperConvexityAdjustment($Y14)),_xll.qlSwapRateHelperSpread($Y14))</f>
        <v>0</v>
      </c>
      <c r="AD14" s="5">
        <f>IFERROR(_xll.qlRateHelperEarliestDate(Y14,Trigger),"")</f>
        <v>43180</v>
      </c>
      <c r="AE14" s="5">
        <f>IFERROR(_xll.qlRateHelperPillarDate(Y14,Trigger),"")</f>
        <v>43271</v>
      </c>
      <c r="AF14" s="70">
        <v>6.6257909989677027E-4</v>
      </c>
      <c r="AG14" s="77">
        <v>0.99814284166683009</v>
      </c>
      <c r="AH14" s="170">
        <v>43271</v>
      </c>
      <c r="AI14" s="171">
        <v>6.6257909887618995E-4</v>
      </c>
      <c r="AJ14" s="173">
        <f t="shared" si="1"/>
        <v>1.020580321642317E-12</v>
      </c>
      <c r="AK14" s="80">
        <v>0.99814468646384902</v>
      </c>
      <c r="AL14" s="162">
        <f t="shared" si="2"/>
        <v>1.8447970189239271E-6</v>
      </c>
    </row>
    <row r="15" spans="1:41" ht="11.25" customHeight="1" x14ac:dyDescent="0.2">
      <c r="A15" s="59" t="s">
        <v>94</v>
      </c>
      <c r="B15" s="116" t="b">
        <v>1</v>
      </c>
      <c r="C15" s="62" t="str">
        <f>_xll.qlIMMNextCode(C14,B15,Trigger)</f>
        <v>Z7</v>
      </c>
      <c r="D15" s="123"/>
      <c r="E15" s="157">
        <f>_xll.qlIMMdate(C15,,Trigger)</f>
        <v>43089</v>
      </c>
      <c r="F15" s="157">
        <f>_xll.qlIMMNextDate(E15,,Trigger)</f>
        <v>43180</v>
      </c>
      <c r="G15" s="61" t="str">
        <f t="shared" si="6"/>
        <v>Euribor3M</v>
      </c>
      <c r="H15" s="119" t="str">
        <f t="shared" si="7"/>
        <v>FEIZ7_LCHQuote</v>
      </c>
      <c r="I15" s="125">
        <f t="shared" si="8"/>
        <v>0</v>
      </c>
      <c r="J15" s="64" t="str">
        <f>_xll.qlFuturesRateHelper(,$H15,$H$4,$E15,$G15,$I15,FALSE,"customdate",$F15,Permanent,Trigger,ObjectOverwrite)</f>
        <v>obj_0064a#0005</v>
      </c>
      <c r="K15" s="64" t="str">
        <f t="shared" si="9"/>
        <v>obj_0064a#0005</v>
      </c>
      <c r="L15" s="48"/>
      <c r="M15" s="11" t="str">
        <f t="shared" si="3"/>
        <v>FUT</v>
      </c>
      <c r="N15" s="95" t="str">
        <f t="shared" si="4"/>
        <v>obj_00644#0005</v>
      </c>
      <c r="O15" s="95" t="str">
        <f t="shared" si="5"/>
        <v>obj_00644#0005</v>
      </c>
      <c r="P15" s="147" t="str">
        <f>IFERROR(_xll.qlRateHelperQuoteName(N15,Trigger),"--")</f>
        <v>FEIM8_LCHQuote</v>
      </c>
      <c r="Q15" s="151">
        <f>IFERROR(_xll.qlRateHelperQuoteValue($N15,Trigger),"--")</f>
        <v>99.628900000000002</v>
      </c>
      <c r="R15" s="100" t="b">
        <v>1</v>
      </c>
      <c r="S15" s="95">
        <v>20</v>
      </c>
      <c r="T15" s="95">
        <v>1</v>
      </c>
      <c r="U15" s="102">
        <f>IFERROR(_xll.qlRateHelperEarliestDate(N15,Trigger),"--")</f>
        <v>43271</v>
      </c>
      <c r="V15" s="102">
        <f>IFERROR(_xll.qlRateHelperPillarDate(N15,Trigger),"--")</f>
        <v>43362</v>
      </c>
      <c r="X15" s="4" t="str">
        <f t="shared" si="0"/>
        <v>FUT</v>
      </c>
      <c r="Y15" s="4" t="str">
        <v>obj_00644</v>
      </c>
      <c r="Z15" s="4" t="str">
        <v>obj_00644</v>
      </c>
      <c r="AA15" s="4" t="str">
        <f>IFERROR(_xll.qlRateHelperQuoteName(Y15,Trigger),"")</f>
        <v>FEIM8_LCHQuote</v>
      </c>
      <c r="AB15" s="70">
        <f>IFERROR(_xll.qlRateHelperRate(Y15,Trigger),"")</f>
        <v>3.7110000000000198E-3</v>
      </c>
      <c r="AC15" s="104">
        <f>IF(ISERROR(_xll.qlSwapRateHelperSpread($Y15)),IF(ISERROR(_xll.qlFuturesRateHelperConvexityAdjustment($Y15)),"",_xll.qlFuturesRateHelperConvexityAdjustment($Y15)),_xll.qlSwapRateHelperSpread($Y15))</f>
        <v>0</v>
      </c>
      <c r="AD15" s="5">
        <f>IFERROR(_xll.qlRateHelperEarliestDate(Y15,Trigger),"")</f>
        <v>43271</v>
      </c>
      <c r="AE15" s="5">
        <f>IFERROR(_xll.qlRateHelperPillarDate(Y15,Trigger),"")</f>
        <v>43362</v>
      </c>
      <c r="AF15" s="70">
        <v>9.1566199026541948E-4</v>
      </c>
      <c r="AG15" s="77">
        <v>0.99720740776777883</v>
      </c>
      <c r="AH15" s="170">
        <v>43362</v>
      </c>
      <c r="AI15" s="171">
        <v>9.1566198936165002E-4</v>
      </c>
      <c r="AJ15" s="173">
        <f t="shared" si="1"/>
        <v>9.0376946378090128E-13</v>
      </c>
      <c r="AK15" s="80">
        <v>0.99720925083590095</v>
      </c>
      <c r="AL15" s="162">
        <f t="shared" si="2"/>
        <v>1.8430681221204281E-6</v>
      </c>
    </row>
    <row r="16" spans="1:41" ht="11.25" customHeight="1" x14ac:dyDescent="0.2">
      <c r="A16" s="59" t="s">
        <v>94</v>
      </c>
      <c r="B16" s="116" t="b">
        <v>1</v>
      </c>
      <c r="C16" s="62" t="str">
        <f>_xll.qlIMMNextCode(C15,B16,Trigger)</f>
        <v>H8</v>
      </c>
      <c r="D16" s="123"/>
      <c r="E16" s="157">
        <f>_xll.qlIMMdate(C16,,Trigger)</f>
        <v>43180</v>
      </c>
      <c r="F16" s="157">
        <f>_xll.qlIMMNextDate(E16,,Trigger)</f>
        <v>43271</v>
      </c>
      <c r="G16" s="61" t="str">
        <f t="shared" si="6"/>
        <v>Euribor3M</v>
      </c>
      <c r="H16" s="119" t="str">
        <f t="shared" si="7"/>
        <v>FEIH8_LCHQuote</v>
      </c>
      <c r="I16" s="125">
        <f t="shared" si="8"/>
        <v>0</v>
      </c>
      <c r="J16" s="64" t="str">
        <f>_xll.qlFuturesRateHelper(,$H16,$H$4,$E16,$G16,$I16,FALSE,"customdate",$F16,Permanent,Trigger,ObjectOverwrite)</f>
        <v>obj_00647#0005</v>
      </c>
      <c r="K16" s="64" t="str">
        <f t="shared" si="9"/>
        <v>obj_00647#0005</v>
      </c>
      <c r="L16" s="48"/>
      <c r="M16" s="135" t="str">
        <f t="shared" ref="M16:M53" si="10">A20</f>
        <v>Sw</v>
      </c>
      <c r="N16" s="136" t="str">
        <f t="shared" ref="N16:N53" si="11">IF(ISBLANK(J20),"--",J20)</f>
        <v>qlSwapRateHelper2(,H34,2,B34,Calendar,D34,E34,F34,G34,I34,C34,Discounting1,PillarDate,,Permanent,Trigger,ObjectOverwrite)</v>
      </c>
      <c r="O16" s="136" t="str">
        <f t="shared" ref="O16:O53" si="12">IF(ISBLANK(K20),"--",K20)</f>
        <v>qlSwapRateHelper2(,H34,2,B34,Calendar,D34,E34,F34,G34,I34,C34,Discounting1,PillarDate,,Permanent,Trigger,ObjectOverwrite)</v>
      </c>
      <c r="P16" s="148" t="str">
        <f>IFERROR(_xll.qlRateHelperQuoteName(N16,Trigger),"--")</f>
        <v>--</v>
      </c>
      <c r="Q16" s="138" t="str">
        <f>IFERROR(_xll.qlRateHelperQuoteValue($N16,Trigger),"--")</f>
        <v>--</v>
      </c>
      <c r="R16" s="137" t="b">
        <v>0</v>
      </c>
      <c r="S16" s="136">
        <v>10</v>
      </c>
      <c r="T16" s="136">
        <v>1</v>
      </c>
      <c r="U16" s="139" t="str">
        <f>IFERROR(_xll.qlRateHelperEarliestDate(N16,Trigger),"--")</f>
        <v>--</v>
      </c>
      <c r="V16" s="139" t="str">
        <f>IFERROR(_xll.qlRateHelperPillarDate(N16,Trigger),"--")</f>
        <v>--</v>
      </c>
      <c r="X16" s="4" t="str">
        <f t="shared" si="0"/>
        <v>BasSw</v>
      </c>
      <c r="Y16" s="4" t="str">
        <v>obj_005ae</v>
      </c>
      <c r="Z16" s="4" t="str">
        <v>obj_005b0</v>
      </c>
      <c r="AA16" s="4" t="str">
        <f>IFERROR(_xll.qlRateHelperQuoteName(Y16,Trigger),"")</f>
        <v>EUR3E6E4Y_LCHQuote</v>
      </c>
      <c r="AB16" s="70">
        <f>IFERROR(_xll.qlRateHelperRate(Y16,Trigger),"")</f>
        <v>2.1527500000000001E-3</v>
      </c>
      <c r="AC16" s="104">
        <f>IF(ISERROR(_xll.qlSwapRateHelperSpread($Y16)),IF(ISERROR(_xll.qlFuturesRateHelperConvexityAdjustment($Y16)),"",_xll.qlFuturesRateHelperConvexityAdjustment($Y16)),_xll.qlSwapRateHelperSpread($Y16))</f>
        <v>0</v>
      </c>
      <c r="AD16" s="5">
        <f>IFERROR(_xll.qlRateHelperEarliestDate(Y16,Trigger),"")</f>
        <v>42250</v>
      </c>
      <c r="AE16" s="5">
        <f>IFERROR(_xll.qlRateHelperPillarDate(Y16,Trigger),"")</f>
        <v>43711</v>
      </c>
      <c r="AF16" s="70">
        <v>2.1472872341154014E-3</v>
      </c>
      <c r="AG16" s="77">
        <v>0.99143197470399025</v>
      </c>
      <c r="AH16" s="170">
        <v>43711</v>
      </c>
      <c r="AI16" s="171">
        <v>2.1472872341136099E-3</v>
      </c>
      <c r="AJ16" s="173">
        <f t="shared" si="1"/>
        <v>1.7915356698150475E-15</v>
      </c>
      <c r="AK16" s="80">
        <v>0.99143222626402805</v>
      </c>
      <c r="AL16" s="162">
        <f t="shared" si="2"/>
        <v>2.5156003780058001E-7</v>
      </c>
    </row>
    <row r="17" spans="1:38" ht="11.25" customHeight="1" x14ac:dyDescent="0.2">
      <c r="A17" s="1" t="s">
        <v>94</v>
      </c>
      <c r="B17" s="117" t="b">
        <v>1</v>
      </c>
      <c r="C17" s="9" t="str">
        <f>_xll.qlIMMNextCode(C16,B17,Trigger)</f>
        <v>M8</v>
      </c>
      <c r="D17" s="124"/>
      <c r="E17" s="158">
        <f>_xll.qlIMMdate(C17,,Trigger)</f>
        <v>43271</v>
      </c>
      <c r="F17" s="158">
        <f>_xll.qlIMMNextDate(E17,,Trigger)</f>
        <v>43362</v>
      </c>
      <c r="G17" s="7" t="str">
        <f t="shared" si="6"/>
        <v>Euribor3M</v>
      </c>
      <c r="H17" s="120" t="str">
        <f t="shared" si="7"/>
        <v>FEIM8_LCHQuote</v>
      </c>
      <c r="I17" s="128">
        <f t="shared" si="8"/>
        <v>0</v>
      </c>
      <c r="J17" s="3" t="str">
        <f>_xll.qlFuturesRateHelper(,$H17,$H$4,$E17,$G17,$I17,FALSE,"customdate",$F17,Permanent,Trigger,ObjectOverwrite)</f>
        <v>obj_00644#0005</v>
      </c>
      <c r="K17" s="3" t="str">
        <f t="shared" si="9"/>
        <v>obj_00644#0005</v>
      </c>
      <c r="L17" s="48"/>
      <c r="M17" s="71" t="str">
        <f t="shared" si="10"/>
        <v>Sw</v>
      </c>
      <c r="N17" s="140" t="str">
        <f t="shared" si="11"/>
        <v>--</v>
      </c>
      <c r="O17" s="140" t="str">
        <f t="shared" si="12"/>
        <v>--</v>
      </c>
      <c r="P17" s="149" t="str">
        <f>IFERROR(_xll.qlRateHelperQuoteName(N17,Trigger),"--")</f>
        <v>--</v>
      </c>
      <c r="Q17" s="142" t="str">
        <f>IFERROR(_xll.qlRateHelperQuoteValue($N17,Trigger),"--")</f>
        <v>--</v>
      </c>
      <c r="R17" s="141" t="b">
        <v>0</v>
      </c>
      <c r="S17" s="140">
        <v>10</v>
      </c>
      <c r="T17" s="140">
        <v>1</v>
      </c>
      <c r="U17" s="143" t="str">
        <f>IFERROR(_xll.qlRateHelperEarliestDate(N17,Trigger),"--")</f>
        <v>--</v>
      </c>
      <c r="V17" s="143" t="str">
        <f>IFERROR(_xll.qlRateHelperPillarDate(N17,Trigger),"--")</f>
        <v>--</v>
      </c>
      <c r="X17" s="4" t="str">
        <f t="shared" si="0"/>
        <v>BasSw</v>
      </c>
      <c r="Y17" s="4" t="str">
        <v>obj_005a0</v>
      </c>
      <c r="Z17" s="4" t="str">
        <v>obj_005a6</v>
      </c>
      <c r="AA17" s="4" t="str">
        <f>IFERROR(_xll.qlRateHelperQuoteName(Y17,Trigger),"")</f>
        <v>EUR3E6E5Y_LCHQuote</v>
      </c>
      <c r="AB17" s="70">
        <f>IFERROR(_xll.qlRateHelperRate(Y17,Trigger),"")</f>
        <v>3.5530000000000002E-3</v>
      </c>
      <c r="AC17" s="104">
        <f>IF(ISERROR(_xll.qlSwapRateHelperSpread($Y17)),IF(ISERROR(_xll.qlFuturesRateHelperConvexityAdjustment($Y17)),"",_xll.qlFuturesRateHelperConvexityAdjustment($Y17)),_xll.qlSwapRateHelperSpread($Y17))</f>
        <v>0</v>
      </c>
      <c r="AD17" s="5">
        <f>IFERROR(_xll.qlRateHelperEarliestDate(Y17,Trigger),"")</f>
        <v>42250</v>
      </c>
      <c r="AE17" s="5">
        <f>IFERROR(_xll.qlRateHelperPillarDate(Y17,Trigger),"")</f>
        <v>44077</v>
      </c>
      <c r="AF17" s="70">
        <v>3.5493803555413424E-3</v>
      </c>
      <c r="AG17" s="77">
        <v>0.98237348256905743</v>
      </c>
      <c r="AH17" s="170">
        <v>44077</v>
      </c>
      <c r="AI17" s="171">
        <v>3.54938035562395E-3</v>
      </c>
      <c r="AJ17" s="173">
        <f t="shared" si="1"/>
        <v>-8.2607531926015554E-14</v>
      </c>
      <c r="AK17" s="80">
        <v>0.98237373269712103</v>
      </c>
      <c r="AL17" s="162">
        <f t="shared" si="2"/>
        <v>2.5012806359470119E-7</v>
      </c>
    </row>
    <row r="18" spans="1:38" ht="11.25" customHeight="1" x14ac:dyDescent="0.2">
      <c r="G18" s="50" t="s">
        <v>126</v>
      </c>
      <c r="H18" s="50" t="s">
        <v>127</v>
      </c>
      <c r="L18" s="48"/>
      <c r="M18" s="71" t="str">
        <f t="shared" si="10"/>
        <v>Sw</v>
      </c>
      <c r="N18" s="140" t="str">
        <f t="shared" si="11"/>
        <v>--</v>
      </c>
      <c r="O18" s="140" t="str">
        <f t="shared" si="12"/>
        <v>--</v>
      </c>
      <c r="P18" s="149" t="str">
        <f>IFERROR(_xll.qlRateHelperQuoteName(N18,Trigger),"--")</f>
        <v>--</v>
      </c>
      <c r="Q18" s="142" t="str">
        <f>IFERROR(_xll.qlRateHelperQuoteValue($N18,Trigger),"--")</f>
        <v>--</v>
      </c>
      <c r="R18" s="141" t="b">
        <v>0</v>
      </c>
      <c r="S18" s="140">
        <v>10</v>
      </c>
      <c r="T18" s="140">
        <v>1</v>
      </c>
      <c r="U18" s="143" t="str">
        <f>IFERROR(_xll.qlRateHelperEarliestDate(N18,Trigger),"--")</f>
        <v>--</v>
      </c>
      <c r="V18" s="143" t="str">
        <f>IFERROR(_xll.qlRateHelperPillarDate(N18,Trigger),"--")</f>
        <v>--</v>
      </c>
      <c r="X18" s="4" t="str">
        <f t="shared" si="0"/>
        <v>BasSw</v>
      </c>
      <c r="Y18" s="4" t="str">
        <v>obj_005a8</v>
      </c>
      <c r="Z18" s="4" t="str">
        <v>obj_005b1</v>
      </c>
      <c r="AA18" s="4" t="str">
        <f>IFERROR(_xll.qlRateHelperQuoteName(Y18,Trigger),"")</f>
        <v>EUR3E6E6Y_LCHQuote</v>
      </c>
      <c r="AB18" s="70">
        <f>IFERROR(_xll.qlRateHelperRate(Y18,Trigger),"")</f>
        <v>5.0270499999999999E-3</v>
      </c>
      <c r="AC18" s="104">
        <f>IF(ISERROR(_xll.qlSwapRateHelperSpread($Y18)),IF(ISERROR(_xll.qlFuturesRateHelperConvexityAdjustment($Y18)),"",_xll.qlFuturesRateHelperConvexityAdjustment($Y18)),_xll.qlSwapRateHelperSpread($Y18))</f>
        <v>0</v>
      </c>
      <c r="AD18" s="5">
        <f>IFERROR(_xll.qlRateHelperEarliestDate(Y18,Trigger),"")</f>
        <v>42250</v>
      </c>
      <c r="AE18" s="5">
        <f>IFERROR(_xll.qlRateHelperPillarDate(Y18,Trigger),"")</f>
        <v>44442</v>
      </c>
      <c r="AF18" s="70">
        <v>5.0340583707687379E-3</v>
      </c>
      <c r="AG18" s="77">
        <v>0.97019586334577013</v>
      </c>
      <c r="AH18" s="170">
        <v>44442</v>
      </c>
      <c r="AI18" s="171">
        <v>5.0340583708419397E-3</v>
      </c>
      <c r="AJ18" s="173">
        <f t="shared" si="1"/>
        <v>-7.3201861239269306E-14</v>
      </c>
      <c r="AK18" s="80">
        <v>0.97019611003444695</v>
      </c>
      <c r="AL18" s="162">
        <f t="shared" si="2"/>
        <v>2.4668867681931772E-7</v>
      </c>
    </row>
    <row r="19" spans="1:38" ht="11.25" customHeight="1" x14ac:dyDescent="0.2">
      <c r="A19" s="65" t="s">
        <v>9</v>
      </c>
      <c r="B19" s="65" t="s">
        <v>29</v>
      </c>
      <c r="C19" s="65" t="s">
        <v>114</v>
      </c>
      <c r="D19" s="65" t="s">
        <v>5</v>
      </c>
      <c r="E19" s="65" t="s">
        <v>34</v>
      </c>
      <c r="F19" s="65" t="s">
        <v>115</v>
      </c>
      <c r="G19" s="65" t="s">
        <v>4</v>
      </c>
      <c r="H19" s="65" t="s">
        <v>1</v>
      </c>
      <c r="I19" s="65" t="s">
        <v>113</v>
      </c>
      <c r="J19" s="65" t="s">
        <v>150</v>
      </c>
      <c r="K19" s="65" t="s">
        <v>151</v>
      </c>
      <c r="L19" s="48"/>
      <c r="M19" s="71" t="str">
        <f t="shared" si="10"/>
        <v>Sw</v>
      </c>
      <c r="N19" s="140" t="str">
        <f t="shared" si="11"/>
        <v>--</v>
      </c>
      <c r="O19" s="140" t="str">
        <f t="shared" si="12"/>
        <v>--</v>
      </c>
      <c r="P19" s="149" t="str">
        <f>IFERROR(_xll.qlRateHelperQuoteName(N19,Trigger),"--")</f>
        <v>--</v>
      </c>
      <c r="Q19" s="142" t="str">
        <f>IFERROR(_xll.qlRateHelperQuoteValue($N19,Trigger),"--")</f>
        <v>--</v>
      </c>
      <c r="R19" s="141" t="b">
        <v>0</v>
      </c>
      <c r="S19" s="140">
        <v>10</v>
      </c>
      <c r="T19" s="140">
        <v>1</v>
      </c>
      <c r="U19" s="143" t="str">
        <f>IFERROR(_xll.qlRateHelperEarliestDate(N19,Trigger),"--")</f>
        <v>--</v>
      </c>
      <c r="V19" s="143" t="str">
        <f>IFERROR(_xll.qlRateHelperPillarDate(N19,Trigger),"--")</f>
        <v>--</v>
      </c>
      <c r="X19" s="4" t="str">
        <f t="shared" si="0"/>
        <v>BasSw</v>
      </c>
      <c r="Y19" s="4" t="str">
        <v>obj_005a9</v>
      </c>
      <c r="Z19" s="4" t="str">
        <v>obj_005b2</v>
      </c>
      <c r="AA19" s="4" t="str">
        <f>IFERROR(_xll.qlRateHelperQuoteName(Y19,Trigger),"")</f>
        <v>EUR3E6E7Y_LCHQuote</v>
      </c>
      <c r="AB19" s="70">
        <f>IFERROR(_xll.qlRateHelperRate(Y19,Trigger),"")</f>
        <v>6.5050999999999998E-3</v>
      </c>
      <c r="AC19" s="104">
        <f>IF(ISERROR(_xll.qlSwapRateHelperSpread($Y19)),IF(ISERROR(_xll.qlFuturesRateHelperConvexityAdjustment($Y19)),"",_xll.qlFuturesRateHelperConvexityAdjustment($Y19)),_xll.qlSwapRateHelperSpread($Y19))</f>
        <v>0</v>
      </c>
      <c r="AD19" s="5">
        <f>IFERROR(_xll.qlRateHelperEarliestDate(Y19,Trigger),"")</f>
        <v>42250</v>
      </c>
      <c r="AE19" s="5">
        <f>IFERROR(_xll.qlRateHelperPillarDate(Y19,Trigger),"")</f>
        <v>44809</v>
      </c>
      <c r="AF19" s="70">
        <v>6.5322114524681285E-3</v>
      </c>
      <c r="AG19" s="77">
        <v>0.95520373664366409</v>
      </c>
      <c r="AH19" s="170">
        <v>44809</v>
      </c>
      <c r="AI19" s="171">
        <v>6.5322114524530503E-3</v>
      </c>
      <c r="AJ19" s="173">
        <f t="shared" si="1"/>
        <v>1.5078216453190407E-14</v>
      </c>
      <c r="AK19" s="80">
        <v>0.95520397963887305</v>
      </c>
      <c r="AL19" s="162">
        <f t="shared" si="2"/>
        <v>2.4299520895443294E-7</v>
      </c>
    </row>
    <row r="20" spans="1:38" ht="11.25" customHeight="1" x14ac:dyDescent="0.2">
      <c r="A20" s="53" t="s">
        <v>25</v>
      </c>
      <c r="B20" s="54" t="s">
        <v>3</v>
      </c>
      <c r="C20" s="55" t="s">
        <v>6</v>
      </c>
      <c r="D20" s="61" t="s">
        <v>8</v>
      </c>
      <c r="E20" s="61" t="s">
        <v>7</v>
      </c>
      <c r="F20" s="61" t="s">
        <v>125</v>
      </c>
      <c r="G20" s="61" t="str">
        <f t="shared" ref="G20:G57" si="13">PROPER(Currency)&amp;FamilyName&amp;Tenor</f>
        <v>Euribor3M</v>
      </c>
      <c r="H20" s="59" t="str">
        <f t="shared" ref="H20:H57" si="14">IF(LCHQuoteOverwrite,Currency&amp;$G$18&amp;$H$18&amp;$B20&amp;LCHQuoteSuffix,Currency&amp;$G$18&amp;$H$18&amp;$B20&amp;QuoteSuffix)</f>
        <v>EURAB3E6M_LCHQuote</v>
      </c>
      <c r="I20" s="126">
        <v>0</v>
      </c>
      <c r="J20" s="58" t="s">
        <v>149</v>
      </c>
      <c r="K20" s="58" t="str">
        <f>J20</f>
        <v>qlSwapRateHelper2(,H34,2,B34,Calendar,D34,E34,F34,G34,I34,C34,Discounting1,PillarDate,,Permanent,Trigger,ObjectOverwrite)</v>
      </c>
      <c r="L20" s="48"/>
      <c r="M20" s="71" t="str">
        <f t="shared" si="10"/>
        <v>Sw</v>
      </c>
      <c r="N20" s="140" t="str">
        <f t="shared" si="11"/>
        <v>--</v>
      </c>
      <c r="O20" s="140" t="str">
        <f t="shared" si="12"/>
        <v>--</v>
      </c>
      <c r="P20" s="149" t="str">
        <f>IFERROR(_xll.qlRateHelperQuoteName(N20,Trigger),"--")</f>
        <v>--</v>
      </c>
      <c r="Q20" s="142" t="str">
        <f>IFERROR(_xll.qlRateHelperQuoteValue($N20,Trigger),"--")</f>
        <v>--</v>
      </c>
      <c r="R20" s="141" t="b">
        <v>0</v>
      </c>
      <c r="S20" s="140">
        <v>10</v>
      </c>
      <c r="T20" s="140">
        <v>1</v>
      </c>
      <c r="U20" s="143" t="str">
        <f>IFERROR(_xll.qlRateHelperEarliestDate(N20,Trigger),"--")</f>
        <v>--</v>
      </c>
      <c r="V20" s="143" t="str">
        <f>IFERROR(_xll.qlRateHelperPillarDate(N20,Trigger),"--")</f>
        <v>--</v>
      </c>
      <c r="X20" s="4" t="str">
        <f t="shared" si="0"/>
        <v>BasSw</v>
      </c>
      <c r="Y20" s="4" t="str">
        <v>obj_005b7</v>
      </c>
      <c r="Z20" s="4" t="str">
        <v>obj_005b4</v>
      </c>
      <c r="AA20" s="4" t="str">
        <f>IFERROR(_xll.qlRateHelperQuoteName(Y20,Trigger),"")</f>
        <v>EUR3E6E8Y_LCHQuote</v>
      </c>
      <c r="AB20" s="70">
        <f>IFERROR(_xll.qlRateHelperRate(Y20,Trigger),"")</f>
        <v>7.9095499999999996E-3</v>
      </c>
      <c r="AC20" s="104">
        <f>IF(ISERROR(_xll.qlSwapRateHelperSpread($Y20)),IF(ISERROR(_xll.qlFuturesRateHelperConvexityAdjustment($Y20)),"",_xll.qlFuturesRateHelperConvexityAdjustment($Y20)),_xll.qlSwapRateHelperSpread($Y20))</f>
        <v>0</v>
      </c>
      <c r="AD20" s="5">
        <f>IFERROR(_xll.qlRateHelperEarliestDate(Y20,Trigger),"")</f>
        <v>42250</v>
      </c>
      <c r="AE20" s="5">
        <f>IFERROR(_xll.qlRateHelperPillarDate(Y20,Trigger),"")</f>
        <v>45173</v>
      </c>
      <c r="AF20" s="70">
        <v>7.9661227709629384E-3</v>
      </c>
      <c r="AG20" s="77">
        <v>0.9381603589684151</v>
      </c>
      <c r="AH20" s="170">
        <v>45173</v>
      </c>
      <c r="AI20" s="171">
        <v>7.9661227708666196E-3</v>
      </c>
      <c r="AJ20" s="173">
        <f t="shared" si="1"/>
        <v>9.6318786280136237E-14</v>
      </c>
      <c r="AK20" s="80">
        <v>0.93816059762376203</v>
      </c>
      <c r="AL20" s="162">
        <f t="shared" si="2"/>
        <v>2.386553469291286E-7</v>
      </c>
    </row>
    <row r="21" spans="1:38" ht="11.25" customHeight="1" x14ac:dyDescent="0.2">
      <c r="A21" s="59" t="s">
        <v>25</v>
      </c>
      <c r="B21" s="60" t="s">
        <v>28</v>
      </c>
      <c r="C21" s="61" t="s">
        <v>6</v>
      </c>
      <c r="D21" s="61" t="s">
        <v>8</v>
      </c>
      <c r="E21" s="61" t="s">
        <v>7</v>
      </c>
      <c r="F21" s="61" t="s">
        <v>125</v>
      </c>
      <c r="G21" s="61" t="str">
        <f t="shared" si="13"/>
        <v>Euribor3M</v>
      </c>
      <c r="H21" s="59" t="str">
        <f t="shared" si="14"/>
        <v>EURAB3E1Y_LCHQuote</v>
      </c>
      <c r="I21" s="127">
        <v>0</v>
      </c>
      <c r="J21" s="64"/>
      <c r="K21" s="64"/>
      <c r="L21" s="48"/>
      <c r="M21" s="71" t="str">
        <f t="shared" si="10"/>
        <v>Sw</v>
      </c>
      <c r="N21" s="140" t="str">
        <f t="shared" si="11"/>
        <v>--</v>
      </c>
      <c r="O21" s="140" t="str">
        <f t="shared" si="12"/>
        <v>--</v>
      </c>
      <c r="P21" s="149" t="str">
        <f>IFERROR(_xll.qlRateHelperQuoteName(N21,Trigger),"--")</f>
        <v>--</v>
      </c>
      <c r="Q21" s="142" t="str">
        <f>IFERROR(_xll.qlRateHelperQuoteValue($N21,Trigger),"--")</f>
        <v>--</v>
      </c>
      <c r="R21" s="141" t="b">
        <v>0</v>
      </c>
      <c r="S21" s="140">
        <v>10</v>
      </c>
      <c r="T21" s="140">
        <v>1</v>
      </c>
      <c r="U21" s="143" t="str">
        <f>IFERROR(_xll.qlRateHelperEarliestDate(N21,Trigger),"--")</f>
        <v>--</v>
      </c>
      <c r="V21" s="143" t="str">
        <f>IFERROR(_xll.qlRateHelperPillarDate(N21,Trigger),"--")</f>
        <v>--</v>
      </c>
      <c r="X21" s="4" t="str">
        <f t="shared" si="0"/>
        <v>BasSw</v>
      </c>
      <c r="Y21" s="4" t="str">
        <v>obj_005ad</v>
      </c>
      <c r="Z21" s="4" t="str">
        <v>obj_005a5</v>
      </c>
      <c r="AA21" s="4" t="str">
        <f>IFERROR(_xll.qlRateHelperQuoteName(Y21,Trigger),"")</f>
        <v>EUR3E6E9Y_LCHQuote</v>
      </c>
      <c r="AB21" s="70">
        <f>IFERROR(_xll.qlRateHelperRate(Y21,Trigger),"")</f>
        <v>9.2026E-3</v>
      </c>
      <c r="AC21" s="104">
        <f>IF(ISERROR(_xll.qlSwapRateHelperSpread($Y21)),IF(ISERROR(_xll.qlFuturesRateHelperConvexityAdjustment($Y21)),"",_xll.qlFuturesRateHelperConvexityAdjustment($Y21)),_xll.qlSwapRateHelperSpread($Y21))</f>
        <v>0</v>
      </c>
      <c r="AD21" s="5">
        <f>IFERROR(_xll.qlRateHelperEarliestDate(Y21,Trigger),"")</f>
        <v>42250</v>
      </c>
      <c r="AE21" s="5">
        <f>IFERROR(_xll.qlRateHelperPillarDate(Y21,Trigger),"")</f>
        <v>45538</v>
      </c>
      <c r="AF21" s="70">
        <v>9.2942513733471534E-3</v>
      </c>
      <c r="AG21" s="77">
        <v>0.91964061768472405</v>
      </c>
      <c r="AH21" s="170">
        <v>45538</v>
      </c>
      <c r="AI21" s="171">
        <v>9.2942513732260992E-3</v>
      </c>
      <c r="AJ21" s="173">
        <f t="shared" si="1"/>
        <v>1.2105420832408953E-13</v>
      </c>
      <c r="AK21" s="80">
        <v>0.91964085163967502</v>
      </c>
      <c r="AL21" s="162">
        <f t="shared" si="2"/>
        <v>2.3395495096778518E-7</v>
      </c>
    </row>
    <row r="22" spans="1:38" ht="11.25" customHeight="1" x14ac:dyDescent="0.2">
      <c r="A22" s="59" t="s">
        <v>25</v>
      </c>
      <c r="B22" s="60" t="s">
        <v>49</v>
      </c>
      <c r="C22" s="61" t="s">
        <v>6</v>
      </c>
      <c r="D22" s="61" t="s">
        <v>8</v>
      </c>
      <c r="E22" s="61" t="s">
        <v>7</v>
      </c>
      <c r="F22" s="61" t="s">
        <v>125</v>
      </c>
      <c r="G22" s="61" t="str">
        <f t="shared" si="13"/>
        <v>Euribor3M</v>
      </c>
      <c r="H22" s="59" t="str">
        <f t="shared" si="14"/>
        <v>EURAB3E15M_LCHQuote</v>
      </c>
      <c r="I22" s="127">
        <v>0</v>
      </c>
      <c r="J22" s="64"/>
      <c r="K22" s="64"/>
      <c r="L22" s="48"/>
      <c r="M22" s="71" t="str">
        <f t="shared" si="10"/>
        <v>Sw</v>
      </c>
      <c r="N22" s="140" t="str">
        <f t="shared" si="11"/>
        <v>--</v>
      </c>
      <c r="O22" s="140" t="str">
        <f t="shared" si="12"/>
        <v>--</v>
      </c>
      <c r="P22" s="149" t="str">
        <f>IFERROR(_xll.qlRateHelperQuoteName(N22,Trigger),"--")</f>
        <v>--</v>
      </c>
      <c r="Q22" s="142" t="str">
        <f>IFERROR(_xll.qlRateHelperQuoteValue($N22,Trigger),"--")</f>
        <v>--</v>
      </c>
      <c r="R22" s="141" t="b">
        <v>0</v>
      </c>
      <c r="S22" s="140">
        <v>10</v>
      </c>
      <c r="T22" s="140">
        <v>1</v>
      </c>
      <c r="U22" s="143" t="str">
        <f>IFERROR(_xll.qlRateHelperEarliestDate(N22,Trigger),"--")</f>
        <v>--</v>
      </c>
      <c r="V22" s="143" t="str">
        <f>IFERROR(_xll.qlRateHelperPillarDate(N22,Trigger),"--")</f>
        <v>--</v>
      </c>
      <c r="X22" s="4" t="str">
        <f t="shared" si="0"/>
        <v>BasSw</v>
      </c>
      <c r="Y22" s="4" t="str">
        <v>obj_0059f</v>
      </c>
      <c r="Z22" s="4" t="str">
        <v>obj_005b5</v>
      </c>
      <c r="AA22" s="4" t="str">
        <f>IFERROR(_xll.qlRateHelperQuoteName(Y22,Trigger),"")</f>
        <v>EUR3E6E10Y_LCHQuote</v>
      </c>
      <c r="AB22" s="70">
        <f>IFERROR(_xll.qlRateHelperRate(Y22,Trigger),"")</f>
        <v>1.03322E-2</v>
      </c>
      <c r="AC22" s="104">
        <f>IF(ISERROR(_xll.qlSwapRateHelperSpread($Y22)),IF(ISERROR(_xll.qlFuturesRateHelperConvexityAdjustment($Y22)),"",_xll.qlFuturesRateHelperConvexityAdjustment($Y22)),_xll.qlSwapRateHelperSpread($Y22))</f>
        <v>0</v>
      </c>
      <c r="AD22" s="5">
        <f>IFERROR(_xll.qlRateHelperEarliestDate(Y22,Trigger),"")</f>
        <v>42250</v>
      </c>
      <c r="AE22" s="5">
        <f>IFERROR(_xll.qlRateHelperPillarDate(Y22,Trigger),"")</f>
        <v>45903</v>
      </c>
      <c r="AF22" s="70">
        <v>1.0466123296141418E-2</v>
      </c>
      <c r="AG22" s="77">
        <v>0.90050328207119945</v>
      </c>
      <c r="AH22" s="170">
        <v>45903</v>
      </c>
      <c r="AI22" s="171">
        <v>1.0466123296027601E-2</v>
      </c>
      <c r="AJ22" s="173">
        <f t="shared" si="1"/>
        <v>1.1381694198231429E-13</v>
      </c>
      <c r="AK22" s="80">
        <v>0.90050351115345495</v>
      </c>
      <c r="AL22" s="162">
        <f t="shared" si="2"/>
        <v>2.290822554984473E-7</v>
      </c>
    </row>
    <row r="23" spans="1:38" ht="11.25" customHeight="1" x14ac:dyDescent="0.2">
      <c r="A23" s="59" t="s">
        <v>25</v>
      </c>
      <c r="B23" s="60" t="s">
        <v>50</v>
      </c>
      <c r="C23" s="61" t="s">
        <v>6</v>
      </c>
      <c r="D23" s="61" t="s">
        <v>8</v>
      </c>
      <c r="E23" s="61" t="s">
        <v>7</v>
      </c>
      <c r="F23" s="61" t="s">
        <v>125</v>
      </c>
      <c r="G23" s="61" t="str">
        <f t="shared" si="13"/>
        <v>Euribor3M</v>
      </c>
      <c r="H23" s="59" t="str">
        <f t="shared" si="14"/>
        <v>EURAB3E18M_LCHQuote</v>
      </c>
      <c r="I23" s="127">
        <v>0</v>
      </c>
      <c r="J23" s="64"/>
      <c r="K23" s="64"/>
      <c r="L23" s="48"/>
      <c r="M23" s="71" t="str">
        <f t="shared" si="10"/>
        <v>Sw</v>
      </c>
      <c r="N23" s="140" t="str">
        <f t="shared" si="11"/>
        <v>--</v>
      </c>
      <c r="O23" s="140" t="str">
        <f t="shared" si="12"/>
        <v>--</v>
      </c>
      <c r="P23" s="149" t="str">
        <f>IFERROR(_xll.qlRateHelperQuoteName(N23,Trigger),"--")</f>
        <v>--</v>
      </c>
      <c r="Q23" s="142" t="str">
        <f>IFERROR(_xll.qlRateHelperQuoteValue($N23,Trigger),"--")</f>
        <v>--</v>
      </c>
      <c r="R23" s="141" t="b">
        <v>0</v>
      </c>
      <c r="S23" s="140">
        <v>10</v>
      </c>
      <c r="T23" s="140">
        <v>1</v>
      </c>
      <c r="U23" s="143" t="str">
        <f>IFERROR(_xll.qlRateHelperEarliestDate(N23,Trigger),"--")</f>
        <v>--</v>
      </c>
      <c r="V23" s="143" t="str">
        <f>IFERROR(_xll.qlRateHelperPillarDate(N23,Trigger),"--")</f>
        <v>--</v>
      </c>
      <c r="X23" s="4" t="str">
        <f t="shared" si="0"/>
        <v>BasSw</v>
      </c>
      <c r="Y23" s="4" t="str">
        <v>obj_0059b</v>
      </c>
      <c r="Z23" s="4" t="str">
        <v>obj_005a3</v>
      </c>
      <c r="AA23" s="4" t="str">
        <f>IFERROR(_xll.qlRateHelperQuoteName(Y23,Trigger),"")</f>
        <v>EUR3E6E12Y_LCHQuote</v>
      </c>
      <c r="AB23" s="70">
        <f>IFERROR(_xll.qlRateHelperRate(Y23,Trigger),"")</f>
        <v>1.2161399999999999E-2</v>
      </c>
      <c r="AC23" s="104">
        <f>IF(ISERROR(_xll.qlSwapRateHelperSpread($Y23)),IF(ISERROR(_xll.qlFuturesRateHelperConvexityAdjustment($Y23)),"",_xll.qlFuturesRateHelperConvexityAdjustment($Y23)),_xll.qlSwapRateHelperSpread($Y23))</f>
        <v>0</v>
      </c>
      <c r="AD23" s="5">
        <f>IFERROR(_xll.qlRateHelperEarliestDate(Y23,Trigger),"")</f>
        <v>42250</v>
      </c>
      <c r="AE23" s="5">
        <f>IFERROR(_xll.qlRateHelperPillarDate(Y23,Trigger),"")</f>
        <v>46633</v>
      </c>
      <c r="AF23" s="70">
        <v>1.2385036431703664E-2</v>
      </c>
      <c r="AG23" s="77">
        <v>0.86175979649634082</v>
      </c>
      <c r="AH23" s="170">
        <v>46633</v>
      </c>
      <c r="AI23" s="171">
        <v>1.2385036431601401E-2</v>
      </c>
      <c r="AJ23" s="173">
        <f t="shared" si="1"/>
        <v>1.0226368363230876E-13</v>
      </c>
      <c r="AK23" s="80">
        <v>0.86176001572612304</v>
      </c>
      <c r="AL23" s="162">
        <f t="shared" si="2"/>
        <v>2.192297822167788E-7</v>
      </c>
    </row>
    <row r="24" spans="1:38" ht="11.25" customHeight="1" x14ac:dyDescent="0.2">
      <c r="A24" s="59" t="s">
        <v>25</v>
      </c>
      <c r="B24" s="60" t="s">
        <v>51</v>
      </c>
      <c r="C24" s="61" t="s">
        <v>6</v>
      </c>
      <c r="D24" s="61" t="s">
        <v>8</v>
      </c>
      <c r="E24" s="61" t="s">
        <v>7</v>
      </c>
      <c r="F24" s="61" t="s">
        <v>125</v>
      </c>
      <c r="G24" s="61" t="str">
        <f t="shared" si="13"/>
        <v>Euribor3M</v>
      </c>
      <c r="H24" s="59" t="str">
        <f t="shared" si="14"/>
        <v>EURAB3E21M_LCHQuote</v>
      </c>
      <c r="I24" s="127">
        <v>0</v>
      </c>
      <c r="J24" s="64"/>
      <c r="K24" s="64"/>
      <c r="L24" s="48"/>
      <c r="M24" s="71" t="str">
        <f t="shared" si="10"/>
        <v>Sw</v>
      </c>
      <c r="N24" s="140" t="str">
        <f t="shared" si="11"/>
        <v>--</v>
      </c>
      <c r="O24" s="140" t="str">
        <f t="shared" si="12"/>
        <v>--</v>
      </c>
      <c r="P24" s="149" t="str">
        <f>IFERROR(_xll.qlRateHelperQuoteName(N24,Trigger),"--")</f>
        <v>--</v>
      </c>
      <c r="Q24" s="142" t="str">
        <f>IFERROR(_xll.qlRateHelperQuoteValue($N24,Trigger),"--")</f>
        <v>--</v>
      </c>
      <c r="R24" s="141" t="b">
        <v>0</v>
      </c>
      <c r="S24" s="140">
        <v>10</v>
      </c>
      <c r="T24" s="140">
        <v>1</v>
      </c>
      <c r="U24" s="143" t="str">
        <f>IFERROR(_xll.qlRateHelperEarliestDate(N24,Trigger),"--")</f>
        <v>--</v>
      </c>
      <c r="V24" s="143" t="str">
        <f>IFERROR(_xll.qlRateHelperPillarDate(N24,Trigger),"--")</f>
        <v>--</v>
      </c>
      <c r="X24" s="4" t="str">
        <f t="shared" si="0"/>
        <v>BasSw</v>
      </c>
      <c r="Y24" s="4" t="str">
        <v>obj_005aa</v>
      </c>
      <c r="Z24" s="4" t="str">
        <v>obj_005b6</v>
      </c>
      <c r="AA24" s="4" t="str">
        <f>IFERROR(_xll.qlRateHelperQuoteName(Y24,Trigger),"")</f>
        <v>EUR3E6E15Y_LCHQuote</v>
      </c>
      <c r="AB24" s="70">
        <f>IFERROR(_xll.qlRateHelperRate(Y24,Trigger),"")</f>
        <v>1.4040199999999999E-2</v>
      </c>
      <c r="AC24" s="104">
        <f>IF(ISERROR(_xll.qlSwapRateHelperSpread($Y24)),IF(ISERROR(_xll.qlFuturesRateHelperConvexityAdjustment($Y24)),"",_xll.qlFuturesRateHelperConvexityAdjustment($Y24)),_xll.qlSwapRateHelperSpread($Y24))</f>
        <v>0</v>
      </c>
      <c r="AD24" s="5">
        <f>IFERROR(_xll.qlRateHelperEarliestDate(Y24,Trigger),"")</f>
        <v>42250</v>
      </c>
      <c r="AE24" s="5">
        <f>IFERROR(_xll.qlRateHelperPillarDate(Y24,Trigger),"")</f>
        <v>47729</v>
      </c>
      <c r="AF24" s="70">
        <v>1.4383314756940459E-2</v>
      </c>
      <c r="AG24" s="77">
        <v>0.80578663530312067</v>
      </c>
      <c r="AH24" s="170">
        <v>47729</v>
      </c>
      <c r="AI24" s="171">
        <v>1.43833147568539E-2</v>
      </c>
      <c r="AJ24" s="173">
        <f t="shared" si="1"/>
        <v>8.655923200429072E-14</v>
      </c>
      <c r="AK24" s="80">
        <v>0.80578684029018099</v>
      </c>
      <c r="AL24" s="162">
        <f t="shared" si="2"/>
        <v>2.0498706032601177E-7</v>
      </c>
    </row>
    <row r="25" spans="1:38" ht="11.25" customHeight="1" x14ac:dyDescent="0.2">
      <c r="A25" s="59" t="s">
        <v>25</v>
      </c>
      <c r="B25" s="60" t="s">
        <v>52</v>
      </c>
      <c r="C25" s="61" t="s">
        <v>6</v>
      </c>
      <c r="D25" s="61" t="s">
        <v>8</v>
      </c>
      <c r="E25" s="61" t="s">
        <v>7</v>
      </c>
      <c r="F25" s="61" t="s">
        <v>125</v>
      </c>
      <c r="G25" s="61" t="str">
        <f t="shared" si="13"/>
        <v>Euribor3M</v>
      </c>
      <c r="H25" s="59" t="str">
        <f t="shared" si="14"/>
        <v>EURAB3E2Y_LCHQuote</v>
      </c>
      <c r="I25" s="127">
        <v>0</v>
      </c>
      <c r="J25" s="64"/>
      <c r="K25" s="64"/>
      <c r="L25" s="48"/>
      <c r="M25" s="71" t="str">
        <f t="shared" si="10"/>
        <v>Sw</v>
      </c>
      <c r="N25" s="140" t="str">
        <f t="shared" si="11"/>
        <v>--</v>
      </c>
      <c r="O25" s="140" t="str">
        <f t="shared" si="12"/>
        <v>--</v>
      </c>
      <c r="P25" s="149" t="str">
        <f>IFERROR(_xll.qlRateHelperQuoteName(N25,Trigger),"--")</f>
        <v>--</v>
      </c>
      <c r="Q25" s="142" t="str">
        <f>IFERROR(_xll.qlRateHelperQuoteValue($N25,Trigger),"--")</f>
        <v>--</v>
      </c>
      <c r="R25" s="141" t="b">
        <v>0</v>
      </c>
      <c r="S25" s="140">
        <v>10</v>
      </c>
      <c r="T25" s="140">
        <v>1</v>
      </c>
      <c r="U25" s="143" t="str">
        <f>IFERROR(_xll.qlRateHelperEarliestDate(N25,Trigger),"--")</f>
        <v>--</v>
      </c>
      <c r="V25" s="143" t="str">
        <f>IFERROR(_xll.qlRateHelperPillarDate(N25,Trigger),"--")</f>
        <v>--</v>
      </c>
      <c r="X25" s="4" t="str">
        <f t="shared" si="0"/>
        <v>BasSw</v>
      </c>
      <c r="Y25" s="4" t="str">
        <v>obj_005b3</v>
      </c>
      <c r="Z25" s="4" t="str">
        <v>obj_005a7</v>
      </c>
      <c r="AA25" s="4" t="str">
        <f>IFERROR(_xll.qlRateHelperQuoteName(Y25,Trigger),"")</f>
        <v>EUR3E6E20Y_LCHQuote</v>
      </c>
      <c r="AB25" s="70">
        <f>IFERROR(_xll.qlRateHelperRate(Y25,Trigger),"")</f>
        <v>1.55508E-2</v>
      </c>
      <c r="AC25" s="104">
        <f>IF(ISERROR(_xll.qlSwapRateHelperSpread($Y25)),IF(ISERROR(_xll.qlFuturesRateHelperConvexityAdjustment($Y25)),"",_xll.qlFuturesRateHelperConvexityAdjustment($Y25)),_xll.qlSwapRateHelperSpread($Y25))</f>
        <v>0</v>
      </c>
      <c r="AD25" s="5">
        <f>IFERROR(_xll.qlRateHelperEarliestDate(Y25,Trigger),"")</f>
        <v>42250</v>
      </c>
      <c r="AE25" s="5">
        <f>IFERROR(_xll.qlRateHelperPillarDate(Y25,Trigger),"")</f>
        <v>49555</v>
      </c>
      <c r="AF25" s="70">
        <v>1.5995847385359498E-2</v>
      </c>
      <c r="AG25" s="77">
        <v>0.72617030483069345</v>
      </c>
      <c r="AH25" s="170">
        <v>49555</v>
      </c>
      <c r="AI25" s="171">
        <v>1.5995847385729199E-2</v>
      </c>
      <c r="AJ25" s="173">
        <f t="shared" si="1"/>
        <v>-3.6970079775322517E-13</v>
      </c>
      <c r="AK25" s="80">
        <v>0.72617048956655195</v>
      </c>
      <c r="AL25" s="162">
        <f t="shared" si="2"/>
        <v>1.8473585849942964E-7</v>
      </c>
    </row>
    <row r="26" spans="1:38" ht="11.25" customHeight="1" x14ac:dyDescent="0.2">
      <c r="A26" s="59" t="s">
        <v>25</v>
      </c>
      <c r="B26" s="60" t="s">
        <v>53</v>
      </c>
      <c r="C26" s="61" t="s">
        <v>6</v>
      </c>
      <c r="D26" s="61" t="s">
        <v>8</v>
      </c>
      <c r="E26" s="61" t="s">
        <v>7</v>
      </c>
      <c r="F26" s="61" t="s">
        <v>125</v>
      </c>
      <c r="G26" s="61" t="str">
        <f t="shared" si="13"/>
        <v>Euribor3M</v>
      </c>
      <c r="H26" s="59" t="str">
        <f t="shared" si="14"/>
        <v>EURAB3E3Y_LCHQuote</v>
      </c>
      <c r="I26" s="127">
        <v>0</v>
      </c>
      <c r="J26" s="64"/>
      <c r="K26" s="64"/>
      <c r="L26" s="48"/>
      <c r="M26" s="71" t="str">
        <f t="shared" si="10"/>
        <v>Sw</v>
      </c>
      <c r="N26" s="140" t="str">
        <f t="shared" si="11"/>
        <v>--</v>
      </c>
      <c r="O26" s="140" t="str">
        <f t="shared" si="12"/>
        <v>--</v>
      </c>
      <c r="P26" s="149" t="str">
        <f>IFERROR(_xll.qlRateHelperQuoteName(N26,Trigger),"--")</f>
        <v>--</v>
      </c>
      <c r="Q26" s="142" t="str">
        <f>IFERROR(_xll.qlRateHelperQuoteValue($N26,Trigger),"--")</f>
        <v>--</v>
      </c>
      <c r="R26" s="141" t="b">
        <v>0</v>
      </c>
      <c r="S26" s="140">
        <v>10</v>
      </c>
      <c r="T26" s="140">
        <v>1</v>
      </c>
      <c r="U26" s="143" t="str">
        <f>IFERROR(_xll.qlRateHelperEarliestDate(N26,Trigger),"--")</f>
        <v>--</v>
      </c>
      <c r="V26" s="143" t="str">
        <f>IFERROR(_xll.qlRateHelperPillarDate(N26,Trigger),"--")</f>
        <v>--</v>
      </c>
      <c r="X26" s="4" t="str">
        <f t="shared" si="0"/>
        <v>BasSw</v>
      </c>
      <c r="Y26" s="4" t="str">
        <v>obj_0059e</v>
      </c>
      <c r="Z26" s="4" t="str">
        <v>obj_005ac</v>
      </c>
      <c r="AA26" s="4" t="str">
        <f>IFERROR(_xll.qlRateHelperQuoteName(Y26,Trigger),"")</f>
        <v>EUR3E6E25Y_LCHQuote</v>
      </c>
      <c r="AB26" s="70">
        <f>IFERROR(_xll.qlRateHelperRate(Y26,Trigger),"")</f>
        <v>1.59347E-2</v>
      </c>
      <c r="AC26" s="104">
        <f>IF(ISERROR(_xll.qlSwapRateHelperSpread($Y26)),IF(ISERROR(_xll.qlFuturesRateHelperConvexityAdjustment($Y26)),"",_xll.qlFuturesRateHelperConvexityAdjustment($Y26)),_xll.qlSwapRateHelperSpread($Y26))</f>
        <v>0</v>
      </c>
      <c r="AD26" s="5">
        <f>IFERROR(_xll.qlRateHelperEarliestDate(Y26,Trigger),"")</f>
        <v>42250</v>
      </c>
      <c r="AE26" s="5">
        <f>IFERROR(_xll.qlRateHelperPillarDate(Y26,Trigger),"")</f>
        <v>51382</v>
      </c>
      <c r="AF26" s="70">
        <v>1.6340310176893073E-2</v>
      </c>
      <c r="AG26" s="77">
        <v>0.66461369584346575</v>
      </c>
      <c r="AH26" s="170">
        <v>51382</v>
      </c>
      <c r="AI26" s="171">
        <v>1.63403101771806E-2</v>
      </c>
      <c r="AJ26" s="173">
        <f t="shared" si="1"/>
        <v>-2.8752694669620382E-13</v>
      </c>
      <c r="AK26" s="80">
        <v>0.66461386491948904</v>
      </c>
      <c r="AL26" s="162">
        <f t="shared" si="2"/>
        <v>1.6907602329307991E-7</v>
      </c>
    </row>
    <row r="27" spans="1:38" ht="11.25" customHeight="1" x14ac:dyDescent="0.2">
      <c r="A27" s="59" t="s">
        <v>25</v>
      </c>
      <c r="B27" s="60" t="s">
        <v>54</v>
      </c>
      <c r="C27" s="61" t="s">
        <v>6</v>
      </c>
      <c r="D27" s="61" t="s">
        <v>8</v>
      </c>
      <c r="E27" s="61" t="s">
        <v>7</v>
      </c>
      <c r="F27" s="61" t="s">
        <v>125</v>
      </c>
      <c r="G27" s="61" t="str">
        <f t="shared" si="13"/>
        <v>Euribor3M</v>
      </c>
      <c r="H27" s="59" t="str">
        <f t="shared" si="14"/>
        <v>EURAB3E4Y_LCHQuote</v>
      </c>
      <c r="I27" s="127">
        <v>0</v>
      </c>
      <c r="J27" s="64"/>
      <c r="K27" s="64"/>
      <c r="L27" s="48"/>
      <c r="M27" s="71" t="str">
        <f t="shared" si="10"/>
        <v>Sw</v>
      </c>
      <c r="N27" s="140" t="str">
        <f t="shared" si="11"/>
        <v>--</v>
      </c>
      <c r="O27" s="140" t="str">
        <f t="shared" si="12"/>
        <v>--</v>
      </c>
      <c r="P27" s="149" t="str">
        <f>IFERROR(_xll.qlRateHelperQuoteName(N27,Trigger),"--")</f>
        <v>--</v>
      </c>
      <c r="Q27" s="142" t="str">
        <f>IFERROR(_xll.qlRateHelperQuoteValue($N27,Trigger),"--")</f>
        <v>--</v>
      </c>
      <c r="R27" s="141" t="b">
        <v>0</v>
      </c>
      <c r="S27" s="140">
        <v>10</v>
      </c>
      <c r="T27" s="140">
        <v>1</v>
      </c>
      <c r="U27" s="143" t="str">
        <f>IFERROR(_xll.qlRateHelperEarliestDate(N27,Trigger),"--")</f>
        <v>--</v>
      </c>
      <c r="V27" s="143" t="str">
        <f>IFERROR(_xll.qlRateHelperPillarDate(N27,Trigger),"--")</f>
        <v>--</v>
      </c>
      <c r="X27" s="4" t="str">
        <f t="shared" si="0"/>
        <v>BasSw</v>
      </c>
      <c r="Y27" s="4" t="str">
        <v>obj_005a2</v>
      </c>
      <c r="Z27" s="4" t="str">
        <v>obj_005af</v>
      </c>
      <c r="AA27" s="4" t="str">
        <f>IFERROR(_xll.qlRateHelperQuoteName(Y27,Trigger),"")</f>
        <v>EUR3E6E30Y_LCHQuote</v>
      </c>
      <c r="AB27" s="70">
        <f>IFERROR(_xll.qlRateHelperRate(Y27,Trigger),"")</f>
        <v>1.6060399999999999E-2</v>
      </c>
      <c r="AC27" s="104">
        <f>IF(ISERROR(_xll.qlSwapRateHelperSpread($Y27)),IF(ISERROR(_xll.qlFuturesRateHelperConvexityAdjustment($Y27)),"",_xll.qlFuturesRateHelperConvexityAdjustment($Y27)),_xll.qlSwapRateHelperSpread($Y27))</f>
        <v>0</v>
      </c>
      <c r="AD27" s="5">
        <f>IFERROR(_xll.qlRateHelperEarliestDate(Y27,Trigger),"")</f>
        <v>42250</v>
      </c>
      <c r="AE27" s="5">
        <f>IFERROR(_xll.qlRateHelperPillarDate(Y27,Trigger),"")</f>
        <v>53209</v>
      </c>
      <c r="AF27" s="70">
        <v>1.6407764942308882E-2</v>
      </c>
      <c r="AG27" s="77">
        <v>0.61117877629930661</v>
      </c>
      <c r="AH27" s="170">
        <v>53209</v>
      </c>
      <c r="AI27" s="171">
        <v>1.6407764942396201E-2</v>
      </c>
      <c r="AJ27" s="173">
        <f t="shared" si="1"/>
        <v>-8.7319040886768562E-14</v>
      </c>
      <c r="AK27" s="80">
        <v>0.61117893178121796</v>
      </c>
      <c r="AL27" s="162">
        <f t="shared" si="2"/>
        <v>1.5548191134584499E-7</v>
      </c>
    </row>
    <row r="28" spans="1:38" ht="11.25" customHeight="1" x14ac:dyDescent="0.2">
      <c r="A28" s="59" t="s">
        <v>25</v>
      </c>
      <c r="B28" s="60" t="s">
        <v>55</v>
      </c>
      <c r="C28" s="61" t="s">
        <v>6</v>
      </c>
      <c r="D28" s="61" t="s">
        <v>8</v>
      </c>
      <c r="E28" s="61" t="s">
        <v>7</v>
      </c>
      <c r="F28" s="61" t="s">
        <v>125</v>
      </c>
      <c r="G28" s="61" t="str">
        <f t="shared" si="13"/>
        <v>Euribor3M</v>
      </c>
      <c r="H28" s="59" t="str">
        <f t="shared" si="14"/>
        <v>EURAB3E5Y_LCHQuote</v>
      </c>
      <c r="I28" s="127">
        <v>0</v>
      </c>
      <c r="J28" s="64"/>
      <c r="K28" s="64"/>
      <c r="L28" s="48"/>
      <c r="M28" s="71" t="str">
        <f t="shared" si="10"/>
        <v>Sw</v>
      </c>
      <c r="N28" s="140" t="str">
        <f t="shared" si="11"/>
        <v>--</v>
      </c>
      <c r="O28" s="140" t="str">
        <f t="shared" si="12"/>
        <v>--</v>
      </c>
      <c r="P28" s="149" t="str">
        <f>IFERROR(_xll.qlRateHelperQuoteName(N28,Trigger),"--")</f>
        <v>--</v>
      </c>
      <c r="Q28" s="142" t="str">
        <f>IFERROR(_xll.qlRateHelperQuoteValue($N28,Trigger),"--")</f>
        <v>--</v>
      </c>
      <c r="R28" s="141" t="b">
        <v>0</v>
      </c>
      <c r="S28" s="140">
        <v>10</v>
      </c>
      <c r="T28" s="140">
        <v>1</v>
      </c>
      <c r="U28" s="143" t="str">
        <f>IFERROR(_xll.qlRateHelperEarliestDate(N28,Trigger),"--")</f>
        <v>--</v>
      </c>
      <c r="V28" s="143" t="str">
        <f>IFERROR(_xll.qlRateHelperPillarDate(N28,Trigger),"--")</f>
        <v>--</v>
      </c>
      <c r="X28" s="4" t="str">
        <f t="shared" si="0"/>
        <v>BasSw</v>
      </c>
      <c r="Y28" s="4" t="str">
        <v>obj_005ab</v>
      </c>
      <c r="Z28" s="4" t="str">
        <v>obj_0059d</v>
      </c>
      <c r="AA28" s="4" t="str">
        <f>IFERROR(_xll.qlRateHelperQuoteName(Y28,Trigger),"")</f>
        <v>EUR3E6E40Y_LCHQuote</v>
      </c>
      <c r="AB28" s="70">
        <f>IFERROR(_xll.qlRateHelperRate(Y28,Trigger),"")</f>
        <v>1.6251000000000002E-2</v>
      </c>
      <c r="AC28" s="104">
        <f>IF(ISERROR(_xll.qlSwapRateHelperSpread($Y28)),IF(ISERROR(_xll.qlFuturesRateHelperConvexityAdjustment($Y28)),"",_xll.qlFuturesRateHelperConvexityAdjustment($Y28)),_xll.qlSwapRateHelperSpread($Y28))</f>
        <v>0</v>
      </c>
      <c r="AD28" s="5">
        <f>IFERROR(_xll.qlRateHelperEarliestDate(Y28,Trigger),"")</f>
        <v>42250</v>
      </c>
      <c r="AE28" s="5">
        <f>IFERROR(_xll.qlRateHelperPillarDate(Y28,Trigger),"")</f>
        <v>56860</v>
      </c>
      <c r="AF28" s="70">
        <v>1.6537285792037719E-2</v>
      </c>
      <c r="AG28" s="77">
        <v>0.51612184279144513</v>
      </c>
      <c r="AH28" s="170">
        <v>56860</v>
      </c>
      <c r="AI28" s="171">
        <v>1.6537285791602001E-2</v>
      </c>
      <c r="AJ28" s="173">
        <f t="shared" si="1"/>
        <v>4.3571743435499855E-13</v>
      </c>
      <c r="AK28" s="80">
        <v>0.51612197409048299</v>
      </c>
      <c r="AL28" s="162">
        <f t="shared" si="2"/>
        <v>1.3129903786435193E-7</v>
      </c>
    </row>
    <row r="29" spans="1:38" ht="11.25" customHeight="1" x14ac:dyDescent="0.2">
      <c r="A29" s="59" t="s">
        <v>25</v>
      </c>
      <c r="B29" s="60" t="s">
        <v>56</v>
      </c>
      <c r="C29" s="61" t="s">
        <v>6</v>
      </c>
      <c r="D29" s="61" t="s">
        <v>8</v>
      </c>
      <c r="E29" s="61" t="s">
        <v>7</v>
      </c>
      <c r="F29" s="61" t="s">
        <v>125</v>
      </c>
      <c r="G29" s="61" t="str">
        <f t="shared" si="13"/>
        <v>Euribor3M</v>
      </c>
      <c r="H29" s="59" t="str">
        <f t="shared" si="14"/>
        <v>EURAB3E6Y_LCHQuote</v>
      </c>
      <c r="I29" s="127">
        <v>0</v>
      </c>
      <c r="J29" s="64"/>
      <c r="K29" s="64"/>
      <c r="L29" s="48"/>
      <c r="M29" s="71" t="str">
        <f t="shared" si="10"/>
        <v>Sw</v>
      </c>
      <c r="N29" s="141" t="str">
        <f t="shared" si="11"/>
        <v>--</v>
      </c>
      <c r="O29" s="141" t="str">
        <f t="shared" si="12"/>
        <v>--</v>
      </c>
      <c r="P29" s="149" t="str">
        <f>IFERROR(_xll.qlRateHelperQuoteName(N29,Trigger),"--")</f>
        <v>--</v>
      </c>
      <c r="Q29" s="142" t="str">
        <f>IFERROR(_xll.qlRateHelperQuoteValue($N29,Trigger),"--")</f>
        <v>--</v>
      </c>
      <c r="R29" s="141" t="b">
        <v>0</v>
      </c>
      <c r="S29" s="141">
        <v>10</v>
      </c>
      <c r="T29" s="141">
        <v>1</v>
      </c>
      <c r="U29" s="143" t="str">
        <f>IFERROR(_xll.qlRateHelperEarliestDate(N29,Trigger),"--")</f>
        <v>--</v>
      </c>
      <c r="V29" s="143" t="str">
        <f>IFERROR(_xll.qlRateHelperPillarDate(N29,Trigger),"--")</f>
        <v>--</v>
      </c>
      <c r="X29" s="4" t="str">
        <f t="shared" si="0"/>
        <v>BasSw</v>
      </c>
      <c r="Y29" s="4" t="str">
        <v>obj_005a4</v>
      </c>
      <c r="Z29" s="4" t="str">
        <v>obj_005a1</v>
      </c>
      <c r="AA29" s="4" t="str">
        <f>IFERROR(_xll.qlRateHelperQuoteName(Y29,Trigger),"")</f>
        <v>EUR3E6E50Y_LCHQuote</v>
      </c>
      <c r="AB29" s="70">
        <f>IFERROR(_xll.qlRateHelperRate(Y29,Trigger),"")</f>
        <v>1.5925999999999999E-2</v>
      </c>
      <c r="AC29" s="104">
        <f>IF(ISERROR(_xll.qlSwapRateHelperSpread($Y29)),IF(ISERROR(_xll.qlFuturesRateHelperConvexityAdjustment($Y29)),"",_xll.qlFuturesRateHelperConvexityAdjustment($Y29)),_xll.qlSwapRateHelperSpread($Y29))</f>
        <v>0</v>
      </c>
      <c r="AD29" s="5">
        <f>IFERROR(_xll.qlRateHelperEarliestDate(Y29,Trigger),"")</f>
        <v>42250</v>
      </c>
      <c r="AE29" s="5">
        <f>IFERROR(_xll.qlRateHelperPillarDate(Y29,Trigger),"")</f>
        <v>60513</v>
      </c>
      <c r="AF29" s="70">
        <v>1.598594098342793E-2</v>
      </c>
      <c r="AG29" s="77">
        <v>0.44967160972551229</v>
      </c>
      <c r="AH29" s="170">
        <v>60513</v>
      </c>
      <c r="AI29" s="171">
        <v>1.5985940983079601E-2</v>
      </c>
      <c r="AJ29" s="173">
        <f t="shared" si="1"/>
        <v>3.4832900452919091E-13</v>
      </c>
      <c r="AK29" s="80">
        <v>0.44967172412034101</v>
      </c>
      <c r="AL29" s="162">
        <f t="shared" si="2"/>
        <v>1.1439482872077633E-7</v>
      </c>
    </row>
    <row r="30" spans="1:38" ht="11.25" customHeight="1" x14ac:dyDescent="0.2">
      <c r="A30" s="59" t="s">
        <v>25</v>
      </c>
      <c r="B30" s="60" t="s">
        <v>57</v>
      </c>
      <c r="C30" s="61" t="s">
        <v>6</v>
      </c>
      <c r="D30" s="61" t="s">
        <v>8</v>
      </c>
      <c r="E30" s="61" t="s">
        <v>7</v>
      </c>
      <c r="F30" s="61" t="s">
        <v>125</v>
      </c>
      <c r="G30" s="61" t="str">
        <f t="shared" si="13"/>
        <v>Euribor3M</v>
      </c>
      <c r="H30" s="59" t="str">
        <f t="shared" si="14"/>
        <v>EURAB3E7Y_LCHQuote</v>
      </c>
      <c r="I30" s="127">
        <v>0</v>
      </c>
      <c r="J30" s="64"/>
      <c r="K30" s="64"/>
      <c r="L30" s="48"/>
      <c r="M30" s="71" t="str">
        <f t="shared" si="10"/>
        <v>Sw</v>
      </c>
      <c r="N30" s="141" t="str">
        <f t="shared" si="11"/>
        <v>--</v>
      </c>
      <c r="O30" s="141" t="str">
        <f t="shared" si="12"/>
        <v>--</v>
      </c>
      <c r="P30" s="149" t="str">
        <f>IFERROR(_xll.qlRateHelperQuoteName(N30,Trigger),"--")</f>
        <v>--</v>
      </c>
      <c r="Q30" s="142" t="str">
        <f>IFERROR(_xll.qlRateHelperQuoteValue($N30,Trigger),"--")</f>
        <v>--</v>
      </c>
      <c r="R30" s="141" t="b">
        <v>0</v>
      </c>
      <c r="S30" s="141">
        <v>10</v>
      </c>
      <c r="T30" s="141">
        <v>1</v>
      </c>
      <c r="U30" s="143" t="str">
        <f>IFERROR(_xll.qlRateHelperEarliestDate(N30,Trigger),"--")</f>
        <v>--</v>
      </c>
      <c r="V30" s="143" t="str">
        <f>IFERROR(_xll.qlRateHelperPillarDate(N30,Trigger),"--")</f>
        <v>--</v>
      </c>
      <c r="X30" s="4" t="str">
        <f t="shared" si="0"/>
        <v>BasSw</v>
      </c>
      <c r="Y30" s="4" t="str">
        <v>obj_0059c</v>
      </c>
      <c r="Z30" s="4" t="str">
        <v>obj_0059a</v>
      </c>
      <c r="AA30" s="4" t="str">
        <f>IFERROR(_xll.qlRateHelperQuoteName(Y30,Trigger),"")</f>
        <v>EUR3E6E60Y_LCHQuote</v>
      </c>
      <c r="AB30" s="70">
        <f>IFERROR(_xll.qlRateHelperRate(Y30,Trigger),"")</f>
        <v>1.5740000000000001E-2</v>
      </c>
      <c r="AC30" s="104">
        <f>IF(ISERROR(_xll.qlSwapRateHelperSpread($Y30)),IF(ISERROR(_xll.qlFuturesRateHelperConvexityAdjustment($Y30)),"",_xll.qlFuturesRateHelperConvexityAdjustment($Y30)),_xll.qlSwapRateHelperSpread($Y30))</f>
        <v>0</v>
      </c>
      <c r="AD30" s="5">
        <f>IFERROR(_xll.qlRateHelperEarliestDate(Y30,Trigger),"")</f>
        <v>42250</v>
      </c>
      <c r="AE30" s="5">
        <f>IFERROR(_xll.qlRateHelperPillarDate(Y30,Trigger),"")</f>
        <v>64165</v>
      </c>
      <c r="AF30" s="70">
        <v>1.5669092432559501E-2</v>
      </c>
      <c r="AG30" s="77">
        <v>0.39048151455972824</v>
      </c>
      <c r="AH30" s="170">
        <v>64165</v>
      </c>
      <c r="AI30" s="171">
        <v>1.56690924322694E-2</v>
      </c>
      <c r="AJ30" s="173">
        <f t="shared" si="1"/>
        <v>2.901012763345534E-13</v>
      </c>
      <c r="AK30" s="80">
        <v>0.39048161389604003</v>
      </c>
      <c r="AL30" s="162">
        <f t="shared" si="2"/>
        <v>9.9336311787379117E-8</v>
      </c>
    </row>
    <row r="31" spans="1:38" ht="11.25" customHeight="1" x14ac:dyDescent="0.2">
      <c r="A31" s="59" t="s">
        <v>25</v>
      </c>
      <c r="B31" s="60" t="s">
        <v>58</v>
      </c>
      <c r="C31" s="61" t="s">
        <v>6</v>
      </c>
      <c r="D31" s="61" t="s">
        <v>8</v>
      </c>
      <c r="E31" s="61" t="s">
        <v>7</v>
      </c>
      <c r="F31" s="61" t="s">
        <v>125</v>
      </c>
      <c r="G31" s="61" t="str">
        <f t="shared" si="13"/>
        <v>Euribor3M</v>
      </c>
      <c r="H31" s="59" t="str">
        <f t="shared" si="14"/>
        <v>EURAB3E8Y_LCHQuote</v>
      </c>
      <c r="I31" s="127">
        <v>0</v>
      </c>
      <c r="J31" s="64"/>
      <c r="K31" s="64"/>
      <c r="L31" s="48"/>
      <c r="M31" s="71" t="str">
        <f t="shared" si="10"/>
        <v>Sw</v>
      </c>
      <c r="N31" s="141" t="str">
        <f t="shared" si="11"/>
        <v>--</v>
      </c>
      <c r="O31" s="141" t="str">
        <f t="shared" si="12"/>
        <v>--</v>
      </c>
      <c r="P31" s="149" t="str">
        <f>IFERROR(_xll.qlRateHelperQuoteName(N31,Trigger),"--")</f>
        <v>--</v>
      </c>
      <c r="Q31" s="142" t="str">
        <f>IFERROR(_xll.qlRateHelperQuoteValue($N31,Trigger),"--")</f>
        <v>--</v>
      </c>
      <c r="R31" s="141" t="b">
        <v>0</v>
      </c>
      <c r="S31" s="141">
        <v>10</v>
      </c>
      <c r="T31" s="141">
        <v>1</v>
      </c>
      <c r="U31" s="143" t="str">
        <f>IFERROR(_xll.qlRateHelperEarliestDate(N31,Trigger),"--")</f>
        <v>--</v>
      </c>
      <c r="V31" s="143" t="str">
        <f>IFERROR(_xll.qlRateHelperPillarDate(N31,Trigger),"--")</f>
        <v>--</v>
      </c>
      <c r="X31" s="4" t="str">
        <f t="shared" si="0"/>
        <v/>
      </c>
      <c r="Y31" s="4" t="e">
        <v>#N/A</v>
      </c>
      <c r="Z31" s="4" t="e">
        <v>#N/A</v>
      </c>
      <c r="AA31" s="4" t="str">
        <f>IFERROR(_xll.qlRateHelperQuoteName(Y31,Trigger),"")</f>
        <v/>
      </c>
      <c r="AB31" s="70" t="str">
        <f>IFERROR(_xll.qlRateHelperRate(Y31,Trigger),"")</f>
        <v/>
      </c>
      <c r="AC31" s="104" t="str">
        <f>IF(ISERROR(_xll.qlSwapRateHelperSpread($Y31)),IF(ISERROR(_xll.qlFuturesRateHelperConvexityAdjustment($Y31)),"",_xll.qlFuturesRateHelperConvexityAdjustment($Y31)),_xll.qlSwapRateHelperSpread($Y31))</f>
        <v/>
      </c>
      <c r="AD31" s="5" t="str">
        <f>IFERROR(_xll.qlRateHelperEarliestDate(Y31,Trigger),"")</f>
        <v/>
      </c>
      <c r="AE31" s="5" t="str">
        <f>IFERROR(_xll.qlRateHelperPillarDate(Y31,Trigger),"")</f>
        <v/>
      </c>
      <c r="AF31" s="70" t="e">
        <v>#N/A</v>
      </c>
      <c r="AG31" s="77" t="e">
        <v>#N/A</v>
      </c>
      <c r="AH31" s="170" t="e">
        <v>#N/A</v>
      </c>
      <c r="AI31" s="171" t="e">
        <v>#N/A</v>
      </c>
      <c r="AJ31" s="173" t="e">
        <f t="shared" si="1"/>
        <v>#N/A</v>
      </c>
      <c r="AK31" s="80" t="e">
        <v>#N/A</v>
      </c>
      <c r="AL31" s="162" t="e">
        <f t="shared" si="2"/>
        <v>#N/A</v>
      </c>
    </row>
    <row r="32" spans="1:38" ht="11.25" customHeight="1" x14ac:dyDescent="0.2">
      <c r="A32" s="59" t="s">
        <v>25</v>
      </c>
      <c r="B32" s="60" t="s">
        <v>59</v>
      </c>
      <c r="C32" s="61" t="s">
        <v>6</v>
      </c>
      <c r="D32" s="61" t="s">
        <v>8</v>
      </c>
      <c r="E32" s="61" t="s">
        <v>7</v>
      </c>
      <c r="F32" s="61" t="s">
        <v>125</v>
      </c>
      <c r="G32" s="61" t="str">
        <f t="shared" si="13"/>
        <v>Euribor3M</v>
      </c>
      <c r="H32" s="59" t="str">
        <f t="shared" si="14"/>
        <v>EURAB3E9Y_LCHQuote</v>
      </c>
      <c r="I32" s="127">
        <v>0</v>
      </c>
      <c r="J32" s="64"/>
      <c r="K32" s="64"/>
      <c r="L32" s="48"/>
      <c r="M32" s="71" t="str">
        <f t="shared" si="10"/>
        <v>Sw</v>
      </c>
      <c r="N32" s="141" t="str">
        <f t="shared" si="11"/>
        <v>--</v>
      </c>
      <c r="O32" s="141" t="str">
        <f t="shared" si="12"/>
        <v>--</v>
      </c>
      <c r="P32" s="149" t="str">
        <f>IFERROR(_xll.qlRateHelperQuoteName(N32,Trigger),"--")</f>
        <v>--</v>
      </c>
      <c r="Q32" s="142" t="str">
        <f>IFERROR(_xll.qlRateHelperQuoteValue($N32,Trigger),"--")</f>
        <v>--</v>
      </c>
      <c r="R32" s="141" t="b">
        <v>0</v>
      </c>
      <c r="S32" s="141">
        <v>10</v>
      </c>
      <c r="T32" s="141">
        <v>1</v>
      </c>
      <c r="U32" s="143" t="str">
        <f>IFERROR(_xll.qlRateHelperEarliestDate(N32,Trigger),"--")</f>
        <v>--</v>
      </c>
      <c r="V32" s="143" t="str">
        <f>IFERROR(_xll.qlRateHelperPillarDate(N32,Trigger),"--")</f>
        <v>--</v>
      </c>
      <c r="X32" s="4" t="str">
        <f t="shared" si="0"/>
        <v/>
      </c>
      <c r="Y32" s="4" t="e">
        <v>#N/A</v>
      </c>
      <c r="Z32" s="4" t="e">
        <v>#N/A</v>
      </c>
      <c r="AA32" s="4" t="str">
        <f>IFERROR(_xll.qlRateHelperQuoteName(Y32,Trigger),"")</f>
        <v/>
      </c>
      <c r="AB32" s="70" t="str">
        <f>IFERROR(_xll.qlRateHelperRate(Y32,Trigger),"")</f>
        <v/>
      </c>
      <c r="AC32" s="104" t="str">
        <f>IF(ISERROR(_xll.qlSwapRateHelperSpread($Y32)),IF(ISERROR(_xll.qlFuturesRateHelperConvexityAdjustment($Y32)),"",_xll.qlFuturesRateHelperConvexityAdjustment($Y32)),_xll.qlSwapRateHelperSpread($Y32))</f>
        <v/>
      </c>
      <c r="AD32" s="5" t="str">
        <f>IFERROR(_xll.qlRateHelperEarliestDate(Y32,Trigger),"")</f>
        <v/>
      </c>
      <c r="AE32" s="5" t="str">
        <f>IFERROR(_xll.qlRateHelperPillarDate(Y32,Trigger),"")</f>
        <v/>
      </c>
      <c r="AF32" s="70" t="e">
        <v>#N/A</v>
      </c>
      <c r="AG32" s="77" t="e">
        <v>#N/A</v>
      </c>
      <c r="AH32" s="170" t="e">
        <v>#N/A</v>
      </c>
      <c r="AI32" s="171" t="e">
        <v>#N/A</v>
      </c>
      <c r="AJ32" s="173" t="e">
        <f t="shared" si="1"/>
        <v>#N/A</v>
      </c>
      <c r="AK32" s="80" t="e">
        <v>#N/A</v>
      </c>
      <c r="AL32" s="162" t="e">
        <f t="shared" si="2"/>
        <v>#N/A</v>
      </c>
    </row>
    <row r="33" spans="1:38" ht="11.25" customHeight="1" x14ac:dyDescent="0.2">
      <c r="A33" s="59" t="s">
        <v>25</v>
      </c>
      <c r="B33" s="60" t="s">
        <v>60</v>
      </c>
      <c r="C33" s="61" t="s">
        <v>6</v>
      </c>
      <c r="D33" s="61" t="s">
        <v>8</v>
      </c>
      <c r="E33" s="61" t="s">
        <v>7</v>
      </c>
      <c r="F33" s="61" t="s">
        <v>125</v>
      </c>
      <c r="G33" s="61" t="str">
        <f t="shared" si="13"/>
        <v>Euribor3M</v>
      </c>
      <c r="H33" s="59" t="str">
        <f t="shared" si="14"/>
        <v>EURAB3E10Y_LCHQuote</v>
      </c>
      <c r="I33" s="127">
        <v>0</v>
      </c>
      <c r="J33" s="64"/>
      <c r="K33" s="64"/>
      <c r="L33" s="48"/>
      <c r="M33" s="71" t="str">
        <f t="shared" si="10"/>
        <v>Sw</v>
      </c>
      <c r="N33" s="141" t="str">
        <f t="shared" si="11"/>
        <v>--</v>
      </c>
      <c r="O33" s="141" t="str">
        <f t="shared" si="12"/>
        <v>--</v>
      </c>
      <c r="P33" s="149" t="str">
        <f>IFERROR(_xll.qlRateHelperQuoteName(N33,Trigger),"--")</f>
        <v>--</v>
      </c>
      <c r="Q33" s="142" t="str">
        <f>IFERROR(_xll.qlRateHelperQuoteValue($N33,Trigger),"--")</f>
        <v>--</v>
      </c>
      <c r="R33" s="141" t="b">
        <v>0</v>
      </c>
      <c r="S33" s="141">
        <v>10</v>
      </c>
      <c r="T33" s="141">
        <v>1</v>
      </c>
      <c r="U33" s="143" t="str">
        <f>IFERROR(_xll.qlRateHelperEarliestDate(N33,Trigger),"--")</f>
        <v>--</v>
      </c>
      <c r="V33" s="143" t="str">
        <f>IFERROR(_xll.qlRateHelperPillarDate(N33,Trigger),"--")</f>
        <v>--</v>
      </c>
      <c r="X33" s="4" t="str">
        <f t="shared" si="0"/>
        <v/>
      </c>
      <c r="Y33" s="4" t="e">
        <v>#N/A</v>
      </c>
      <c r="Z33" s="4" t="e">
        <v>#N/A</v>
      </c>
      <c r="AA33" s="4" t="str">
        <f>IFERROR(_xll.qlRateHelperQuoteName(Y33,Trigger),"")</f>
        <v/>
      </c>
      <c r="AB33" s="70" t="str">
        <f>IFERROR(_xll.qlRateHelperRate(Y33,Trigger),"")</f>
        <v/>
      </c>
      <c r="AC33" s="104" t="str">
        <f>IF(ISERROR(_xll.qlSwapRateHelperSpread($Y33)),IF(ISERROR(_xll.qlFuturesRateHelperConvexityAdjustment($Y33)),"",_xll.qlFuturesRateHelperConvexityAdjustment($Y33)),_xll.qlSwapRateHelperSpread($Y33))</f>
        <v/>
      </c>
      <c r="AD33" s="5" t="str">
        <f>IFERROR(_xll.qlRateHelperEarliestDate(Y33,Trigger),"")</f>
        <v/>
      </c>
      <c r="AE33" s="5" t="str">
        <f>IFERROR(_xll.qlRateHelperPillarDate(Y33,Trigger),"")</f>
        <v/>
      </c>
      <c r="AF33" s="70" t="e">
        <v>#N/A</v>
      </c>
      <c r="AG33" s="77" t="e">
        <v>#N/A</v>
      </c>
      <c r="AH33" s="170" t="e">
        <v>#N/A</v>
      </c>
      <c r="AI33" s="171" t="e">
        <v>#N/A</v>
      </c>
      <c r="AJ33" s="173" t="e">
        <f t="shared" si="1"/>
        <v>#N/A</v>
      </c>
      <c r="AK33" s="80" t="e">
        <v>#N/A</v>
      </c>
      <c r="AL33" s="162" t="e">
        <f t="shared" si="2"/>
        <v>#N/A</v>
      </c>
    </row>
    <row r="34" spans="1:38" ht="11.25" customHeight="1" x14ac:dyDescent="0.2">
      <c r="A34" s="59" t="s">
        <v>25</v>
      </c>
      <c r="B34" s="60" t="s">
        <v>98</v>
      </c>
      <c r="C34" s="61" t="s">
        <v>6</v>
      </c>
      <c r="D34" s="61" t="s">
        <v>8</v>
      </c>
      <c r="E34" s="61" t="s">
        <v>7</v>
      </c>
      <c r="F34" s="61" t="s">
        <v>125</v>
      </c>
      <c r="G34" s="61" t="str">
        <f t="shared" si="13"/>
        <v>Euribor3M</v>
      </c>
      <c r="H34" s="59" t="str">
        <f t="shared" si="14"/>
        <v>EURAB3E11Y_LCHQuote</v>
      </c>
      <c r="I34" s="127">
        <v>0</v>
      </c>
      <c r="J34" s="64"/>
      <c r="K34" s="64"/>
      <c r="L34" s="48"/>
      <c r="M34" s="71" t="str">
        <f t="shared" si="10"/>
        <v>Sw</v>
      </c>
      <c r="N34" s="141" t="str">
        <f t="shared" si="11"/>
        <v>--</v>
      </c>
      <c r="O34" s="141" t="str">
        <f t="shared" si="12"/>
        <v>--</v>
      </c>
      <c r="P34" s="149" t="str">
        <f>IFERROR(_xll.qlRateHelperQuoteName(N34,Trigger),"--")</f>
        <v>--</v>
      </c>
      <c r="Q34" s="142" t="str">
        <f>IFERROR(_xll.qlRateHelperQuoteValue($N34,Trigger),"--")</f>
        <v>--</v>
      </c>
      <c r="R34" s="141" t="b">
        <v>0</v>
      </c>
      <c r="S34" s="141">
        <v>10</v>
      </c>
      <c r="T34" s="141">
        <v>1</v>
      </c>
      <c r="U34" s="143" t="str">
        <f>IFERROR(_xll.qlRateHelperEarliestDate(N34,Trigger),"--")</f>
        <v>--</v>
      </c>
      <c r="V34" s="143" t="str">
        <f>IFERROR(_xll.qlRateHelperPillarDate(N34,Trigger),"--")</f>
        <v>--</v>
      </c>
      <c r="X34" s="4" t="str">
        <f t="shared" si="0"/>
        <v/>
      </c>
      <c r="Y34" s="4" t="e">
        <v>#N/A</v>
      </c>
      <c r="Z34" s="4" t="e">
        <v>#N/A</v>
      </c>
      <c r="AA34" s="4" t="str">
        <f>IFERROR(_xll.qlRateHelperQuoteName(Y34,Trigger),"")</f>
        <v/>
      </c>
      <c r="AB34" s="70" t="str">
        <f>IFERROR(_xll.qlRateHelperRate(Y34,Trigger),"")</f>
        <v/>
      </c>
      <c r="AC34" s="104" t="str">
        <f>IF(ISERROR(_xll.qlSwapRateHelperSpread($Y34)),IF(ISERROR(_xll.qlFuturesRateHelperConvexityAdjustment($Y34)),"",_xll.qlFuturesRateHelperConvexityAdjustment($Y34)),_xll.qlSwapRateHelperSpread($Y34))</f>
        <v/>
      </c>
      <c r="AD34" s="5" t="str">
        <f>IFERROR(_xll.qlRateHelperEarliestDate(Y34,Trigger),"")</f>
        <v/>
      </c>
      <c r="AE34" s="5" t="str">
        <f>IFERROR(_xll.qlRateHelperPillarDate(Y34,Trigger),"")</f>
        <v/>
      </c>
      <c r="AF34" s="70" t="e">
        <v>#N/A</v>
      </c>
      <c r="AG34" s="77" t="e">
        <v>#N/A</v>
      </c>
      <c r="AH34" s="170" t="e">
        <v>#N/A</v>
      </c>
      <c r="AI34" s="171" t="e">
        <v>#N/A</v>
      </c>
      <c r="AJ34" s="173" t="e">
        <f t="shared" si="1"/>
        <v>#N/A</v>
      </c>
      <c r="AK34" s="80" t="e">
        <v>#N/A</v>
      </c>
      <c r="AL34" s="162" t="e">
        <f t="shared" si="2"/>
        <v>#N/A</v>
      </c>
    </row>
    <row r="35" spans="1:38" ht="11.25" customHeight="1" x14ac:dyDescent="0.2">
      <c r="A35" s="59" t="s">
        <v>25</v>
      </c>
      <c r="B35" s="60" t="s">
        <v>61</v>
      </c>
      <c r="C35" s="61" t="s">
        <v>6</v>
      </c>
      <c r="D35" s="61" t="s">
        <v>8</v>
      </c>
      <c r="E35" s="61" t="s">
        <v>7</v>
      </c>
      <c r="F35" s="61" t="s">
        <v>125</v>
      </c>
      <c r="G35" s="61" t="str">
        <f t="shared" si="13"/>
        <v>Euribor3M</v>
      </c>
      <c r="H35" s="59" t="str">
        <f t="shared" si="14"/>
        <v>EURAB3E12Y_LCHQuote</v>
      </c>
      <c r="I35" s="127">
        <v>0</v>
      </c>
      <c r="J35" s="64"/>
      <c r="K35" s="64"/>
      <c r="L35" s="48"/>
      <c r="M35" s="71" t="str">
        <f t="shared" si="10"/>
        <v>Sw</v>
      </c>
      <c r="N35" s="141" t="str">
        <f t="shared" si="11"/>
        <v>--</v>
      </c>
      <c r="O35" s="141" t="str">
        <f t="shared" si="12"/>
        <v>--</v>
      </c>
      <c r="P35" s="149" t="str">
        <f>IFERROR(_xll.qlRateHelperQuoteName(N35,Trigger),"--")</f>
        <v>--</v>
      </c>
      <c r="Q35" s="142" t="str">
        <f>IFERROR(_xll.qlRateHelperQuoteValue($N35,Trigger),"--")</f>
        <v>--</v>
      </c>
      <c r="R35" s="141" t="b">
        <v>0</v>
      </c>
      <c r="S35" s="141">
        <v>10</v>
      </c>
      <c r="T35" s="141">
        <v>1</v>
      </c>
      <c r="U35" s="143" t="str">
        <f>IFERROR(_xll.qlRateHelperEarliestDate(N35,Trigger),"--")</f>
        <v>--</v>
      </c>
      <c r="V35" s="143" t="str">
        <f>IFERROR(_xll.qlRateHelperPillarDate(N35,Trigger),"--")</f>
        <v>--</v>
      </c>
      <c r="X35" s="4" t="str">
        <f t="shared" ref="X35:X66" si="15">IFERROR(INDEX($M$3:$M$90,MATCH(AA35,$P$3:$P$90,0),1),"")</f>
        <v/>
      </c>
      <c r="Y35" s="4" t="e">
        <v>#N/A</v>
      </c>
      <c r="Z35" s="4" t="e">
        <v>#N/A</v>
      </c>
      <c r="AA35" s="4" t="str">
        <f>IFERROR(_xll.qlRateHelperQuoteName(Y35,Trigger),"")</f>
        <v/>
      </c>
      <c r="AB35" s="70" t="str">
        <f>IFERROR(_xll.qlRateHelperRate(Y35,Trigger),"")</f>
        <v/>
      </c>
      <c r="AC35" s="104" t="str">
        <f>IF(ISERROR(_xll.qlSwapRateHelperSpread($Y35)),IF(ISERROR(_xll.qlFuturesRateHelperConvexityAdjustment($Y35)),"",_xll.qlFuturesRateHelperConvexityAdjustment($Y35)),_xll.qlSwapRateHelperSpread($Y35))</f>
        <v/>
      </c>
      <c r="AD35" s="5" t="str">
        <f>IFERROR(_xll.qlRateHelperEarliestDate(Y35,Trigger),"")</f>
        <v/>
      </c>
      <c r="AE35" s="5" t="str">
        <f>IFERROR(_xll.qlRateHelperPillarDate(Y35,Trigger),"")</f>
        <v/>
      </c>
      <c r="AF35" s="70" t="e">
        <v>#N/A</v>
      </c>
      <c r="AG35" s="77" t="e">
        <v>#N/A</v>
      </c>
      <c r="AH35" s="170" t="e">
        <v>#N/A</v>
      </c>
      <c r="AI35" s="171" t="e">
        <v>#N/A</v>
      </c>
      <c r="AJ35" s="173" t="e">
        <f t="shared" ref="AJ35:AJ66" si="16">AF35-AI35</f>
        <v>#N/A</v>
      </c>
      <c r="AK35" s="80" t="e">
        <v>#N/A</v>
      </c>
      <c r="AL35" s="162" t="e">
        <f t="shared" ref="AL35:AL66" si="17">AK35-AG35</f>
        <v>#N/A</v>
      </c>
    </row>
    <row r="36" spans="1:38" ht="11.25" customHeight="1" x14ac:dyDescent="0.2">
      <c r="A36" s="59" t="s">
        <v>25</v>
      </c>
      <c r="B36" s="60" t="s">
        <v>99</v>
      </c>
      <c r="C36" s="61" t="s">
        <v>6</v>
      </c>
      <c r="D36" s="61" t="s">
        <v>8</v>
      </c>
      <c r="E36" s="61" t="s">
        <v>7</v>
      </c>
      <c r="F36" s="61" t="s">
        <v>125</v>
      </c>
      <c r="G36" s="61" t="str">
        <f t="shared" si="13"/>
        <v>Euribor3M</v>
      </c>
      <c r="H36" s="59" t="str">
        <f t="shared" si="14"/>
        <v>EURAB3E13Y_LCHQuote</v>
      </c>
      <c r="I36" s="127">
        <v>0</v>
      </c>
      <c r="J36" s="64"/>
      <c r="K36" s="64"/>
      <c r="L36" s="48"/>
      <c r="M36" s="71" t="str">
        <f t="shared" si="10"/>
        <v>Sw</v>
      </c>
      <c r="N36" s="141" t="str">
        <f t="shared" si="11"/>
        <v>--</v>
      </c>
      <c r="O36" s="141" t="str">
        <f t="shared" si="12"/>
        <v>--</v>
      </c>
      <c r="P36" s="149" t="str">
        <f>IFERROR(_xll.qlRateHelperQuoteName(N36,Trigger),"--")</f>
        <v>--</v>
      </c>
      <c r="Q36" s="142" t="str">
        <f>IFERROR(_xll.qlRateHelperQuoteValue($N36,Trigger),"--")</f>
        <v>--</v>
      </c>
      <c r="R36" s="141" t="b">
        <v>0</v>
      </c>
      <c r="S36" s="141">
        <v>10</v>
      </c>
      <c r="T36" s="141">
        <v>1</v>
      </c>
      <c r="U36" s="143" t="str">
        <f>IFERROR(_xll.qlRateHelperEarliestDate(N36,Trigger),"--")</f>
        <v>--</v>
      </c>
      <c r="V36" s="143" t="str">
        <f>IFERROR(_xll.qlRateHelperPillarDate(N36,Trigger),"--")</f>
        <v>--</v>
      </c>
      <c r="X36" s="4" t="str">
        <f t="shared" si="15"/>
        <v/>
      </c>
      <c r="Y36" s="4" t="e">
        <v>#N/A</v>
      </c>
      <c r="Z36" s="4" t="e">
        <v>#N/A</v>
      </c>
      <c r="AA36" s="4" t="str">
        <f>IFERROR(_xll.qlRateHelperQuoteName(Y36,Trigger),"")</f>
        <v/>
      </c>
      <c r="AB36" s="70" t="str">
        <f>IFERROR(_xll.qlRateHelperRate(Y36,Trigger),"")</f>
        <v/>
      </c>
      <c r="AC36" s="104" t="str">
        <f>IF(ISERROR(_xll.qlSwapRateHelperSpread($Y36)),IF(ISERROR(_xll.qlFuturesRateHelperConvexityAdjustment($Y36)),"",_xll.qlFuturesRateHelperConvexityAdjustment($Y36)),_xll.qlSwapRateHelperSpread($Y36))</f>
        <v/>
      </c>
      <c r="AD36" s="5" t="str">
        <f>IFERROR(_xll.qlRateHelperEarliestDate(Y36,Trigger),"")</f>
        <v/>
      </c>
      <c r="AE36" s="5" t="str">
        <f>IFERROR(_xll.qlRateHelperPillarDate(Y36,Trigger),"")</f>
        <v/>
      </c>
      <c r="AF36" s="70" t="e">
        <v>#N/A</v>
      </c>
      <c r="AG36" s="77" t="e">
        <v>#N/A</v>
      </c>
      <c r="AH36" s="170" t="e">
        <v>#N/A</v>
      </c>
      <c r="AI36" s="171" t="e">
        <v>#N/A</v>
      </c>
      <c r="AJ36" s="173" t="e">
        <f t="shared" si="16"/>
        <v>#N/A</v>
      </c>
      <c r="AK36" s="80" t="e">
        <v>#N/A</v>
      </c>
      <c r="AL36" s="162" t="e">
        <f t="shared" si="17"/>
        <v>#N/A</v>
      </c>
    </row>
    <row r="37" spans="1:38" ht="11.25" customHeight="1" x14ac:dyDescent="0.2">
      <c r="A37" s="59" t="s">
        <v>25</v>
      </c>
      <c r="B37" s="60" t="s">
        <v>100</v>
      </c>
      <c r="C37" s="61" t="s">
        <v>6</v>
      </c>
      <c r="D37" s="61" t="s">
        <v>8</v>
      </c>
      <c r="E37" s="61" t="s">
        <v>7</v>
      </c>
      <c r="F37" s="61" t="s">
        <v>125</v>
      </c>
      <c r="G37" s="61" t="str">
        <f t="shared" si="13"/>
        <v>Euribor3M</v>
      </c>
      <c r="H37" s="59" t="str">
        <f t="shared" si="14"/>
        <v>EURAB3E14Y_LCHQuote</v>
      </c>
      <c r="I37" s="127">
        <v>0</v>
      </c>
      <c r="J37" s="64"/>
      <c r="K37" s="64"/>
      <c r="L37" s="48"/>
      <c r="M37" s="71" t="str">
        <f t="shared" si="10"/>
        <v>Sw</v>
      </c>
      <c r="N37" s="141" t="str">
        <f t="shared" si="11"/>
        <v>--</v>
      </c>
      <c r="O37" s="141" t="str">
        <f t="shared" si="12"/>
        <v>--</v>
      </c>
      <c r="P37" s="149" t="str">
        <f>IFERROR(_xll.qlRateHelperQuoteName(N37,Trigger),"--")</f>
        <v>--</v>
      </c>
      <c r="Q37" s="142" t="str">
        <f>IFERROR(_xll.qlRateHelperQuoteValue($N37,Trigger),"--")</f>
        <v>--</v>
      </c>
      <c r="R37" s="141" t="b">
        <v>0</v>
      </c>
      <c r="S37" s="141">
        <v>10</v>
      </c>
      <c r="T37" s="141">
        <v>1</v>
      </c>
      <c r="U37" s="143" t="str">
        <f>IFERROR(_xll.qlRateHelperEarliestDate(N37,Trigger),"--")</f>
        <v>--</v>
      </c>
      <c r="V37" s="143" t="str">
        <f>IFERROR(_xll.qlRateHelperPillarDate(N37,Trigger),"--")</f>
        <v>--</v>
      </c>
      <c r="X37" s="4" t="str">
        <f t="shared" si="15"/>
        <v/>
      </c>
      <c r="Y37" s="4" t="e">
        <v>#N/A</v>
      </c>
      <c r="Z37" s="4" t="e">
        <v>#N/A</v>
      </c>
      <c r="AA37" s="4" t="str">
        <f>IFERROR(_xll.qlRateHelperQuoteName(Y37,Trigger),"")</f>
        <v/>
      </c>
      <c r="AB37" s="70" t="str">
        <f>IFERROR(_xll.qlRateHelperRate(Y37,Trigger),"")</f>
        <v/>
      </c>
      <c r="AC37" s="104" t="str">
        <f>IF(ISERROR(_xll.qlSwapRateHelperSpread($Y37)),IF(ISERROR(_xll.qlFuturesRateHelperConvexityAdjustment($Y37)),"",_xll.qlFuturesRateHelperConvexityAdjustment($Y37)),_xll.qlSwapRateHelperSpread($Y37))</f>
        <v/>
      </c>
      <c r="AD37" s="5" t="str">
        <f>IFERROR(_xll.qlRateHelperEarliestDate(Y37,Trigger),"")</f>
        <v/>
      </c>
      <c r="AE37" s="5" t="str">
        <f>IFERROR(_xll.qlRateHelperPillarDate(Y37,Trigger),"")</f>
        <v/>
      </c>
      <c r="AF37" s="70" t="e">
        <v>#N/A</v>
      </c>
      <c r="AG37" s="77" t="e">
        <v>#N/A</v>
      </c>
      <c r="AH37" s="170" t="e">
        <v>#N/A</v>
      </c>
      <c r="AI37" s="171" t="e">
        <v>#N/A</v>
      </c>
      <c r="AJ37" s="173" t="e">
        <f t="shared" si="16"/>
        <v>#N/A</v>
      </c>
      <c r="AK37" s="80" t="e">
        <v>#N/A</v>
      </c>
      <c r="AL37" s="162" t="e">
        <f t="shared" si="17"/>
        <v>#N/A</v>
      </c>
    </row>
    <row r="38" spans="1:38" ht="11.25" customHeight="1" x14ac:dyDescent="0.2">
      <c r="A38" s="59" t="s">
        <v>25</v>
      </c>
      <c r="B38" s="60" t="s">
        <v>62</v>
      </c>
      <c r="C38" s="61" t="s">
        <v>6</v>
      </c>
      <c r="D38" s="61" t="s">
        <v>8</v>
      </c>
      <c r="E38" s="61" t="s">
        <v>7</v>
      </c>
      <c r="F38" s="61" t="s">
        <v>125</v>
      </c>
      <c r="G38" s="61" t="str">
        <f t="shared" si="13"/>
        <v>Euribor3M</v>
      </c>
      <c r="H38" s="59" t="str">
        <f t="shared" si="14"/>
        <v>EURAB3E15Y_LCHQuote</v>
      </c>
      <c r="I38" s="127">
        <v>0</v>
      </c>
      <c r="J38" s="64"/>
      <c r="K38" s="64"/>
      <c r="L38" s="48"/>
      <c r="M38" s="71" t="str">
        <f t="shared" si="10"/>
        <v>Sw</v>
      </c>
      <c r="N38" s="141" t="str">
        <f t="shared" si="11"/>
        <v>--</v>
      </c>
      <c r="O38" s="141" t="str">
        <f t="shared" si="12"/>
        <v>--</v>
      </c>
      <c r="P38" s="149" t="str">
        <f>IFERROR(_xll.qlRateHelperQuoteName(N38,Trigger),"--")</f>
        <v>--</v>
      </c>
      <c r="Q38" s="142" t="str">
        <f>IFERROR(_xll.qlRateHelperQuoteValue($N38,Trigger),"--")</f>
        <v>--</v>
      </c>
      <c r="R38" s="141" t="b">
        <v>0</v>
      </c>
      <c r="S38" s="141">
        <v>10</v>
      </c>
      <c r="T38" s="141">
        <v>1</v>
      </c>
      <c r="U38" s="143" t="str">
        <f>IFERROR(_xll.qlRateHelperEarliestDate(N38,Trigger),"--")</f>
        <v>--</v>
      </c>
      <c r="V38" s="143" t="str">
        <f>IFERROR(_xll.qlRateHelperPillarDate(N38,Trigger),"--")</f>
        <v>--</v>
      </c>
      <c r="X38" s="4" t="str">
        <f t="shared" si="15"/>
        <v/>
      </c>
      <c r="Y38" s="4" t="e">
        <v>#N/A</v>
      </c>
      <c r="Z38" s="4" t="e">
        <v>#N/A</v>
      </c>
      <c r="AA38" s="4" t="str">
        <f>IFERROR(_xll.qlRateHelperQuoteName(Y38,Trigger),"")</f>
        <v/>
      </c>
      <c r="AB38" s="70" t="str">
        <f>IFERROR(_xll.qlRateHelperRate(Y38,Trigger),"")</f>
        <v/>
      </c>
      <c r="AC38" s="104" t="str">
        <f>IF(ISERROR(_xll.qlSwapRateHelperSpread($Y38)),IF(ISERROR(_xll.qlFuturesRateHelperConvexityAdjustment($Y38)),"",_xll.qlFuturesRateHelperConvexityAdjustment($Y38)),_xll.qlSwapRateHelperSpread($Y38))</f>
        <v/>
      </c>
      <c r="AD38" s="5" t="str">
        <f>IFERROR(_xll.qlRateHelperEarliestDate(Y38,Trigger),"")</f>
        <v/>
      </c>
      <c r="AE38" s="5" t="str">
        <f>IFERROR(_xll.qlRateHelperPillarDate(Y38,Trigger),"")</f>
        <v/>
      </c>
      <c r="AF38" s="70" t="e">
        <v>#N/A</v>
      </c>
      <c r="AG38" s="77" t="e">
        <v>#N/A</v>
      </c>
      <c r="AH38" s="170" t="e">
        <v>#N/A</v>
      </c>
      <c r="AI38" s="171" t="e">
        <v>#N/A</v>
      </c>
      <c r="AJ38" s="173" t="e">
        <f t="shared" si="16"/>
        <v>#N/A</v>
      </c>
      <c r="AK38" s="80" t="e">
        <v>#N/A</v>
      </c>
      <c r="AL38" s="162" t="e">
        <f t="shared" si="17"/>
        <v>#N/A</v>
      </c>
    </row>
    <row r="39" spans="1:38" ht="11.25" customHeight="1" x14ac:dyDescent="0.2">
      <c r="A39" s="59" t="s">
        <v>25</v>
      </c>
      <c r="B39" s="60" t="s">
        <v>101</v>
      </c>
      <c r="C39" s="61" t="s">
        <v>6</v>
      </c>
      <c r="D39" s="61" t="s">
        <v>8</v>
      </c>
      <c r="E39" s="61" t="s">
        <v>7</v>
      </c>
      <c r="F39" s="61" t="s">
        <v>125</v>
      </c>
      <c r="G39" s="61" t="str">
        <f t="shared" si="13"/>
        <v>Euribor3M</v>
      </c>
      <c r="H39" s="59" t="str">
        <f t="shared" si="14"/>
        <v>EURAB3E16Y_LCHQuote</v>
      </c>
      <c r="I39" s="127">
        <v>0</v>
      </c>
      <c r="J39" s="64"/>
      <c r="K39" s="64"/>
      <c r="L39" s="48"/>
      <c r="M39" s="71" t="str">
        <f t="shared" si="10"/>
        <v>Sw</v>
      </c>
      <c r="N39" s="141" t="str">
        <f t="shared" si="11"/>
        <v>--</v>
      </c>
      <c r="O39" s="141" t="str">
        <f t="shared" si="12"/>
        <v>--</v>
      </c>
      <c r="P39" s="149" t="str">
        <f>IFERROR(_xll.qlRateHelperQuoteName(N39,Trigger),"--")</f>
        <v>--</v>
      </c>
      <c r="Q39" s="142" t="str">
        <f>IFERROR(_xll.qlRateHelperQuoteValue($N39,Trigger),"--")</f>
        <v>--</v>
      </c>
      <c r="R39" s="141" t="b">
        <v>0</v>
      </c>
      <c r="S39" s="141">
        <v>10</v>
      </c>
      <c r="T39" s="141">
        <v>1</v>
      </c>
      <c r="U39" s="143" t="str">
        <f>IFERROR(_xll.qlRateHelperEarliestDate(N39,Trigger),"--")</f>
        <v>--</v>
      </c>
      <c r="V39" s="143" t="str">
        <f>IFERROR(_xll.qlRateHelperPillarDate(N39,Trigger),"--")</f>
        <v>--</v>
      </c>
      <c r="X39" s="4" t="str">
        <f t="shared" si="15"/>
        <v/>
      </c>
      <c r="Y39" s="4" t="e">
        <v>#N/A</v>
      </c>
      <c r="Z39" s="4" t="e">
        <v>#N/A</v>
      </c>
      <c r="AA39" s="4" t="str">
        <f>IFERROR(_xll.qlRateHelperQuoteName(Y39,Trigger),"")</f>
        <v/>
      </c>
      <c r="AB39" s="70" t="str">
        <f>IFERROR(_xll.qlRateHelperRate(Y39,Trigger),"")</f>
        <v/>
      </c>
      <c r="AC39" s="104" t="str">
        <f>IF(ISERROR(_xll.qlSwapRateHelperSpread($Y39)),IF(ISERROR(_xll.qlFuturesRateHelperConvexityAdjustment($Y39)),"",_xll.qlFuturesRateHelperConvexityAdjustment($Y39)),_xll.qlSwapRateHelperSpread($Y39))</f>
        <v/>
      </c>
      <c r="AD39" s="5" t="str">
        <f>IFERROR(_xll.qlRateHelperEarliestDate(Y39,Trigger),"")</f>
        <v/>
      </c>
      <c r="AE39" s="5" t="str">
        <f>IFERROR(_xll.qlRateHelperPillarDate(Y39,Trigger),"")</f>
        <v/>
      </c>
      <c r="AF39" s="70" t="e">
        <v>#N/A</v>
      </c>
      <c r="AG39" s="77" t="e">
        <v>#N/A</v>
      </c>
      <c r="AH39" s="170" t="e">
        <v>#N/A</v>
      </c>
      <c r="AI39" s="171" t="e">
        <v>#N/A</v>
      </c>
      <c r="AJ39" s="173" t="e">
        <f t="shared" si="16"/>
        <v>#N/A</v>
      </c>
      <c r="AK39" s="80" t="e">
        <v>#N/A</v>
      </c>
      <c r="AL39" s="162" t="e">
        <f t="shared" si="17"/>
        <v>#N/A</v>
      </c>
    </row>
    <row r="40" spans="1:38" ht="11.25" customHeight="1" x14ac:dyDescent="0.2">
      <c r="A40" s="59" t="s">
        <v>25</v>
      </c>
      <c r="B40" s="60" t="s">
        <v>102</v>
      </c>
      <c r="C40" s="61" t="s">
        <v>6</v>
      </c>
      <c r="D40" s="61" t="s">
        <v>8</v>
      </c>
      <c r="E40" s="61" t="s">
        <v>7</v>
      </c>
      <c r="F40" s="61" t="s">
        <v>125</v>
      </c>
      <c r="G40" s="61" t="str">
        <f t="shared" si="13"/>
        <v>Euribor3M</v>
      </c>
      <c r="H40" s="59" t="str">
        <f t="shared" si="14"/>
        <v>EURAB3E17Y_LCHQuote</v>
      </c>
      <c r="I40" s="127">
        <v>0</v>
      </c>
      <c r="J40" s="64"/>
      <c r="K40" s="64"/>
      <c r="L40" s="48"/>
      <c r="M40" s="71" t="str">
        <f t="shared" si="10"/>
        <v>Sw</v>
      </c>
      <c r="N40" s="141" t="str">
        <f t="shared" si="11"/>
        <v>--</v>
      </c>
      <c r="O40" s="141" t="str">
        <f t="shared" si="12"/>
        <v>--</v>
      </c>
      <c r="P40" s="149" t="str">
        <f>IFERROR(_xll.qlRateHelperQuoteName(N40,Trigger),"--")</f>
        <v>--</v>
      </c>
      <c r="Q40" s="142" t="str">
        <f>IFERROR(_xll.qlRateHelperQuoteValue($N40,Trigger),"--")</f>
        <v>--</v>
      </c>
      <c r="R40" s="141" t="b">
        <v>0</v>
      </c>
      <c r="S40" s="141">
        <v>10</v>
      </c>
      <c r="T40" s="141">
        <v>1</v>
      </c>
      <c r="U40" s="143" t="str">
        <f>IFERROR(_xll.qlRateHelperEarliestDate(N40,Trigger),"--")</f>
        <v>--</v>
      </c>
      <c r="V40" s="143" t="str">
        <f>IFERROR(_xll.qlRateHelperPillarDate(N40,Trigger),"--")</f>
        <v>--</v>
      </c>
      <c r="X40" s="4" t="str">
        <f t="shared" si="15"/>
        <v/>
      </c>
      <c r="Y40" s="4" t="e">
        <v>#N/A</v>
      </c>
      <c r="Z40" s="4" t="e">
        <v>#N/A</v>
      </c>
      <c r="AA40" s="4" t="str">
        <f>IFERROR(_xll.qlRateHelperQuoteName(Y40,Trigger),"")</f>
        <v/>
      </c>
      <c r="AB40" s="70" t="str">
        <f>IFERROR(_xll.qlRateHelperRate(Y40,Trigger),"")</f>
        <v/>
      </c>
      <c r="AC40" s="104" t="str">
        <f>IF(ISERROR(_xll.qlSwapRateHelperSpread($Y40)),IF(ISERROR(_xll.qlFuturesRateHelperConvexityAdjustment($Y40)),"",_xll.qlFuturesRateHelperConvexityAdjustment($Y40)),_xll.qlSwapRateHelperSpread($Y40))</f>
        <v/>
      </c>
      <c r="AD40" s="5" t="str">
        <f>IFERROR(_xll.qlRateHelperEarliestDate(Y40,Trigger),"")</f>
        <v/>
      </c>
      <c r="AE40" s="5" t="str">
        <f>IFERROR(_xll.qlRateHelperPillarDate(Y40,Trigger),"")</f>
        <v/>
      </c>
      <c r="AF40" s="70" t="e">
        <v>#N/A</v>
      </c>
      <c r="AG40" s="77" t="e">
        <v>#N/A</v>
      </c>
      <c r="AH40" s="170" t="e">
        <v>#N/A</v>
      </c>
      <c r="AI40" s="171" t="e">
        <v>#N/A</v>
      </c>
      <c r="AJ40" s="173" t="e">
        <f t="shared" si="16"/>
        <v>#N/A</v>
      </c>
      <c r="AK40" s="80" t="e">
        <v>#N/A</v>
      </c>
      <c r="AL40" s="162" t="e">
        <f t="shared" si="17"/>
        <v>#N/A</v>
      </c>
    </row>
    <row r="41" spans="1:38" ht="11.25" customHeight="1" x14ac:dyDescent="0.2">
      <c r="A41" s="59" t="s">
        <v>25</v>
      </c>
      <c r="B41" s="60" t="s">
        <v>103</v>
      </c>
      <c r="C41" s="61" t="s">
        <v>6</v>
      </c>
      <c r="D41" s="61" t="s">
        <v>8</v>
      </c>
      <c r="E41" s="61" t="s">
        <v>7</v>
      </c>
      <c r="F41" s="61" t="s">
        <v>125</v>
      </c>
      <c r="G41" s="61" t="str">
        <f t="shared" si="13"/>
        <v>Euribor3M</v>
      </c>
      <c r="H41" s="59" t="str">
        <f t="shared" si="14"/>
        <v>EURAB3E18Y_LCHQuote</v>
      </c>
      <c r="I41" s="127">
        <v>0</v>
      </c>
      <c r="J41" s="64"/>
      <c r="K41" s="64"/>
      <c r="M41" s="71" t="str">
        <f t="shared" si="10"/>
        <v>Sw</v>
      </c>
      <c r="N41" s="141" t="str">
        <f t="shared" si="11"/>
        <v>--</v>
      </c>
      <c r="O41" s="141" t="str">
        <f t="shared" si="12"/>
        <v>--</v>
      </c>
      <c r="P41" s="149" t="str">
        <f>IFERROR(_xll.qlRateHelperQuoteName(N41,Trigger),"--")</f>
        <v>--</v>
      </c>
      <c r="Q41" s="142" t="str">
        <f>IFERROR(_xll.qlRateHelperQuoteValue($N41,Trigger),"--")</f>
        <v>--</v>
      </c>
      <c r="R41" s="141" t="b">
        <v>0</v>
      </c>
      <c r="S41" s="141">
        <v>10</v>
      </c>
      <c r="T41" s="141">
        <v>1</v>
      </c>
      <c r="U41" s="143" t="str">
        <f>IFERROR(_xll.qlRateHelperEarliestDate(N41,Trigger),"--")</f>
        <v>--</v>
      </c>
      <c r="V41" s="143" t="str">
        <f>IFERROR(_xll.qlRateHelperPillarDate(N41,Trigger),"--")</f>
        <v>--</v>
      </c>
      <c r="X41" s="4" t="str">
        <f t="shared" si="15"/>
        <v/>
      </c>
      <c r="Y41" s="4" t="e">
        <v>#N/A</v>
      </c>
      <c r="Z41" s="4" t="e">
        <v>#N/A</v>
      </c>
      <c r="AA41" s="4" t="str">
        <f>IFERROR(_xll.qlRateHelperQuoteName(Y41,Trigger),"")</f>
        <v/>
      </c>
      <c r="AB41" s="70" t="str">
        <f>IFERROR(_xll.qlRateHelperRate(Y41,Trigger),"")</f>
        <v/>
      </c>
      <c r="AC41" s="104" t="str">
        <f>IF(ISERROR(_xll.qlSwapRateHelperSpread($Y41)),IF(ISERROR(_xll.qlFuturesRateHelperConvexityAdjustment($Y41)),"",_xll.qlFuturesRateHelperConvexityAdjustment($Y41)),_xll.qlSwapRateHelperSpread($Y41))</f>
        <v/>
      </c>
      <c r="AD41" s="5" t="str">
        <f>IFERROR(_xll.qlRateHelperEarliestDate(Y41,Trigger),"")</f>
        <v/>
      </c>
      <c r="AE41" s="5" t="str">
        <f>IFERROR(_xll.qlRateHelperPillarDate(Y41,Trigger),"")</f>
        <v/>
      </c>
      <c r="AF41" s="70" t="e">
        <v>#N/A</v>
      </c>
      <c r="AG41" s="77" t="e">
        <v>#N/A</v>
      </c>
      <c r="AH41" s="170" t="e">
        <v>#N/A</v>
      </c>
      <c r="AI41" s="171" t="e">
        <v>#N/A</v>
      </c>
      <c r="AJ41" s="173" t="e">
        <f t="shared" si="16"/>
        <v>#N/A</v>
      </c>
      <c r="AK41" s="80" t="e">
        <v>#N/A</v>
      </c>
      <c r="AL41" s="162" t="e">
        <f t="shared" si="17"/>
        <v>#N/A</v>
      </c>
    </row>
    <row r="42" spans="1:38" ht="11.25" customHeight="1" x14ac:dyDescent="0.2">
      <c r="A42" s="59" t="s">
        <v>25</v>
      </c>
      <c r="B42" s="60" t="s">
        <v>104</v>
      </c>
      <c r="C42" s="61" t="s">
        <v>6</v>
      </c>
      <c r="D42" s="61" t="s">
        <v>8</v>
      </c>
      <c r="E42" s="61" t="s">
        <v>7</v>
      </c>
      <c r="F42" s="61" t="s">
        <v>125</v>
      </c>
      <c r="G42" s="61" t="str">
        <f t="shared" si="13"/>
        <v>Euribor3M</v>
      </c>
      <c r="H42" s="59" t="str">
        <f t="shared" si="14"/>
        <v>EURAB3E19Y_LCHQuote</v>
      </c>
      <c r="I42" s="127">
        <v>0</v>
      </c>
      <c r="J42" s="64"/>
      <c r="K42" s="64"/>
      <c r="M42" s="71" t="str">
        <f t="shared" si="10"/>
        <v>Sw</v>
      </c>
      <c r="N42" s="141" t="str">
        <f t="shared" si="11"/>
        <v>--</v>
      </c>
      <c r="O42" s="141" t="str">
        <f t="shared" si="12"/>
        <v>--</v>
      </c>
      <c r="P42" s="149" t="str">
        <f>IFERROR(_xll.qlRateHelperQuoteName(N42,Trigger),"--")</f>
        <v>--</v>
      </c>
      <c r="Q42" s="142" t="str">
        <f>IFERROR(_xll.qlRateHelperQuoteValue($N42,Trigger),"--")</f>
        <v>--</v>
      </c>
      <c r="R42" s="141" t="b">
        <v>0</v>
      </c>
      <c r="S42" s="141">
        <v>10</v>
      </c>
      <c r="T42" s="141">
        <v>1</v>
      </c>
      <c r="U42" s="143" t="str">
        <f>IFERROR(_xll.qlRateHelperEarliestDate(N42,Trigger),"--")</f>
        <v>--</v>
      </c>
      <c r="V42" s="143" t="str">
        <f>IFERROR(_xll.qlRateHelperPillarDate(N42,Trigger),"--")</f>
        <v>--</v>
      </c>
      <c r="X42" s="4" t="str">
        <f t="shared" si="15"/>
        <v/>
      </c>
      <c r="Y42" s="4" t="e">
        <v>#N/A</v>
      </c>
      <c r="Z42" s="4" t="e">
        <v>#N/A</v>
      </c>
      <c r="AA42" s="4" t="str">
        <f>IFERROR(_xll.qlRateHelperQuoteName(Y42,Trigger),"")</f>
        <v/>
      </c>
      <c r="AB42" s="70" t="str">
        <f>IFERROR(_xll.qlRateHelperRate(Y42,Trigger),"")</f>
        <v/>
      </c>
      <c r="AC42" s="104" t="str">
        <f>IF(ISERROR(_xll.qlSwapRateHelperSpread($Y42)),IF(ISERROR(_xll.qlFuturesRateHelperConvexityAdjustment($Y42)),"",_xll.qlFuturesRateHelperConvexityAdjustment($Y42)),_xll.qlSwapRateHelperSpread($Y42))</f>
        <v/>
      </c>
      <c r="AD42" s="5" t="str">
        <f>IFERROR(_xll.qlRateHelperEarliestDate(Y42,Trigger),"")</f>
        <v/>
      </c>
      <c r="AE42" s="5" t="str">
        <f>IFERROR(_xll.qlRateHelperPillarDate(Y42,Trigger),"")</f>
        <v/>
      </c>
      <c r="AF42" s="70" t="e">
        <v>#N/A</v>
      </c>
      <c r="AG42" s="77" t="e">
        <v>#N/A</v>
      </c>
      <c r="AH42" s="170" t="e">
        <v>#N/A</v>
      </c>
      <c r="AI42" s="171" t="e">
        <v>#N/A</v>
      </c>
      <c r="AJ42" s="173" t="e">
        <f t="shared" si="16"/>
        <v>#N/A</v>
      </c>
      <c r="AK42" s="80" t="e">
        <v>#N/A</v>
      </c>
      <c r="AL42" s="162" t="e">
        <f t="shared" si="17"/>
        <v>#N/A</v>
      </c>
    </row>
    <row r="43" spans="1:38" ht="11.25" customHeight="1" x14ac:dyDescent="0.2">
      <c r="A43" s="59" t="s">
        <v>25</v>
      </c>
      <c r="B43" s="60" t="s">
        <v>63</v>
      </c>
      <c r="C43" s="61" t="s">
        <v>6</v>
      </c>
      <c r="D43" s="61" t="s">
        <v>8</v>
      </c>
      <c r="E43" s="61" t="s">
        <v>7</v>
      </c>
      <c r="F43" s="61" t="s">
        <v>125</v>
      </c>
      <c r="G43" s="61" t="str">
        <f t="shared" si="13"/>
        <v>Euribor3M</v>
      </c>
      <c r="H43" s="59" t="str">
        <f t="shared" si="14"/>
        <v>EURAB3E20Y_LCHQuote</v>
      </c>
      <c r="I43" s="127">
        <v>0</v>
      </c>
      <c r="J43" s="64"/>
      <c r="K43" s="64"/>
      <c r="M43" s="71" t="str">
        <f t="shared" si="10"/>
        <v>Sw</v>
      </c>
      <c r="N43" s="141" t="str">
        <f t="shared" si="11"/>
        <v>--</v>
      </c>
      <c r="O43" s="141" t="str">
        <f t="shared" si="12"/>
        <v>--</v>
      </c>
      <c r="P43" s="149" t="str">
        <f>IFERROR(_xll.qlRateHelperQuoteName(N43,Trigger),"--")</f>
        <v>--</v>
      </c>
      <c r="Q43" s="142" t="str">
        <f>IFERROR(_xll.qlRateHelperQuoteValue($N43,Trigger),"--")</f>
        <v>--</v>
      </c>
      <c r="R43" s="141" t="b">
        <v>0</v>
      </c>
      <c r="S43" s="141">
        <v>10</v>
      </c>
      <c r="T43" s="141">
        <v>1</v>
      </c>
      <c r="U43" s="143" t="str">
        <f>IFERROR(_xll.qlRateHelperEarliestDate(N43,Trigger),"--")</f>
        <v>--</v>
      </c>
      <c r="V43" s="143" t="str">
        <f>IFERROR(_xll.qlRateHelperPillarDate(N43,Trigger),"--")</f>
        <v>--</v>
      </c>
      <c r="X43" s="4" t="str">
        <f t="shared" si="15"/>
        <v/>
      </c>
      <c r="Y43" s="4" t="e">
        <v>#N/A</v>
      </c>
      <c r="Z43" s="4" t="e">
        <v>#N/A</v>
      </c>
      <c r="AA43" s="4" t="str">
        <f>IFERROR(_xll.qlRateHelperQuoteName(Y43,Trigger),"")</f>
        <v/>
      </c>
      <c r="AB43" s="70" t="str">
        <f>IFERROR(_xll.qlRateHelperRate(Y43,Trigger),"")</f>
        <v/>
      </c>
      <c r="AC43" s="104" t="str">
        <f>IF(ISERROR(_xll.qlSwapRateHelperSpread($Y43)),IF(ISERROR(_xll.qlFuturesRateHelperConvexityAdjustment($Y43)),"",_xll.qlFuturesRateHelperConvexityAdjustment($Y43)),_xll.qlSwapRateHelperSpread($Y43))</f>
        <v/>
      </c>
      <c r="AD43" s="5" t="str">
        <f>IFERROR(_xll.qlRateHelperEarliestDate(Y43,Trigger),"")</f>
        <v/>
      </c>
      <c r="AE43" s="5" t="str">
        <f>IFERROR(_xll.qlRateHelperPillarDate(Y43,Trigger),"")</f>
        <v/>
      </c>
      <c r="AF43" s="70" t="e">
        <v>#N/A</v>
      </c>
      <c r="AG43" s="77" t="e">
        <v>#N/A</v>
      </c>
      <c r="AH43" s="170" t="e">
        <v>#N/A</v>
      </c>
      <c r="AI43" s="171" t="e">
        <v>#N/A</v>
      </c>
      <c r="AJ43" s="173" t="e">
        <f t="shared" si="16"/>
        <v>#N/A</v>
      </c>
      <c r="AK43" s="80" t="e">
        <v>#N/A</v>
      </c>
      <c r="AL43" s="162" t="e">
        <f t="shared" si="17"/>
        <v>#N/A</v>
      </c>
    </row>
    <row r="44" spans="1:38" ht="11.25" customHeight="1" x14ac:dyDescent="0.2">
      <c r="A44" s="59" t="s">
        <v>25</v>
      </c>
      <c r="B44" s="60" t="s">
        <v>105</v>
      </c>
      <c r="C44" s="61" t="s">
        <v>6</v>
      </c>
      <c r="D44" s="61" t="s">
        <v>8</v>
      </c>
      <c r="E44" s="61" t="s">
        <v>7</v>
      </c>
      <c r="F44" s="61" t="s">
        <v>125</v>
      </c>
      <c r="G44" s="61" t="str">
        <f t="shared" si="13"/>
        <v>Euribor3M</v>
      </c>
      <c r="H44" s="59" t="str">
        <f t="shared" si="14"/>
        <v>EURAB3E21Y_LCHQuote</v>
      </c>
      <c r="I44" s="127">
        <v>0</v>
      </c>
      <c r="J44" s="64"/>
      <c r="K44" s="64"/>
      <c r="M44" s="71" t="str">
        <f t="shared" si="10"/>
        <v>Sw</v>
      </c>
      <c r="N44" s="141" t="str">
        <f t="shared" si="11"/>
        <v>--</v>
      </c>
      <c r="O44" s="141" t="str">
        <f t="shared" si="12"/>
        <v>--</v>
      </c>
      <c r="P44" s="149" t="str">
        <f>IFERROR(_xll.qlRateHelperQuoteName(N44,Trigger),"--")</f>
        <v>--</v>
      </c>
      <c r="Q44" s="142" t="str">
        <f>IFERROR(_xll.qlRateHelperQuoteValue($N44,Trigger),"--")</f>
        <v>--</v>
      </c>
      <c r="R44" s="141" t="b">
        <v>0</v>
      </c>
      <c r="S44" s="141">
        <v>10</v>
      </c>
      <c r="T44" s="141">
        <v>1</v>
      </c>
      <c r="U44" s="143" t="str">
        <f>IFERROR(_xll.qlRateHelperEarliestDate(N44,Trigger),"--")</f>
        <v>--</v>
      </c>
      <c r="V44" s="143" t="str">
        <f>IFERROR(_xll.qlRateHelperPillarDate(N44,Trigger),"--")</f>
        <v>--</v>
      </c>
      <c r="X44" s="4" t="str">
        <f t="shared" si="15"/>
        <v/>
      </c>
      <c r="Y44" s="4" t="e">
        <v>#N/A</v>
      </c>
      <c r="Z44" s="4" t="e">
        <v>#N/A</v>
      </c>
      <c r="AA44" s="4" t="str">
        <f>IFERROR(_xll.qlRateHelperQuoteName(Y44,Trigger),"")</f>
        <v/>
      </c>
      <c r="AB44" s="70" t="str">
        <f>IFERROR(_xll.qlRateHelperRate(Y44,Trigger),"")</f>
        <v/>
      </c>
      <c r="AC44" s="104" t="str">
        <f>IF(ISERROR(_xll.qlSwapRateHelperSpread($Y44)),IF(ISERROR(_xll.qlFuturesRateHelperConvexityAdjustment($Y44)),"",_xll.qlFuturesRateHelperConvexityAdjustment($Y44)),_xll.qlSwapRateHelperSpread($Y44))</f>
        <v/>
      </c>
      <c r="AD44" s="5" t="str">
        <f>IFERROR(_xll.qlRateHelperEarliestDate(Y44,Trigger),"")</f>
        <v/>
      </c>
      <c r="AE44" s="5" t="str">
        <f>IFERROR(_xll.qlRateHelperPillarDate(Y44,Trigger),"")</f>
        <v/>
      </c>
      <c r="AF44" s="70" t="e">
        <v>#N/A</v>
      </c>
      <c r="AG44" s="77" t="e">
        <v>#N/A</v>
      </c>
      <c r="AH44" s="170" t="e">
        <v>#N/A</v>
      </c>
      <c r="AI44" s="171" t="e">
        <v>#N/A</v>
      </c>
      <c r="AJ44" s="173" t="e">
        <f t="shared" si="16"/>
        <v>#N/A</v>
      </c>
      <c r="AK44" s="80" t="e">
        <v>#N/A</v>
      </c>
      <c r="AL44" s="162" t="e">
        <f t="shared" si="17"/>
        <v>#N/A</v>
      </c>
    </row>
    <row r="45" spans="1:38" ht="11.25" customHeight="1" x14ac:dyDescent="0.2">
      <c r="A45" s="59" t="s">
        <v>25</v>
      </c>
      <c r="B45" s="60" t="s">
        <v>106</v>
      </c>
      <c r="C45" s="61" t="s">
        <v>6</v>
      </c>
      <c r="D45" s="61" t="s">
        <v>8</v>
      </c>
      <c r="E45" s="61" t="s">
        <v>7</v>
      </c>
      <c r="F45" s="61" t="s">
        <v>125</v>
      </c>
      <c r="G45" s="61" t="str">
        <f t="shared" si="13"/>
        <v>Euribor3M</v>
      </c>
      <c r="H45" s="59" t="str">
        <f t="shared" si="14"/>
        <v>EURAB3E22Y_LCHQuote</v>
      </c>
      <c r="I45" s="127">
        <v>0</v>
      </c>
      <c r="J45" s="64"/>
      <c r="K45" s="64"/>
      <c r="M45" s="71" t="str">
        <f t="shared" si="10"/>
        <v>Sw</v>
      </c>
      <c r="N45" s="141" t="str">
        <f t="shared" si="11"/>
        <v>--</v>
      </c>
      <c r="O45" s="141" t="str">
        <f t="shared" si="12"/>
        <v>--</v>
      </c>
      <c r="P45" s="149" t="str">
        <f>IFERROR(_xll.qlRateHelperQuoteName(N45,Trigger),"--")</f>
        <v>--</v>
      </c>
      <c r="Q45" s="142" t="str">
        <f>IFERROR(_xll.qlRateHelperQuoteValue($N45,Trigger),"--")</f>
        <v>--</v>
      </c>
      <c r="R45" s="141" t="b">
        <v>0</v>
      </c>
      <c r="S45" s="141">
        <v>10</v>
      </c>
      <c r="T45" s="141">
        <v>1</v>
      </c>
      <c r="U45" s="143" t="str">
        <f>IFERROR(_xll.qlRateHelperEarliestDate(N45,Trigger),"--")</f>
        <v>--</v>
      </c>
      <c r="V45" s="143" t="str">
        <f>IFERROR(_xll.qlRateHelperPillarDate(N45,Trigger),"--")</f>
        <v>--</v>
      </c>
      <c r="X45" s="4" t="str">
        <f t="shared" si="15"/>
        <v/>
      </c>
      <c r="Y45" s="4" t="e">
        <v>#N/A</v>
      </c>
      <c r="Z45" s="4" t="e">
        <v>#N/A</v>
      </c>
      <c r="AA45" s="4" t="str">
        <f>IFERROR(_xll.qlRateHelperQuoteName(Y45,Trigger),"")</f>
        <v/>
      </c>
      <c r="AB45" s="70" t="str">
        <f>IFERROR(_xll.qlRateHelperRate(Y45,Trigger),"")</f>
        <v/>
      </c>
      <c r="AC45" s="104" t="str">
        <f>IF(ISERROR(_xll.qlSwapRateHelperSpread($Y45)),IF(ISERROR(_xll.qlFuturesRateHelperConvexityAdjustment($Y45)),"",_xll.qlFuturesRateHelperConvexityAdjustment($Y45)),_xll.qlSwapRateHelperSpread($Y45))</f>
        <v/>
      </c>
      <c r="AD45" s="5" t="str">
        <f>IFERROR(_xll.qlRateHelperEarliestDate(Y45,Trigger),"")</f>
        <v/>
      </c>
      <c r="AE45" s="5" t="str">
        <f>IFERROR(_xll.qlRateHelperPillarDate(Y45,Trigger),"")</f>
        <v/>
      </c>
      <c r="AF45" s="70" t="e">
        <v>#N/A</v>
      </c>
      <c r="AG45" s="77" t="e">
        <v>#N/A</v>
      </c>
      <c r="AH45" s="170" t="e">
        <v>#N/A</v>
      </c>
      <c r="AI45" s="171" t="e">
        <v>#N/A</v>
      </c>
      <c r="AJ45" s="173" t="e">
        <f t="shared" si="16"/>
        <v>#N/A</v>
      </c>
      <c r="AK45" s="80" t="e">
        <v>#N/A</v>
      </c>
      <c r="AL45" s="162" t="e">
        <f t="shared" si="17"/>
        <v>#N/A</v>
      </c>
    </row>
    <row r="46" spans="1:38" ht="11.25" customHeight="1" x14ac:dyDescent="0.2">
      <c r="A46" s="59" t="s">
        <v>25</v>
      </c>
      <c r="B46" s="60" t="s">
        <v>107</v>
      </c>
      <c r="C46" s="61" t="s">
        <v>6</v>
      </c>
      <c r="D46" s="61" t="s">
        <v>8</v>
      </c>
      <c r="E46" s="61" t="s">
        <v>7</v>
      </c>
      <c r="F46" s="61" t="s">
        <v>125</v>
      </c>
      <c r="G46" s="61" t="str">
        <f t="shared" si="13"/>
        <v>Euribor3M</v>
      </c>
      <c r="H46" s="59" t="str">
        <f t="shared" si="14"/>
        <v>EURAB3E23Y_LCHQuote</v>
      </c>
      <c r="I46" s="127">
        <v>0</v>
      </c>
      <c r="J46" s="64"/>
      <c r="K46" s="64"/>
      <c r="M46" s="71" t="str">
        <f t="shared" si="10"/>
        <v>Sw</v>
      </c>
      <c r="N46" s="141" t="str">
        <f t="shared" si="11"/>
        <v>--</v>
      </c>
      <c r="O46" s="141" t="str">
        <f t="shared" si="12"/>
        <v>--</v>
      </c>
      <c r="P46" s="149" t="str">
        <f>IFERROR(_xll.qlRateHelperQuoteName(N46,Trigger),"--")</f>
        <v>--</v>
      </c>
      <c r="Q46" s="142" t="str">
        <f>IFERROR(_xll.qlRateHelperQuoteValue($N46,Trigger),"--")</f>
        <v>--</v>
      </c>
      <c r="R46" s="141" t="b">
        <v>0</v>
      </c>
      <c r="S46" s="141">
        <v>10</v>
      </c>
      <c r="T46" s="141">
        <v>1</v>
      </c>
      <c r="U46" s="143" t="str">
        <f>IFERROR(_xll.qlRateHelperEarliestDate(N46,Trigger),"--")</f>
        <v>--</v>
      </c>
      <c r="V46" s="143" t="str">
        <f>IFERROR(_xll.qlRateHelperPillarDate(N46,Trigger),"--")</f>
        <v>--</v>
      </c>
      <c r="X46" s="4" t="str">
        <f t="shared" si="15"/>
        <v/>
      </c>
      <c r="Y46" s="4" t="e">
        <v>#N/A</v>
      </c>
      <c r="Z46" s="4" t="e">
        <v>#N/A</v>
      </c>
      <c r="AA46" s="4" t="str">
        <f>IFERROR(_xll.qlRateHelperQuoteName(Y46,Trigger),"")</f>
        <v/>
      </c>
      <c r="AB46" s="70" t="str">
        <f>IFERROR(_xll.qlRateHelperRate(Y46,Trigger),"")</f>
        <v/>
      </c>
      <c r="AC46" s="104" t="str">
        <f>IF(ISERROR(_xll.qlSwapRateHelperSpread($Y46)),IF(ISERROR(_xll.qlFuturesRateHelperConvexityAdjustment($Y46)),"",_xll.qlFuturesRateHelperConvexityAdjustment($Y46)),_xll.qlSwapRateHelperSpread($Y46))</f>
        <v/>
      </c>
      <c r="AD46" s="5" t="str">
        <f>IFERROR(_xll.qlRateHelperEarliestDate(Y46,Trigger),"")</f>
        <v/>
      </c>
      <c r="AE46" s="5" t="str">
        <f>IFERROR(_xll.qlRateHelperPillarDate(Y46,Trigger),"")</f>
        <v/>
      </c>
      <c r="AF46" s="70" t="e">
        <v>#N/A</v>
      </c>
      <c r="AG46" s="77" t="e">
        <v>#N/A</v>
      </c>
      <c r="AH46" s="170" t="e">
        <v>#N/A</v>
      </c>
      <c r="AI46" s="171" t="e">
        <v>#N/A</v>
      </c>
      <c r="AJ46" s="173" t="e">
        <f t="shared" si="16"/>
        <v>#N/A</v>
      </c>
      <c r="AK46" s="80" t="e">
        <v>#N/A</v>
      </c>
      <c r="AL46" s="162" t="e">
        <f t="shared" si="17"/>
        <v>#N/A</v>
      </c>
    </row>
    <row r="47" spans="1:38" ht="11.25" customHeight="1" x14ac:dyDescent="0.2">
      <c r="A47" s="59" t="s">
        <v>25</v>
      </c>
      <c r="B47" s="60" t="s">
        <v>108</v>
      </c>
      <c r="C47" s="61" t="s">
        <v>6</v>
      </c>
      <c r="D47" s="61" t="s">
        <v>8</v>
      </c>
      <c r="E47" s="61" t="s">
        <v>7</v>
      </c>
      <c r="F47" s="61" t="s">
        <v>125</v>
      </c>
      <c r="G47" s="61" t="str">
        <f t="shared" si="13"/>
        <v>Euribor3M</v>
      </c>
      <c r="H47" s="59" t="str">
        <f t="shared" si="14"/>
        <v>EURAB3E24Y_LCHQuote</v>
      </c>
      <c r="I47" s="127">
        <v>0</v>
      </c>
      <c r="J47" s="64"/>
      <c r="K47" s="64"/>
      <c r="M47" s="71" t="str">
        <f t="shared" si="10"/>
        <v>Sw</v>
      </c>
      <c r="N47" s="141" t="str">
        <f t="shared" si="11"/>
        <v>--</v>
      </c>
      <c r="O47" s="141" t="str">
        <f t="shared" si="12"/>
        <v>--</v>
      </c>
      <c r="P47" s="149" t="str">
        <f>IFERROR(_xll.qlRateHelperQuoteName(N47,Trigger),"--")</f>
        <v>--</v>
      </c>
      <c r="Q47" s="142" t="str">
        <f>IFERROR(_xll.qlRateHelperQuoteValue($N47,Trigger),"--")</f>
        <v>--</v>
      </c>
      <c r="R47" s="141" t="b">
        <v>0</v>
      </c>
      <c r="S47" s="141">
        <v>10</v>
      </c>
      <c r="T47" s="141">
        <v>1</v>
      </c>
      <c r="U47" s="143" t="str">
        <f>IFERROR(_xll.qlRateHelperEarliestDate(N47,Trigger),"--")</f>
        <v>--</v>
      </c>
      <c r="V47" s="143" t="str">
        <f>IFERROR(_xll.qlRateHelperPillarDate(N47,Trigger),"--")</f>
        <v>--</v>
      </c>
      <c r="X47" s="4" t="str">
        <f t="shared" si="15"/>
        <v/>
      </c>
      <c r="Y47" s="4" t="e">
        <v>#N/A</v>
      </c>
      <c r="Z47" s="4" t="e">
        <v>#N/A</v>
      </c>
      <c r="AA47" s="4" t="str">
        <f>IFERROR(_xll.qlRateHelperQuoteName(Y47,Trigger),"")</f>
        <v/>
      </c>
      <c r="AB47" s="70" t="str">
        <f>IFERROR(_xll.qlRateHelperRate(Y47,Trigger),"")</f>
        <v/>
      </c>
      <c r="AC47" s="104" t="str">
        <f>IF(ISERROR(_xll.qlSwapRateHelperSpread($Y47)),IF(ISERROR(_xll.qlFuturesRateHelperConvexityAdjustment($Y47)),"",_xll.qlFuturesRateHelperConvexityAdjustment($Y47)),_xll.qlSwapRateHelperSpread($Y47))</f>
        <v/>
      </c>
      <c r="AD47" s="5" t="str">
        <f>IFERROR(_xll.qlRateHelperEarliestDate(Y47,Trigger),"")</f>
        <v/>
      </c>
      <c r="AE47" s="5" t="str">
        <f>IFERROR(_xll.qlRateHelperPillarDate(Y47,Trigger),"")</f>
        <v/>
      </c>
      <c r="AF47" s="70" t="e">
        <v>#N/A</v>
      </c>
      <c r="AG47" s="77" t="e">
        <v>#N/A</v>
      </c>
      <c r="AH47" s="170" t="e">
        <v>#N/A</v>
      </c>
      <c r="AI47" s="171" t="e">
        <v>#N/A</v>
      </c>
      <c r="AJ47" s="173" t="e">
        <f t="shared" si="16"/>
        <v>#N/A</v>
      </c>
      <c r="AK47" s="80" t="e">
        <v>#N/A</v>
      </c>
      <c r="AL47" s="162" t="e">
        <f t="shared" si="17"/>
        <v>#N/A</v>
      </c>
    </row>
    <row r="48" spans="1:38" ht="11.25" customHeight="1" x14ac:dyDescent="0.2">
      <c r="A48" s="59" t="s">
        <v>25</v>
      </c>
      <c r="B48" s="60" t="s">
        <v>64</v>
      </c>
      <c r="C48" s="61" t="s">
        <v>6</v>
      </c>
      <c r="D48" s="61" t="s">
        <v>8</v>
      </c>
      <c r="E48" s="61" t="s">
        <v>7</v>
      </c>
      <c r="F48" s="61" t="s">
        <v>125</v>
      </c>
      <c r="G48" s="61" t="str">
        <f t="shared" si="13"/>
        <v>Euribor3M</v>
      </c>
      <c r="H48" s="59" t="str">
        <f t="shared" si="14"/>
        <v>EURAB3E25Y_LCHQuote</v>
      </c>
      <c r="I48" s="127">
        <v>0</v>
      </c>
      <c r="J48" s="64"/>
      <c r="K48" s="64"/>
      <c r="M48" s="71" t="str">
        <f t="shared" si="10"/>
        <v>Sw</v>
      </c>
      <c r="N48" s="141" t="str">
        <f t="shared" si="11"/>
        <v>--</v>
      </c>
      <c r="O48" s="141" t="str">
        <f t="shared" si="12"/>
        <v>--</v>
      </c>
      <c r="P48" s="149" t="str">
        <f>IFERROR(_xll.qlRateHelperQuoteName(N48,Trigger),"--")</f>
        <v>--</v>
      </c>
      <c r="Q48" s="142" t="str">
        <f>IFERROR(_xll.qlRateHelperQuoteValue($N48,Trigger),"--")</f>
        <v>--</v>
      </c>
      <c r="R48" s="141" t="b">
        <v>0</v>
      </c>
      <c r="S48" s="141">
        <v>10</v>
      </c>
      <c r="T48" s="141">
        <v>1</v>
      </c>
      <c r="U48" s="143" t="str">
        <f>IFERROR(_xll.qlRateHelperEarliestDate(N48,Trigger),"--")</f>
        <v>--</v>
      </c>
      <c r="V48" s="143" t="str">
        <f>IFERROR(_xll.qlRateHelperPillarDate(N48,Trigger),"--")</f>
        <v>--</v>
      </c>
      <c r="X48" s="4" t="str">
        <f t="shared" si="15"/>
        <v/>
      </c>
      <c r="Y48" s="4" t="e">
        <v>#N/A</v>
      </c>
      <c r="Z48" s="4" t="e">
        <v>#N/A</v>
      </c>
      <c r="AA48" s="4" t="str">
        <f>IFERROR(_xll.qlRateHelperQuoteName(Y48,Trigger),"")</f>
        <v/>
      </c>
      <c r="AB48" s="70" t="str">
        <f>IFERROR(_xll.qlRateHelperRate(Y48,Trigger),"")</f>
        <v/>
      </c>
      <c r="AC48" s="104" t="str">
        <f>IF(ISERROR(_xll.qlSwapRateHelperSpread($Y48)),IF(ISERROR(_xll.qlFuturesRateHelperConvexityAdjustment($Y48)),"",_xll.qlFuturesRateHelperConvexityAdjustment($Y48)),_xll.qlSwapRateHelperSpread($Y48))</f>
        <v/>
      </c>
      <c r="AD48" s="5" t="str">
        <f>IFERROR(_xll.qlRateHelperEarliestDate(Y48,Trigger),"")</f>
        <v/>
      </c>
      <c r="AE48" s="5" t="str">
        <f>IFERROR(_xll.qlRateHelperPillarDate(Y48,Trigger),"")</f>
        <v/>
      </c>
      <c r="AF48" s="70" t="e">
        <v>#N/A</v>
      </c>
      <c r="AG48" s="77" t="e">
        <v>#N/A</v>
      </c>
      <c r="AH48" s="170" t="e">
        <v>#N/A</v>
      </c>
      <c r="AI48" s="171" t="e">
        <v>#N/A</v>
      </c>
      <c r="AJ48" s="173" t="e">
        <f t="shared" si="16"/>
        <v>#N/A</v>
      </c>
      <c r="AK48" s="80" t="e">
        <v>#N/A</v>
      </c>
      <c r="AL48" s="162" t="e">
        <f t="shared" si="17"/>
        <v>#N/A</v>
      </c>
    </row>
    <row r="49" spans="1:38" ht="11.25" customHeight="1" x14ac:dyDescent="0.2">
      <c r="A49" s="59" t="s">
        <v>25</v>
      </c>
      <c r="B49" s="60" t="s">
        <v>109</v>
      </c>
      <c r="C49" s="61" t="s">
        <v>6</v>
      </c>
      <c r="D49" s="61" t="s">
        <v>8</v>
      </c>
      <c r="E49" s="61" t="s">
        <v>7</v>
      </c>
      <c r="F49" s="61" t="s">
        <v>125</v>
      </c>
      <c r="G49" s="61" t="str">
        <f t="shared" si="13"/>
        <v>Euribor3M</v>
      </c>
      <c r="H49" s="59" t="str">
        <f t="shared" si="14"/>
        <v>EURAB3E26Y_LCHQuote</v>
      </c>
      <c r="I49" s="127">
        <v>0</v>
      </c>
      <c r="J49" s="64"/>
      <c r="K49" s="64"/>
      <c r="M49" s="71" t="str">
        <f t="shared" si="10"/>
        <v>Sw</v>
      </c>
      <c r="N49" s="141" t="str">
        <f t="shared" si="11"/>
        <v>--</v>
      </c>
      <c r="O49" s="141" t="str">
        <f t="shared" si="12"/>
        <v>--</v>
      </c>
      <c r="P49" s="149" t="str">
        <f>IFERROR(_xll.qlRateHelperQuoteName(N49,Trigger),"--")</f>
        <v>--</v>
      </c>
      <c r="Q49" s="142" t="str">
        <f>IFERROR(_xll.qlRateHelperQuoteValue($N49,Trigger),"--")</f>
        <v>--</v>
      </c>
      <c r="R49" s="141" t="b">
        <v>0</v>
      </c>
      <c r="S49" s="141">
        <v>10</v>
      </c>
      <c r="T49" s="141">
        <v>1</v>
      </c>
      <c r="U49" s="143" t="str">
        <f>IFERROR(_xll.qlRateHelperEarliestDate(N49,Trigger),"--")</f>
        <v>--</v>
      </c>
      <c r="V49" s="143" t="str">
        <f>IFERROR(_xll.qlRateHelperPillarDate(N49,Trigger),"--")</f>
        <v>--</v>
      </c>
      <c r="X49" s="4" t="str">
        <f t="shared" si="15"/>
        <v/>
      </c>
      <c r="Y49" s="4" t="e">
        <v>#N/A</v>
      </c>
      <c r="Z49" s="4" t="e">
        <v>#N/A</v>
      </c>
      <c r="AA49" s="4" t="str">
        <f>IFERROR(_xll.qlRateHelperQuoteName(Y49,Trigger),"")</f>
        <v/>
      </c>
      <c r="AB49" s="70" t="str">
        <f>IFERROR(_xll.qlRateHelperRate(Y49,Trigger),"")</f>
        <v/>
      </c>
      <c r="AC49" s="104" t="str">
        <f>IF(ISERROR(_xll.qlSwapRateHelperSpread($Y49)),IF(ISERROR(_xll.qlFuturesRateHelperConvexityAdjustment($Y49)),"",_xll.qlFuturesRateHelperConvexityAdjustment($Y49)),_xll.qlSwapRateHelperSpread($Y49))</f>
        <v/>
      </c>
      <c r="AD49" s="5" t="str">
        <f>IFERROR(_xll.qlRateHelperEarliestDate(Y49,Trigger),"")</f>
        <v/>
      </c>
      <c r="AE49" s="5" t="str">
        <f>IFERROR(_xll.qlRateHelperPillarDate(Y49,Trigger),"")</f>
        <v/>
      </c>
      <c r="AF49" s="70" t="e">
        <v>#N/A</v>
      </c>
      <c r="AG49" s="77" t="e">
        <v>#N/A</v>
      </c>
      <c r="AH49" s="170" t="e">
        <v>#N/A</v>
      </c>
      <c r="AI49" s="171" t="e">
        <v>#N/A</v>
      </c>
      <c r="AJ49" s="173" t="e">
        <f t="shared" si="16"/>
        <v>#N/A</v>
      </c>
      <c r="AK49" s="80" t="e">
        <v>#N/A</v>
      </c>
      <c r="AL49" s="162" t="e">
        <f t="shared" si="17"/>
        <v>#N/A</v>
      </c>
    </row>
    <row r="50" spans="1:38" ht="11.25" customHeight="1" x14ac:dyDescent="0.2">
      <c r="A50" s="59" t="s">
        <v>25</v>
      </c>
      <c r="B50" s="60" t="s">
        <v>65</v>
      </c>
      <c r="C50" s="61" t="s">
        <v>6</v>
      </c>
      <c r="D50" s="61" t="s">
        <v>8</v>
      </c>
      <c r="E50" s="61" t="s">
        <v>7</v>
      </c>
      <c r="F50" s="61" t="s">
        <v>125</v>
      </c>
      <c r="G50" s="61" t="str">
        <f t="shared" si="13"/>
        <v>Euribor3M</v>
      </c>
      <c r="H50" s="59" t="str">
        <f t="shared" si="14"/>
        <v>EURAB3E27Y_LCHQuote</v>
      </c>
      <c r="I50" s="127">
        <v>0</v>
      </c>
      <c r="J50" s="64"/>
      <c r="K50" s="64"/>
      <c r="M50" s="71" t="str">
        <f t="shared" si="10"/>
        <v>Sw</v>
      </c>
      <c r="N50" s="141" t="str">
        <f t="shared" si="11"/>
        <v>--</v>
      </c>
      <c r="O50" s="141" t="str">
        <f t="shared" si="12"/>
        <v>--</v>
      </c>
      <c r="P50" s="149" t="str">
        <f>IFERROR(_xll.qlRateHelperQuoteName(N50,Trigger),"--")</f>
        <v>--</v>
      </c>
      <c r="Q50" s="142" t="str">
        <f>IFERROR(_xll.qlRateHelperQuoteValue($N50,Trigger),"--")</f>
        <v>--</v>
      </c>
      <c r="R50" s="141" t="b">
        <v>0</v>
      </c>
      <c r="S50" s="141">
        <v>10</v>
      </c>
      <c r="T50" s="141">
        <v>1</v>
      </c>
      <c r="U50" s="143" t="str">
        <f>IFERROR(_xll.qlRateHelperEarliestDate(N50,Trigger),"--")</f>
        <v>--</v>
      </c>
      <c r="V50" s="143" t="str">
        <f>IFERROR(_xll.qlRateHelperPillarDate(N50,Trigger),"--")</f>
        <v>--</v>
      </c>
      <c r="X50" s="4" t="str">
        <f t="shared" si="15"/>
        <v/>
      </c>
      <c r="Y50" s="4" t="e">
        <v>#N/A</v>
      </c>
      <c r="Z50" s="4" t="e">
        <v>#N/A</v>
      </c>
      <c r="AA50" s="4" t="str">
        <f>IFERROR(_xll.qlRateHelperQuoteName(Y50,Trigger),"")</f>
        <v/>
      </c>
      <c r="AB50" s="70" t="str">
        <f>IFERROR(_xll.qlRateHelperRate(Y50,Trigger),"")</f>
        <v/>
      </c>
      <c r="AC50" s="104" t="str">
        <f>IF(ISERROR(_xll.qlSwapRateHelperSpread($Y50)),IF(ISERROR(_xll.qlFuturesRateHelperConvexityAdjustment($Y50)),"",_xll.qlFuturesRateHelperConvexityAdjustment($Y50)),_xll.qlSwapRateHelperSpread($Y50))</f>
        <v/>
      </c>
      <c r="AD50" s="5" t="str">
        <f>IFERROR(_xll.qlRateHelperEarliestDate(Y50,Trigger),"")</f>
        <v/>
      </c>
      <c r="AE50" s="5" t="str">
        <f>IFERROR(_xll.qlRateHelperPillarDate(Y50,Trigger),"")</f>
        <v/>
      </c>
      <c r="AF50" s="70" t="e">
        <v>#N/A</v>
      </c>
      <c r="AG50" s="77" t="e">
        <v>#N/A</v>
      </c>
      <c r="AH50" s="170" t="e">
        <v>#N/A</v>
      </c>
      <c r="AI50" s="171" t="e">
        <v>#N/A</v>
      </c>
      <c r="AJ50" s="173" t="e">
        <f t="shared" si="16"/>
        <v>#N/A</v>
      </c>
      <c r="AK50" s="80" t="e">
        <v>#N/A</v>
      </c>
      <c r="AL50" s="162" t="e">
        <f t="shared" si="17"/>
        <v>#N/A</v>
      </c>
    </row>
    <row r="51" spans="1:38" ht="11.25" customHeight="1" x14ac:dyDescent="0.2">
      <c r="A51" s="59" t="s">
        <v>25</v>
      </c>
      <c r="B51" s="60" t="s">
        <v>110</v>
      </c>
      <c r="C51" s="61" t="s">
        <v>6</v>
      </c>
      <c r="D51" s="61" t="s">
        <v>8</v>
      </c>
      <c r="E51" s="61" t="s">
        <v>7</v>
      </c>
      <c r="F51" s="61" t="s">
        <v>125</v>
      </c>
      <c r="G51" s="61" t="str">
        <f t="shared" si="13"/>
        <v>Euribor3M</v>
      </c>
      <c r="H51" s="59" t="str">
        <f t="shared" si="14"/>
        <v>EURAB3E28Y_LCHQuote</v>
      </c>
      <c r="I51" s="127">
        <v>0</v>
      </c>
      <c r="J51" s="64"/>
      <c r="K51" s="64"/>
      <c r="M51" s="71" t="str">
        <f t="shared" si="10"/>
        <v>Sw</v>
      </c>
      <c r="N51" s="141" t="str">
        <f t="shared" si="11"/>
        <v>--</v>
      </c>
      <c r="O51" s="141" t="str">
        <f t="shared" si="12"/>
        <v>--</v>
      </c>
      <c r="P51" s="149" t="str">
        <f>IFERROR(_xll.qlRateHelperQuoteName(N51,Trigger),"--")</f>
        <v>--</v>
      </c>
      <c r="Q51" s="142" t="str">
        <f>IFERROR(_xll.qlRateHelperQuoteValue($N51,Trigger),"--")</f>
        <v>--</v>
      </c>
      <c r="R51" s="141" t="b">
        <v>0</v>
      </c>
      <c r="S51" s="141">
        <v>10</v>
      </c>
      <c r="T51" s="141">
        <v>1</v>
      </c>
      <c r="U51" s="143" t="str">
        <f>IFERROR(_xll.qlRateHelperEarliestDate(N51,Trigger),"--")</f>
        <v>--</v>
      </c>
      <c r="V51" s="143" t="str">
        <f>IFERROR(_xll.qlRateHelperPillarDate(N51,Trigger),"--")</f>
        <v>--</v>
      </c>
      <c r="X51" s="4" t="str">
        <f t="shared" si="15"/>
        <v/>
      </c>
      <c r="Y51" s="4" t="e">
        <v>#N/A</v>
      </c>
      <c r="Z51" s="4" t="e">
        <v>#N/A</v>
      </c>
      <c r="AA51" s="4" t="str">
        <f>IFERROR(_xll.qlRateHelperQuoteName(Y51,Trigger),"")</f>
        <v/>
      </c>
      <c r="AB51" s="70" t="str">
        <f>IFERROR(_xll.qlRateHelperRate(Y51,Trigger),"")</f>
        <v/>
      </c>
      <c r="AC51" s="104" t="str">
        <f>IF(ISERROR(_xll.qlSwapRateHelperSpread($Y51)),IF(ISERROR(_xll.qlFuturesRateHelperConvexityAdjustment($Y51)),"",_xll.qlFuturesRateHelperConvexityAdjustment($Y51)),_xll.qlSwapRateHelperSpread($Y51))</f>
        <v/>
      </c>
      <c r="AD51" s="5" t="str">
        <f>IFERROR(_xll.qlRateHelperEarliestDate(Y51,Trigger),"")</f>
        <v/>
      </c>
      <c r="AE51" s="5" t="str">
        <f>IFERROR(_xll.qlRateHelperPillarDate(Y51,Trigger),"")</f>
        <v/>
      </c>
      <c r="AF51" s="70" t="e">
        <v>#N/A</v>
      </c>
      <c r="AG51" s="77" t="e">
        <v>#N/A</v>
      </c>
      <c r="AH51" s="170" t="e">
        <v>#N/A</v>
      </c>
      <c r="AI51" s="171" t="e">
        <v>#N/A</v>
      </c>
      <c r="AJ51" s="173" t="e">
        <f t="shared" si="16"/>
        <v>#N/A</v>
      </c>
      <c r="AK51" s="80" t="e">
        <v>#N/A</v>
      </c>
      <c r="AL51" s="162" t="e">
        <f t="shared" si="17"/>
        <v>#N/A</v>
      </c>
    </row>
    <row r="52" spans="1:38" ht="11.25" customHeight="1" x14ac:dyDescent="0.2">
      <c r="A52" s="59" t="s">
        <v>25</v>
      </c>
      <c r="B52" s="60" t="s">
        <v>111</v>
      </c>
      <c r="C52" s="61" t="s">
        <v>6</v>
      </c>
      <c r="D52" s="61" t="s">
        <v>8</v>
      </c>
      <c r="E52" s="61" t="s">
        <v>7</v>
      </c>
      <c r="F52" s="61" t="s">
        <v>125</v>
      </c>
      <c r="G52" s="61" t="str">
        <f t="shared" si="13"/>
        <v>Euribor3M</v>
      </c>
      <c r="H52" s="59" t="str">
        <f t="shared" si="14"/>
        <v>EURAB3E29Y_LCHQuote</v>
      </c>
      <c r="I52" s="127">
        <v>0</v>
      </c>
      <c r="J52" s="64"/>
      <c r="K52" s="64"/>
      <c r="M52" s="71" t="str">
        <f t="shared" si="10"/>
        <v>Sw</v>
      </c>
      <c r="N52" s="141" t="str">
        <f t="shared" si="11"/>
        <v>--</v>
      </c>
      <c r="O52" s="141" t="str">
        <f t="shared" si="12"/>
        <v>--</v>
      </c>
      <c r="P52" s="149" t="str">
        <f>IFERROR(_xll.qlRateHelperQuoteName(N52,Trigger),"--")</f>
        <v>--</v>
      </c>
      <c r="Q52" s="142" t="str">
        <f>IFERROR(_xll.qlRateHelperQuoteValue($N52,Trigger),"--")</f>
        <v>--</v>
      </c>
      <c r="R52" s="141" t="b">
        <v>0</v>
      </c>
      <c r="S52" s="141">
        <v>10</v>
      </c>
      <c r="T52" s="141">
        <v>1</v>
      </c>
      <c r="U52" s="143" t="str">
        <f>IFERROR(_xll.qlRateHelperEarliestDate(N52,Trigger),"--")</f>
        <v>--</v>
      </c>
      <c r="V52" s="143" t="str">
        <f>IFERROR(_xll.qlRateHelperPillarDate(N52,Trigger),"--")</f>
        <v>--</v>
      </c>
      <c r="X52" s="4" t="str">
        <f t="shared" si="15"/>
        <v/>
      </c>
      <c r="Y52" s="4" t="e">
        <v>#N/A</v>
      </c>
      <c r="Z52" s="4" t="e">
        <v>#N/A</v>
      </c>
      <c r="AA52" s="4" t="str">
        <f>IFERROR(_xll.qlRateHelperQuoteName(Y52,Trigger),"")</f>
        <v/>
      </c>
      <c r="AB52" s="70" t="str">
        <f>IFERROR(_xll.qlRateHelperRate(Y52,Trigger),"")</f>
        <v/>
      </c>
      <c r="AC52" s="104" t="str">
        <f>IF(ISERROR(_xll.qlSwapRateHelperSpread($Y52)),IF(ISERROR(_xll.qlFuturesRateHelperConvexityAdjustment($Y52)),"",_xll.qlFuturesRateHelperConvexityAdjustment($Y52)),_xll.qlSwapRateHelperSpread($Y52))</f>
        <v/>
      </c>
      <c r="AD52" s="5" t="str">
        <f>IFERROR(_xll.qlRateHelperEarliestDate(Y52,Trigger),"")</f>
        <v/>
      </c>
      <c r="AE52" s="5" t="str">
        <f>IFERROR(_xll.qlRateHelperPillarDate(Y52,Trigger),"")</f>
        <v/>
      </c>
      <c r="AF52" s="70" t="e">
        <v>#N/A</v>
      </c>
      <c r="AG52" s="77" t="e">
        <v>#N/A</v>
      </c>
      <c r="AH52" s="170" t="e">
        <v>#N/A</v>
      </c>
      <c r="AI52" s="171" t="e">
        <v>#N/A</v>
      </c>
      <c r="AJ52" s="173" t="e">
        <f t="shared" si="16"/>
        <v>#N/A</v>
      </c>
      <c r="AK52" s="80" t="e">
        <v>#N/A</v>
      </c>
      <c r="AL52" s="162" t="e">
        <f t="shared" si="17"/>
        <v>#N/A</v>
      </c>
    </row>
    <row r="53" spans="1:38" ht="11.25" customHeight="1" x14ac:dyDescent="0.2">
      <c r="A53" s="59" t="s">
        <v>25</v>
      </c>
      <c r="B53" s="60" t="s">
        <v>66</v>
      </c>
      <c r="C53" s="61" t="s">
        <v>6</v>
      </c>
      <c r="D53" s="61" t="s">
        <v>8</v>
      </c>
      <c r="E53" s="61" t="s">
        <v>7</v>
      </c>
      <c r="F53" s="61" t="s">
        <v>125</v>
      </c>
      <c r="G53" s="61" t="str">
        <f t="shared" si="13"/>
        <v>Euribor3M</v>
      </c>
      <c r="H53" s="59" t="str">
        <f t="shared" si="14"/>
        <v>EURAB3E30Y_LCHQuote</v>
      </c>
      <c r="I53" s="127">
        <v>0</v>
      </c>
      <c r="J53" s="64"/>
      <c r="K53" s="64"/>
      <c r="M53" s="72" t="str">
        <f t="shared" si="10"/>
        <v>Sw</v>
      </c>
      <c r="N53" s="144" t="str">
        <f t="shared" si="11"/>
        <v>--</v>
      </c>
      <c r="O53" s="141" t="str">
        <f t="shared" si="12"/>
        <v>--</v>
      </c>
      <c r="P53" s="149" t="str">
        <f>IFERROR(_xll.qlRateHelperQuoteName(N53,Trigger),"--")</f>
        <v>--</v>
      </c>
      <c r="Q53" s="154" t="str">
        <f>IFERROR(_xll.qlRateHelperQuoteValue($N53,Trigger),"--")</f>
        <v>--</v>
      </c>
      <c r="R53" s="144" t="b">
        <v>0</v>
      </c>
      <c r="S53" s="144">
        <v>10</v>
      </c>
      <c r="T53" s="144">
        <v>1</v>
      </c>
      <c r="U53" s="143" t="str">
        <f>IFERROR(_xll.qlRateHelperEarliestDate(N53,Trigger),"--")</f>
        <v>--</v>
      </c>
      <c r="V53" s="143" t="str">
        <f>IFERROR(_xll.qlRateHelperPillarDate(N53,Trigger),"--")</f>
        <v>--</v>
      </c>
      <c r="X53" s="4" t="str">
        <f t="shared" si="15"/>
        <v/>
      </c>
      <c r="Y53" s="4" t="e">
        <v>#N/A</v>
      </c>
      <c r="Z53" s="4" t="e">
        <v>#N/A</v>
      </c>
      <c r="AA53" s="4" t="str">
        <f>IFERROR(_xll.qlRateHelperQuoteName(Y53,Trigger),"")</f>
        <v/>
      </c>
      <c r="AB53" s="70" t="str">
        <f>IFERROR(_xll.qlRateHelperRate(Y53,Trigger),"")</f>
        <v/>
      </c>
      <c r="AC53" s="104" t="str">
        <f>IF(ISERROR(_xll.qlSwapRateHelperSpread($Y53)),IF(ISERROR(_xll.qlFuturesRateHelperConvexityAdjustment($Y53)),"",_xll.qlFuturesRateHelperConvexityAdjustment($Y53)),_xll.qlSwapRateHelperSpread($Y53))</f>
        <v/>
      </c>
      <c r="AD53" s="5" t="str">
        <f>IFERROR(_xll.qlRateHelperEarliestDate(Y53,Trigger),"")</f>
        <v/>
      </c>
      <c r="AE53" s="5" t="str">
        <f>IFERROR(_xll.qlRateHelperPillarDate(Y53,Trigger),"")</f>
        <v/>
      </c>
      <c r="AF53" s="70" t="e">
        <v>#N/A</v>
      </c>
      <c r="AG53" s="77" t="e">
        <v>#N/A</v>
      </c>
      <c r="AH53" s="170" t="e">
        <v>#N/A</v>
      </c>
      <c r="AI53" s="171" t="e">
        <v>#N/A</v>
      </c>
      <c r="AJ53" s="173" t="e">
        <f t="shared" si="16"/>
        <v>#N/A</v>
      </c>
      <c r="AK53" s="80" t="e">
        <v>#N/A</v>
      </c>
      <c r="AL53" s="162" t="e">
        <f t="shared" si="17"/>
        <v>#N/A</v>
      </c>
    </row>
    <row r="54" spans="1:38" ht="11.25" customHeight="1" x14ac:dyDescent="0.2">
      <c r="A54" s="59" t="s">
        <v>25</v>
      </c>
      <c r="B54" s="60" t="s">
        <v>67</v>
      </c>
      <c r="C54" s="61" t="s">
        <v>6</v>
      </c>
      <c r="D54" s="61" t="s">
        <v>8</v>
      </c>
      <c r="E54" s="61" t="s">
        <v>7</v>
      </c>
      <c r="F54" s="61" t="s">
        <v>125</v>
      </c>
      <c r="G54" s="61" t="str">
        <f t="shared" si="13"/>
        <v>Euribor3M</v>
      </c>
      <c r="H54" s="59" t="str">
        <f t="shared" si="14"/>
        <v>EURAB3E35Y_LCHQuote</v>
      </c>
      <c r="I54" s="125">
        <v>0</v>
      </c>
      <c r="J54" s="64"/>
      <c r="K54" s="64"/>
      <c r="M54" s="71" t="str">
        <f>A60</f>
        <v>BasSw</v>
      </c>
      <c r="N54" s="141" t="str">
        <f t="shared" ref="N54:N90" si="18">IF(ISBLANK(J60),"--",J60)</f>
        <v>--</v>
      </c>
      <c r="O54" s="137" t="str">
        <f t="shared" ref="O54:O90" si="19">IF(ISBLANK(K60),"--",K60)</f>
        <v>--</v>
      </c>
      <c r="P54" s="148" t="str">
        <f>IFERROR(_xll.qlRateHelperQuoteName(N54,Trigger),"--")</f>
        <v>--</v>
      </c>
      <c r="Q54" s="142" t="str">
        <f>IFERROR(_xll.qlRateHelperQuoteValue($N54,Trigger),"--")</f>
        <v>--</v>
      </c>
      <c r="R54" s="141" t="b">
        <v>0</v>
      </c>
      <c r="S54" s="141">
        <v>10</v>
      </c>
      <c r="T54" s="141">
        <v>1</v>
      </c>
      <c r="U54" s="139" t="str">
        <f>IFERROR(_xll.qlRateHelperEarliestDate(N54,Trigger),"--")</f>
        <v>--</v>
      </c>
      <c r="V54" s="139" t="str">
        <f>IFERROR(_xll.qlRateHelperPillarDate(N54,Trigger),"--")</f>
        <v>--</v>
      </c>
      <c r="X54" s="4" t="str">
        <f t="shared" si="15"/>
        <v/>
      </c>
      <c r="Y54" s="4" t="e">
        <v>#N/A</v>
      </c>
      <c r="Z54" s="4" t="e">
        <v>#N/A</v>
      </c>
      <c r="AA54" s="4" t="str">
        <f>IFERROR(_xll.qlRateHelperQuoteName(Y54,Trigger),"")</f>
        <v/>
      </c>
      <c r="AB54" s="70" t="str">
        <f>IFERROR(_xll.qlRateHelperRate(Y54,Trigger),"")</f>
        <v/>
      </c>
      <c r="AC54" s="104" t="str">
        <f>IF(ISERROR(_xll.qlSwapRateHelperSpread($Y54)),IF(ISERROR(_xll.qlFuturesRateHelperConvexityAdjustment($Y54)),"",_xll.qlFuturesRateHelperConvexityAdjustment($Y54)),_xll.qlSwapRateHelperSpread($Y54))</f>
        <v/>
      </c>
      <c r="AD54" s="5" t="str">
        <f>IFERROR(_xll.qlRateHelperEarliestDate(Y54,Trigger),"")</f>
        <v/>
      </c>
      <c r="AE54" s="5" t="str">
        <f>IFERROR(_xll.qlRateHelperPillarDate(Y54,Trigger),"")</f>
        <v/>
      </c>
      <c r="AF54" s="70" t="e">
        <v>#N/A</v>
      </c>
      <c r="AG54" s="77" t="e">
        <v>#N/A</v>
      </c>
      <c r="AH54" s="170" t="e">
        <v>#N/A</v>
      </c>
      <c r="AI54" s="171" t="e">
        <v>#N/A</v>
      </c>
      <c r="AJ54" s="173" t="e">
        <f t="shared" si="16"/>
        <v>#N/A</v>
      </c>
      <c r="AK54" s="80" t="e">
        <v>#N/A</v>
      </c>
      <c r="AL54" s="162" t="e">
        <f t="shared" si="17"/>
        <v>#N/A</v>
      </c>
    </row>
    <row r="55" spans="1:38" ht="11.25" customHeight="1" x14ac:dyDescent="0.2">
      <c r="A55" s="59" t="s">
        <v>25</v>
      </c>
      <c r="B55" s="60" t="s">
        <v>68</v>
      </c>
      <c r="C55" s="61" t="s">
        <v>6</v>
      </c>
      <c r="D55" s="61" t="s">
        <v>8</v>
      </c>
      <c r="E55" s="61" t="s">
        <v>7</v>
      </c>
      <c r="F55" s="61" t="s">
        <v>125</v>
      </c>
      <c r="G55" s="61" t="str">
        <f t="shared" si="13"/>
        <v>Euribor3M</v>
      </c>
      <c r="H55" s="59" t="str">
        <f t="shared" si="14"/>
        <v>EURAB3E40Y_LCHQuote</v>
      </c>
      <c r="I55" s="125">
        <v>0</v>
      </c>
      <c r="J55" s="64"/>
      <c r="K55" s="64"/>
      <c r="M55" s="71" t="str">
        <f t="shared" ref="M55:M90" si="20">A61</f>
        <v>BasSw</v>
      </c>
      <c r="N55" s="141" t="str">
        <f t="shared" si="18"/>
        <v>--</v>
      </c>
      <c r="O55" s="141" t="str">
        <f t="shared" si="19"/>
        <v>--</v>
      </c>
      <c r="P55" s="149" t="str">
        <f>IFERROR(_xll.qlRateHelperQuoteName(N55,Trigger),"--")</f>
        <v>--</v>
      </c>
      <c r="Q55" s="142" t="str">
        <f>IFERROR(_xll.qlRateHelperQuoteValue($N55,Trigger),"--")</f>
        <v>--</v>
      </c>
      <c r="R55" s="141" t="b">
        <v>0</v>
      </c>
      <c r="S55" s="141">
        <v>10</v>
      </c>
      <c r="T55" s="141">
        <v>1</v>
      </c>
      <c r="U55" s="143" t="str">
        <f>IFERROR(_xll.qlRateHelperEarliestDate(N55,Trigger),"--")</f>
        <v>--</v>
      </c>
      <c r="V55" s="143" t="str">
        <f>IFERROR(_xll.qlRateHelperPillarDate(N55,Trigger),"--")</f>
        <v>--</v>
      </c>
      <c r="X55" s="4" t="str">
        <f t="shared" si="15"/>
        <v/>
      </c>
      <c r="Y55" s="4" t="e">
        <v>#N/A</v>
      </c>
      <c r="Z55" s="4" t="e">
        <v>#N/A</v>
      </c>
      <c r="AA55" s="4" t="str">
        <f>IFERROR(_xll.qlRateHelperQuoteName(Y55,Trigger),"")</f>
        <v/>
      </c>
      <c r="AB55" s="70" t="str">
        <f>IFERROR(_xll.qlRateHelperRate(Y55,Trigger),"")</f>
        <v/>
      </c>
      <c r="AC55" s="104" t="str">
        <f>IF(ISERROR(_xll.qlSwapRateHelperSpread($Y55)),IF(ISERROR(_xll.qlFuturesRateHelperConvexityAdjustment($Y55)),"",_xll.qlFuturesRateHelperConvexityAdjustment($Y55)),_xll.qlSwapRateHelperSpread($Y55))</f>
        <v/>
      </c>
      <c r="AD55" s="5" t="str">
        <f>IFERROR(_xll.qlRateHelperEarliestDate(Y55,Trigger),"")</f>
        <v/>
      </c>
      <c r="AE55" s="5" t="str">
        <f>IFERROR(_xll.qlRateHelperPillarDate(Y55,Trigger),"")</f>
        <v/>
      </c>
      <c r="AF55" s="70" t="e">
        <v>#N/A</v>
      </c>
      <c r="AG55" s="77" t="e">
        <v>#N/A</v>
      </c>
      <c r="AH55" s="170" t="e">
        <v>#N/A</v>
      </c>
      <c r="AI55" s="171" t="e">
        <v>#N/A</v>
      </c>
      <c r="AJ55" s="173" t="e">
        <f t="shared" si="16"/>
        <v>#N/A</v>
      </c>
      <c r="AK55" s="80" t="e">
        <v>#N/A</v>
      </c>
      <c r="AL55" s="162" t="e">
        <f t="shared" si="17"/>
        <v>#N/A</v>
      </c>
    </row>
    <row r="56" spans="1:38" ht="11.25" customHeight="1" x14ac:dyDescent="0.2">
      <c r="A56" s="59" t="s">
        <v>25</v>
      </c>
      <c r="B56" s="60" t="s">
        <v>69</v>
      </c>
      <c r="C56" s="61" t="s">
        <v>6</v>
      </c>
      <c r="D56" s="61" t="s">
        <v>8</v>
      </c>
      <c r="E56" s="61" t="s">
        <v>7</v>
      </c>
      <c r="F56" s="61" t="s">
        <v>125</v>
      </c>
      <c r="G56" s="61" t="str">
        <f t="shared" si="13"/>
        <v>Euribor3M</v>
      </c>
      <c r="H56" s="59" t="str">
        <f t="shared" si="14"/>
        <v>EURAB3E50Y_LCHQuote</v>
      </c>
      <c r="I56" s="125">
        <v>0</v>
      </c>
      <c r="J56" s="64"/>
      <c r="K56" s="64"/>
      <c r="M56" s="71" t="str">
        <f t="shared" si="20"/>
        <v>BasSw</v>
      </c>
      <c r="N56" s="141" t="str">
        <f t="shared" si="18"/>
        <v>--</v>
      </c>
      <c r="O56" s="141" t="str">
        <f t="shared" si="19"/>
        <v>--</v>
      </c>
      <c r="P56" s="149" t="str">
        <f>IFERROR(_xll.qlRateHelperQuoteName(N56,Trigger),"--")</f>
        <v>--</v>
      </c>
      <c r="Q56" s="142" t="str">
        <f>IFERROR(_xll.qlRateHelperQuoteValue($N56,Trigger),"--")</f>
        <v>--</v>
      </c>
      <c r="R56" s="141" t="b">
        <v>0</v>
      </c>
      <c r="S56" s="141">
        <v>10</v>
      </c>
      <c r="T56" s="141">
        <v>1</v>
      </c>
      <c r="U56" s="143" t="str">
        <f>IFERROR(_xll.qlRateHelperEarliestDate(N56,Trigger),"--")</f>
        <v>--</v>
      </c>
      <c r="V56" s="143" t="str">
        <f>IFERROR(_xll.qlRateHelperPillarDate(N56,Trigger),"--")</f>
        <v>--</v>
      </c>
      <c r="X56" s="4" t="str">
        <f t="shared" si="15"/>
        <v/>
      </c>
      <c r="Y56" s="4" t="e">
        <v>#N/A</v>
      </c>
      <c r="Z56" s="4" t="e">
        <v>#N/A</v>
      </c>
      <c r="AA56" s="4" t="str">
        <f>IFERROR(_xll.qlRateHelperQuoteName(Y56,Trigger),"")</f>
        <v/>
      </c>
      <c r="AB56" s="70" t="str">
        <f>IFERROR(_xll.qlRateHelperRate(Y56,Trigger),"")</f>
        <v/>
      </c>
      <c r="AC56" s="104" t="str">
        <f>IF(ISERROR(_xll.qlSwapRateHelperSpread($Y56)),IF(ISERROR(_xll.qlFuturesRateHelperConvexityAdjustment($Y56)),"",_xll.qlFuturesRateHelperConvexityAdjustment($Y56)),_xll.qlSwapRateHelperSpread($Y56))</f>
        <v/>
      </c>
      <c r="AD56" s="5" t="str">
        <f>IFERROR(_xll.qlRateHelperEarliestDate(Y56,Trigger),"")</f>
        <v/>
      </c>
      <c r="AE56" s="5" t="str">
        <f>IFERROR(_xll.qlRateHelperPillarDate(Y56,Trigger),"")</f>
        <v/>
      </c>
      <c r="AF56" s="70" t="e">
        <v>#N/A</v>
      </c>
      <c r="AG56" s="77" t="e">
        <v>#N/A</v>
      </c>
      <c r="AH56" s="170" t="e">
        <v>#N/A</v>
      </c>
      <c r="AI56" s="171" t="e">
        <v>#N/A</v>
      </c>
      <c r="AJ56" s="173" t="e">
        <f t="shared" si="16"/>
        <v>#N/A</v>
      </c>
      <c r="AK56" s="80" t="e">
        <v>#N/A</v>
      </c>
      <c r="AL56" s="162" t="e">
        <f t="shared" si="17"/>
        <v>#N/A</v>
      </c>
    </row>
    <row r="57" spans="1:38" ht="11.25" customHeight="1" x14ac:dyDescent="0.2">
      <c r="A57" s="1" t="s">
        <v>25</v>
      </c>
      <c r="B57" s="8" t="s">
        <v>112</v>
      </c>
      <c r="C57" s="7" t="s">
        <v>6</v>
      </c>
      <c r="D57" s="7" t="s">
        <v>8</v>
      </c>
      <c r="E57" s="7" t="s">
        <v>7</v>
      </c>
      <c r="F57" s="7" t="s">
        <v>125</v>
      </c>
      <c r="G57" s="7" t="str">
        <f t="shared" si="13"/>
        <v>Euribor3M</v>
      </c>
      <c r="H57" s="1" t="str">
        <f t="shared" si="14"/>
        <v>EURAB3E60Y_LCHQuote</v>
      </c>
      <c r="I57" s="128">
        <v>0</v>
      </c>
      <c r="J57" s="3"/>
      <c r="K57" s="3"/>
      <c r="M57" s="71" t="str">
        <f t="shared" si="20"/>
        <v>BasSw</v>
      </c>
      <c r="N57" s="141" t="str">
        <f t="shared" si="18"/>
        <v>--</v>
      </c>
      <c r="O57" s="141" t="str">
        <f t="shared" si="19"/>
        <v>--</v>
      </c>
      <c r="P57" s="149" t="str">
        <f>IFERROR(_xll.qlRateHelperQuoteName(N57,Trigger),"--")</f>
        <v>--</v>
      </c>
      <c r="Q57" s="142" t="str">
        <f>IFERROR(_xll.qlRateHelperQuoteValue($N57,Trigger),"--")</f>
        <v>--</v>
      </c>
      <c r="R57" s="141" t="b">
        <v>0</v>
      </c>
      <c r="S57" s="141">
        <v>10</v>
      </c>
      <c r="T57" s="141">
        <v>1</v>
      </c>
      <c r="U57" s="143" t="str">
        <f>IFERROR(_xll.qlRateHelperEarliestDate(N57,Trigger),"--")</f>
        <v>--</v>
      </c>
      <c r="V57" s="143" t="str">
        <f>IFERROR(_xll.qlRateHelperPillarDate(N57,Trigger),"--")</f>
        <v>--</v>
      </c>
      <c r="X57" s="4" t="str">
        <f t="shared" si="15"/>
        <v/>
      </c>
      <c r="Y57" s="4" t="e">
        <v>#N/A</v>
      </c>
      <c r="Z57" s="4" t="e">
        <v>#N/A</v>
      </c>
      <c r="AA57" s="4" t="str">
        <f>IFERROR(_xll.qlRateHelperQuoteName(Y57,Trigger),"")</f>
        <v/>
      </c>
      <c r="AB57" s="70" t="str">
        <f>IFERROR(_xll.qlRateHelperRate(Y57,Trigger),"")</f>
        <v/>
      </c>
      <c r="AC57" s="104" t="str">
        <f>IF(ISERROR(_xll.qlSwapRateHelperSpread($Y57)),IF(ISERROR(_xll.qlFuturesRateHelperConvexityAdjustment($Y57)),"",_xll.qlFuturesRateHelperConvexityAdjustment($Y57)),_xll.qlSwapRateHelperSpread($Y57))</f>
        <v/>
      </c>
      <c r="AD57" s="5" t="str">
        <f>IFERROR(_xll.qlRateHelperEarliestDate(Y57,Trigger),"")</f>
        <v/>
      </c>
      <c r="AE57" s="5" t="str">
        <f>IFERROR(_xll.qlRateHelperPillarDate(Y57,Trigger),"")</f>
        <v/>
      </c>
      <c r="AF57" s="70" t="e">
        <v>#N/A</v>
      </c>
      <c r="AG57" s="77" t="e">
        <v>#N/A</v>
      </c>
      <c r="AH57" s="170" t="e">
        <v>#N/A</v>
      </c>
      <c r="AI57" s="171" t="e">
        <v>#N/A</v>
      </c>
      <c r="AJ57" s="173" t="e">
        <f t="shared" si="16"/>
        <v>#N/A</v>
      </c>
      <c r="AK57" s="80" t="e">
        <v>#N/A</v>
      </c>
      <c r="AL57" s="162" t="e">
        <f t="shared" si="17"/>
        <v>#N/A</v>
      </c>
    </row>
    <row r="58" spans="1:38" ht="11.25" customHeight="1" x14ac:dyDescent="0.2">
      <c r="M58" s="71" t="str">
        <f t="shared" si="20"/>
        <v>BasSw</v>
      </c>
      <c r="N58" s="141" t="str">
        <f t="shared" si="18"/>
        <v>--</v>
      </c>
      <c r="O58" s="141" t="str">
        <f t="shared" si="19"/>
        <v>--</v>
      </c>
      <c r="P58" s="149" t="str">
        <f>IFERROR(_xll.qlRateHelperQuoteName(N58,Trigger),"--")</f>
        <v>--</v>
      </c>
      <c r="Q58" s="142" t="str">
        <f>IFERROR(_xll.qlRateHelperQuoteValue($N58,Trigger),"--")</f>
        <v>--</v>
      </c>
      <c r="R58" s="141" t="b">
        <v>0</v>
      </c>
      <c r="S58" s="141">
        <v>10</v>
      </c>
      <c r="T58" s="141">
        <v>1</v>
      </c>
      <c r="U58" s="143" t="str">
        <f>IFERROR(_xll.qlRateHelperEarliestDate(N58,Trigger),"--")</f>
        <v>--</v>
      </c>
      <c r="V58" s="143" t="str">
        <f>IFERROR(_xll.qlRateHelperPillarDate(N58,Trigger),"--")</f>
        <v>--</v>
      </c>
      <c r="X58" s="4" t="str">
        <f t="shared" si="15"/>
        <v/>
      </c>
      <c r="Y58" s="4" t="e">
        <v>#N/A</v>
      </c>
      <c r="Z58" s="4" t="e">
        <v>#N/A</v>
      </c>
      <c r="AA58" s="4" t="str">
        <f>IFERROR(_xll.qlRateHelperQuoteName(Y58,Trigger),"")</f>
        <v/>
      </c>
      <c r="AB58" s="70" t="str">
        <f>IFERROR(_xll.qlRateHelperRate(Y58,Trigger),"")</f>
        <v/>
      </c>
      <c r="AC58" s="104" t="str">
        <f>IF(ISERROR(_xll.qlSwapRateHelperSpread($Y58)),IF(ISERROR(_xll.qlFuturesRateHelperConvexityAdjustment($Y58)),"",_xll.qlFuturesRateHelperConvexityAdjustment($Y58)),_xll.qlSwapRateHelperSpread($Y58))</f>
        <v/>
      </c>
      <c r="AD58" s="5" t="str">
        <f>IFERROR(_xll.qlRateHelperEarliestDate(Y58,Trigger),"")</f>
        <v/>
      </c>
      <c r="AE58" s="5" t="str">
        <f>IFERROR(_xll.qlRateHelperPillarDate(Y58,Trigger),"")</f>
        <v/>
      </c>
      <c r="AF58" s="70" t="e">
        <v>#N/A</v>
      </c>
      <c r="AG58" s="77" t="e">
        <v>#N/A</v>
      </c>
      <c r="AH58" s="170" t="e">
        <v>#N/A</v>
      </c>
      <c r="AI58" s="171" t="e">
        <v>#N/A</v>
      </c>
      <c r="AJ58" s="173" t="e">
        <f t="shared" si="16"/>
        <v>#N/A</v>
      </c>
      <c r="AK58" s="80" t="e">
        <v>#N/A</v>
      </c>
      <c r="AL58" s="162" t="e">
        <f t="shared" si="17"/>
        <v>#N/A</v>
      </c>
    </row>
    <row r="59" spans="1:38" ht="11.25" customHeight="1" x14ac:dyDescent="0.2">
      <c r="A59" s="65" t="s">
        <v>9</v>
      </c>
      <c r="B59" s="65" t="s">
        <v>29</v>
      </c>
      <c r="C59" s="65" t="s">
        <v>114</v>
      </c>
      <c r="D59" s="65" t="s">
        <v>5</v>
      </c>
      <c r="E59" s="65" t="s">
        <v>34</v>
      </c>
      <c r="F59" s="65" t="s">
        <v>115</v>
      </c>
      <c r="G59" s="65" t="s">
        <v>4</v>
      </c>
      <c r="H59" s="65" t="s">
        <v>1</v>
      </c>
      <c r="I59" s="65" t="s">
        <v>113</v>
      </c>
      <c r="J59" s="65" t="s">
        <v>150</v>
      </c>
      <c r="K59" s="65" t="s">
        <v>151</v>
      </c>
      <c r="M59" s="71" t="str">
        <f t="shared" si="20"/>
        <v>BasSw</v>
      </c>
      <c r="N59" s="141" t="str">
        <f t="shared" si="18"/>
        <v>--</v>
      </c>
      <c r="O59" s="141" t="str">
        <f t="shared" si="19"/>
        <v>--</v>
      </c>
      <c r="P59" s="149" t="str">
        <f>IFERROR(_xll.qlRateHelperQuoteName(N59,Trigger),"--")</f>
        <v>--</v>
      </c>
      <c r="Q59" s="142" t="str">
        <f>IFERROR(_xll.qlRateHelperQuoteValue($N59,Trigger),"--")</f>
        <v>--</v>
      </c>
      <c r="R59" s="141" t="b">
        <v>0</v>
      </c>
      <c r="S59" s="141">
        <v>10</v>
      </c>
      <c r="T59" s="141">
        <v>1</v>
      </c>
      <c r="U59" s="143" t="str">
        <f>IFERROR(_xll.qlRateHelperEarliestDate(N59,Trigger),"--")</f>
        <v>--</v>
      </c>
      <c r="V59" s="143" t="str">
        <f>IFERROR(_xll.qlRateHelperPillarDate(N59,Trigger),"--")</f>
        <v>--</v>
      </c>
      <c r="X59" s="4" t="str">
        <f t="shared" si="15"/>
        <v/>
      </c>
      <c r="Y59" s="4" t="e">
        <v>#N/A</v>
      </c>
      <c r="Z59" s="4" t="e">
        <v>#N/A</v>
      </c>
      <c r="AA59" s="4" t="str">
        <f>IFERROR(_xll.qlRateHelperQuoteName(Y59,Trigger),"")</f>
        <v/>
      </c>
      <c r="AB59" s="70" t="str">
        <f>IFERROR(_xll.qlRateHelperRate(Y59,Trigger),"")</f>
        <v/>
      </c>
      <c r="AC59" s="104" t="str">
        <f>IF(ISERROR(_xll.qlSwapRateHelperSpread($Y59)),IF(ISERROR(_xll.qlFuturesRateHelperConvexityAdjustment($Y59)),"",_xll.qlFuturesRateHelperConvexityAdjustment($Y59)),_xll.qlSwapRateHelperSpread($Y59))</f>
        <v/>
      </c>
      <c r="AD59" s="5" t="str">
        <f>IFERROR(_xll.qlRateHelperEarliestDate(Y59,Trigger),"")</f>
        <v/>
      </c>
      <c r="AE59" s="5" t="str">
        <f>IFERROR(_xll.qlRateHelperPillarDate(Y59,Trigger),"")</f>
        <v/>
      </c>
      <c r="AF59" s="70" t="e">
        <v>#N/A</v>
      </c>
      <c r="AG59" s="77" t="e">
        <v>#N/A</v>
      </c>
      <c r="AH59" s="170" t="e">
        <v>#N/A</v>
      </c>
      <c r="AI59" s="171" t="e">
        <v>#N/A</v>
      </c>
      <c r="AJ59" s="173" t="e">
        <f t="shared" si="16"/>
        <v>#N/A</v>
      </c>
      <c r="AK59" s="80" t="e">
        <v>#N/A</v>
      </c>
      <c r="AL59" s="162" t="e">
        <f t="shared" si="17"/>
        <v>#N/A</v>
      </c>
    </row>
    <row r="60" spans="1:38" ht="11.25" customHeight="1" x14ac:dyDescent="0.2">
      <c r="A60" s="53" t="s">
        <v>118</v>
      </c>
      <c r="B60" s="115" t="s">
        <v>28</v>
      </c>
      <c r="C60" s="55" t="s">
        <v>6</v>
      </c>
      <c r="D60" s="61" t="s">
        <v>8</v>
      </c>
      <c r="E60" s="61" t="s">
        <v>7</v>
      </c>
      <c r="F60" s="61" t="s">
        <v>125</v>
      </c>
      <c r="G60" s="61" t="str">
        <f t="shared" ref="G60:G96" si="21">PROPER(Currency)&amp;FamilyName&amp;Tenor</f>
        <v>Euribor3M</v>
      </c>
      <c r="H60" s="59" t="str">
        <f t="shared" ref="H60:H96" si="22">IF(LCHQuoteOverwrite,Currency&amp;"3E6E"&amp;B60&amp;LCHQuoteSuffix,Currency&amp;$G$18&amp;$H$18&amp;"BASIS"&amp;$B60&amp;QuoteSuffix)</f>
        <v>EUR3E6E1Y_LCHQuote</v>
      </c>
      <c r="I60" s="126">
        <v>0</v>
      </c>
      <c r="J60" s="58"/>
      <c r="K60" s="58"/>
      <c r="M60" s="71" t="str">
        <f t="shared" si="20"/>
        <v>BasSw</v>
      </c>
      <c r="N60" s="141" t="str">
        <f t="shared" si="18"/>
        <v>obj_005ae#0005</v>
      </c>
      <c r="O60" s="141" t="str">
        <f t="shared" si="19"/>
        <v>obj_005b0#0005</v>
      </c>
      <c r="P60" s="149" t="str">
        <f>IFERROR(_xll.qlRateHelperQuoteName(N60,Trigger),"--")</f>
        <v>EUR3E6E4Y_LCHQuote</v>
      </c>
      <c r="Q60" s="142">
        <f>IFERROR(_xll.qlRateHelperQuoteValue($N60,Trigger),"--")</f>
        <v>2.1527500000000001E-3</v>
      </c>
      <c r="R60" s="141" t="b">
        <v>1</v>
      </c>
      <c r="S60" s="141">
        <v>10</v>
      </c>
      <c r="T60" s="141">
        <v>1</v>
      </c>
      <c r="U60" s="143">
        <f>IFERROR(_xll.qlRateHelperEarliestDate(N60,Trigger),"--")</f>
        <v>42250</v>
      </c>
      <c r="V60" s="143">
        <f>IFERROR(_xll.qlRateHelperPillarDate(N60,Trigger),"--")</f>
        <v>43711</v>
      </c>
      <c r="X60" s="4" t="str">
        <f t="shared" si="15"/>
        <v/>
      </c>
      <c r="Y60" s="4" t="e">
        <v>#N/A</v>
      </c>
      <c r="Z60" s="4" t="e">
        <v>#N/A</v>
      </c>
      <c r="AA60" s="4" t="str">
        <f>IFERROR(_xll.qlRateHelperQuoteName(Y60,Trigger),"")</f>
        <v/>
      </c>
      <c r="AB60" s="70" t="str">
        <f>IFERROR(_xll.qlRateHelperRate(Y60,Trigger),"")</f>
        <v/>
      </c>
      <c r="AC60" s="104" t="str">
        <f>IF(ISERROR(_xll.qlSwapRateHelperSpread($Y60)),IF(ISERROR(_xll.qlFuturesRateHelperConvexityAdjustment($Y60)),"",_xll.qlFuturesRateHelperConvexityAdjustment($Y60)),_xll.qlSwapRateHelperSpread($Y60))</f>
        <v/>
      </c>
      <c r="AD60" s="5" t="str">
        <f>IFERROR(_xll.qlRateHelperEarliestDate(Y60,Trigger),"")</f>
        <v/>
      </c>
      <c r="AE60" s="5" t="str">
        <f>IFERROR(_xll.qlRateHelperPillarDate(Y60,Trigger),"")</f>
        <v/>
      </c>
      <c r="AF60" s="70" t="e">
        <v>#N/A</v>
      </c>
      <c r="AG60" s="77" t="e">
        <v>#N/A</v>
      </c>
      <c r="AH60" s="170" t="e">
        <v>#N/A</v>
      </c>
      <c r="AI60" s="171" t="e">
        <v>#N/A</v>
      </c>
      <c r="AJ60" s="173" t="e">
        <f t="shared" si="16"/>
        <v>#N/A</v>
      </c>
      <c r="AK60" s="80" t="e">
        <v>#N/A</v>
      </c>
      <c r="AL60" s="162" t="e">
        <f t="shared" si="17"/>
        <v>#N/A</v>
      </c>
    </row>
    <row r="61" spans="1:38" ht="11.25" customHeight="1" x14ac:dyDescent="0.2">
      <c r="A61" s="59" t="s">
        <v>118</v>
      </c>
      <c r="B61" s="116" t="s">
        <v>49</v>
      </c>
      <c r="C61" s="61" t="s">
        <v>6</v>
      </c>
      <c r="D61" s="61" t="s">
        <v>8</v>
      </c>
      <c r="E61" s="61" t="s">
        <v>7</v>
      </c>
      <c r="F61" s="61" t="s">
        <v>125</v>
      </c>
      <c r="G61" s="61" t="str">
        <f t="shared" si="21"/>
        <v>Euribor3M</v>
      </c>
      <c r="H61" s="59" t="str">
        <f t="shared" si="22"/>
        <v>EUR3E6E15M_LCHQuote</v>
      </c>
      <c r="I61" s="127">
        <v>0</v>
      </c>
      <c r="J61" s="64"/>
      <c r="K61" s="64"/>
      <c r="M61" s="71" t="str">
        <f t="shared" si="20"/>
        <v>BasSw</v>
      </c>
      <c r="N61" s="141" t="str">
        <f t="shared" si="18"/>
        <v>obj_005a0#0005</v>
      </c>
      <c r="O61" s="141" t="str">
        <f t="shared" si="19"/>
        <v>obj_005a6#0005</v>
      </c>
      <c r="P61" s="149" t="str">
        <f>IFERROR(_xll.qlRateHelperQuoteName(N61,Trigger),"--")</f>
        <v>EUR3E6E5Y_LCHQuote</v>
      </c>
      <c r="Q61" s="142">
        <f>IFERROR(_xll.qlRateHelperQuoteValue($N61,Trigger),"--")</f>
        <v>3.5530000000000002E-3</v>
      </c>
      <c r="R61" s="141" t="b">
        <v>1</v>
      </c>
      <c r="S61" s="141">
        <v>10</v>
      </c>
      <c r="T61" s="141">
        <v>1</v>
      </c>
      <c r="U61" s="143">
        <f>IFERROR(_xll.qlRateHelperEarliestDate(N61,Trigger),"--")</f>
        <v>42250</v>
      </c>
      <c r="V61" s="143">
        <f>IFERROR(_xll.qlRateHelperPillarDate(N61,Trigger),"--")</f>
        <v>44077</v>
      </c>
      <c r="X61" s="4" t="str">
        <f t="shared" si="15"/>
        <v/>
      </c>
      <c r="Y61" s="4" t="e">
        <v>#N/A</v>
      </c>
      <c r="Z61" s="4" t="e">
        <v>#N/A</v>
      </c>
      <c r="AA61" s="4" t="str">
        <f>IFERROR(_xll.qlRateHelperQuoteName(Y61,Trigger),"")</f>
        <v/>
      </c>
      <c r="AB61" s="70" t="str">
        <f>IFERROR(_xll.qlRateHelperRate(Y61,Trigger),"")</f>
        <v/>
      </c>
      <c r="AC61" s="104" t="str">
        <f>IF(ISERROR(_xll.qlSwapRateHelperSpread($Y61)),IF(ISERROR(_xll.qlFuturesRateHelperConvexityAdjustment($Y61)),"",_xll.qlFuturesRateHelperConvexityAdjustment($Y61)),_xll.qlSwapRateHelperSpread($Y61))</f>
        <v/>
      </c>
      <c r="AD61" s="5" t="str">
        <f>IFERROR(_xll.qlRateHelperEarliestDate(Y61,Trigger),"")</f>
        <v/>
      </c>
      <c r="AE61" s="5" t="str">
        <f>IFERROR(_xll.qlRateHelperPillarDate(Y61,Trigger),"")</f>
        <v/>
      </c>
      <c r="AF61" s="70" t="e">
        <v>#N/A</v>
      </c>
      <c r="AG61" s="77" t="e">
        <v>#N/A</v>
      </c>
      <c r="AH61" s="170" t="e">
        <v>#N/A</v>
      </c>
      <c r="AI61" s="171" t="e">
        <v>#N/A</v>
      </c>
      <c r="AJ61" s="173" t="e">
        <f t="shared" si="16"/>
        <v>#N/A</v>
      </c>
      <c r="AK61" s="80" t="e">
        <v>#N/A</v>
      </c>
      <c r="AL61" s="162" t="e">
        <f t="shared" si="17"/>
        <v>#N/A</v>
      </c>
    </row>
    <row r="62" spans="1:38" ht="11.25" customHeight="1" x14ac:dyDescent="0.2">
      <c r="A62" s="59" t="s">
        <v>118</v>
      </c>
      <c r="B62" s="116" t="s">
        <v>50</v>
      </c>
      <c r="C62" s="61" t="s">
        <v>6</v>
      </c>
      <c r="D62" s="61" t="s">
        <v>8</v>
      </c>
      <c r="E62" s="61" t="s">
        <v>7</v>
      </c>
      <c r="F62" s="61" t="s">
        <v>125</v>
      </c>
      <c r="G62" s="61" t="str">
        <f t="shared" si="21"/>
        <v>Euribor3M</v>
      </c>
      <c r="H62" s="59" t="str">
        <f t="shared" si="22"/>
        <v>EUR3E6E18M_LCHQuote</v>
      </c>
      <c r="I62" s="127">
        <v>0</v>
      </c>
      <c r="J62" s="64"/>
      <c r="K62" s="64"/>
      <c r="M62" s="71" t="str">
        <f t="shared" si="20"/>
        <v>BasSw</v>
      </c>
      <c r="N62" s="141" t="str">
        <f t="shared" si="18"/>
        <v>obj_005a8#0005</v>
      </c>
      <c r="O62" s="141" t="str">
        <f t="shared" si="19"/>
        <v>obj_005b1#0005</v>
      </c>
      <c r="P62" s="149" t="str">
        <f>IFERROR(_xll.qlRateHelperQuoteName(N62,Trigger),"--")</f>
        <v>EUR3E6E6Y_LCHQuote</v>
      </c>
      <c r="Q62" s="142">
        <f>IFERROR(_xll.qlRateHelperQuoteValue($N62,Trigger),"--")</f>
        <v>5.0270499999999999E-3</v>
      </c>
      <c r="R62" s="141" t="b">
        <v>1</v>
      </c>
      <c r="S62" s="141">
        <v>10</v>
      </c>
      <c r="T62" s="141">
        <v>1</v>
      </c>
      <c r="U62" s="143">
        <f>IFERROR(_xll.qlRateHelperEarliestDate(N62,Trigger),"--")</f>
        <v>42250</v>
      </c>
      <c r="V62" s="143">
        <f>IFERROR(_xll.qlRateHelperPillarDate(N62,Trigger),"--")</f>
        <v>44442</v>
      </c>
      <c r="X62" s="4" t="str">
        <f t="shared" si="15"/>
        <v/>
      </c>
      <c r="Y62" s="4" t="e">
        <v>#N/A</v>
      </c>
      <c r="Z62" s="4" t="e">
        <v>#N/A</v>
      </c>
      <c r="AA62" s="4" t="str">
        <f>IFERROR(_xll.qlRateHelperQuoteName(Y62,Trigger),"")</f>
        <v/>
      </c>
      <c r="AB62" s="70" t="str">
        <f>IFERROR(_xll.qlRateHelperRate(Y62,Trigger),"")</f>
        <v/>
      </c>
      <c r="AC62" s="104" t="str">
        <f>IF(ISERROR(_xll.qlSwapRateHelperSpread($Y62)),IF(ISERROR(_xll.qlFuturesRateHelperConvexityAdjustment($Y62)),"",_xll.qlFuturesRateHelperConvexityAdjustment($Y62)),_xll.qlSwapRateHelperSpread($Y62))</f>
        <v/>
      </c>
      <c r="AD62" s="5" t="str">
        <f>IFERROR(_xll.qlRateHelperEarliestDate(Y62,Trigger),"")</f>
        <v/>
      </c>
      <c r="AE62" s="5" t="str">
        <f>IFERROR(_xll.qlRateHelperPillarDate(Y62,Trigger),"")</f>
        <v/>
      </c>
      <c r="AF62" s="70" t="e">
        <v>#N/A</v>
      </c>
      <c r="AG62" s="77" t="e">
        <v>#N/A</v>
      </c>
      <c r="AH62" s="170" t="e">
        <v>#N/A</v>
      </c>
      <c r="AI62" s="171" t="e">
        <v>#N/A</v>
      </c>
      <c r="AJ62" s="173" t="e">
        <f t="shared" si="16"/>
        <v>#N/A</v>
      </c>
      <c r="AK62" s="80" t="e">
        <v>#N/A</v>
      </c>
      <c r="AL62" s="162" t="e">
        <f t="shared" si="17"/>
        <v>#N/A</v>
      </c>
    </row>
    <row r="63" spans="1:38" ht="11.25" customHeight="1" x14ac:dyDescent="0.2">
      <c r="A63" s="59" t="s">
        <v>118</v>
      </c>
      <c r="B63" s="116" t="s">
        <v>51</v>
      </c>
      <c r="C63" s="61" t="s">
        <v>6</v>
      </c>
      <c r="D63" s="61" t="s">
        <v>8</v>
      </c>
      <c r="E63" s="61" t="s">
        <v>7</v>
      </c>
      <c r="F63" s="61" t="s">
        <v>125</v>
      </c>
      <c r="G63" s="61" t="str">
        <f t="shared" si="21"/>
        <v>Euribor3M</v>
      </c>
      <c r="H63" s="59" t="str">
        <f t="shared" si="22"/>
        <v>EUR3E6E21M_LCHQuote</v>
      </c>
      <c r="I63" s="127">
        <v>0</v>
      </c>
      <c r="J63" s="64"/>
      <c r="K63" s="64"/>
      <c r="M63" s="71" t="str">
        <f t="shared" si="20"/>
        <v>BasSw</v>
      </c>
      <c r="N63" s="141" t="str">
        <f t="shared" si="18"/>
        <v>obj_005a9#0005</v>
      </c>
      <c r="O63" s="141" t="str">
        <f t="shared" si="19"/>
        <v>obj_005b2#0005</v>
      </c>
      <c r="P63" s="149" t="str">
        <f>IFERROR(_xll.qlRateHelperQuoteName(N63,Trigger),"--")</f>
        <v>EUR3E6E7Y_LCHQuote</v>
      </c>
      <c r="Q63" s="142">
        <f>IFERROR(_xll.qlRateHelperQuoteValue($N63,Trigger),"--")</f>
        <v>6.5050999999999998E-3</v>
      </c>
      <c r="R63" s="141" t="b">
        <v>1</v>
      </c>
      <c r="S63" s="141">
        <v>10</v>
      </c>
      <c r="T63" s="141">
        <v>1</v>
      </c>
      <c r="U63" s="143">
        <f>IFERROR(_xll.qlRateHelperEarliestDate(N63,Trigger),"--")</f>
        <v>42250</v>
      </c>
      <c r="V63" s="143">
        <f>IFERROR(_xll.qlRateHelperPillarDate(N63,Trigger),"--")</f>
        <v>44809</v>
      </c>
      <c r="X63" s="4" t="str">
        <f t="shared" si="15"/>
        <v/>
      </c>
      <c r="Y63" s="4" t="e">
        <v>#N/A</v>
      </c>
      <c r="Z63" s="4" t="e">
        <v>#N/A</v>
      </c>
      <c r="AA63" s="4" t="str">
        <f>IFERROR(_xll.qlRateHelperQuoteName(Y63,Trigger),"")</f>
        <v/>
      </c>
      <c r="AB63" s="70" t="str">
        <f>IFERROR(_xll.qlRateHelperRate(Y63,Trigger),"")</f>
        <v/>
      </c>
      <c r="AC63" s="104" t="str">
        <f>IF(ISERROR(_xll.qlSwapRateHelperSpread($Y63)),IF(ISERROR(_xll.qlFuturesRateHelperConvexityAdjustment($Y63)),"",_xll.qlFuturesRateHelperConvexityAdjustment($Y63)),_xll.qlSwapRateHelperSpread($Y63))</f>
        <v/>
      </c>
      <c r="AD63" s="5" t="str">
        <f>IFERROR(_xll.qlRateHelperEarliestDate(Y63,Trigger),"")</f>
        <v/>
      </c>
      <c r="AE63" s="5" t="str">
        <f>IFERROR(_xll.qlRateHelperPillarDate(Y63,Trigger),"")</f>
        <v/>
      </c>
      <c r="AF63" s="70" t="e">
        <v>#N/A</v>
      </c>
      <c r="AG63" s="77" t="e">
        <v>#N/A</v>
      </c>
      <c r="AH63" s="170" t="e">
        <v>#N/A</v>
      </c>
      <c r="AI63" s="171" t="e">
        <v>#N/A</v>
      </c>
      <c r="AJ63" s="173" t="e">
        <f t="shared" si="16"/>
        <v>#N/A</v>
      </c>
      <c r="AK63" s="80" t="e">
        <v>#N/A</v>
      </c>
      <c r="AL63" s="162" t="e">
        <f t="shared" si="17"/>
        <v>#N/A</v>
      </c>
    </row>
    <row r="64" spans="1:38" ht="11.25" customHeight="1" x14ac:dyDescent="0.2">
      <c r="A64" s="59" t="s">
        <v>118</v>
      </c>
      <c r="B64" s="116" t="s">
        <v>52</v>
      </c>
      <c r="C64" s="61" t="s">
        <v>6</v>
      </c>
      <c r="D64" s="61" t="s">
        <v>8</v>
      </c>
      <c r="E64" s="61" t="s">
        <v>7</v>
      </c>
      <c r="F64" s="61" t="s">
        <v>125</v>
      </c>
      <c r="G64" s="61" t="str">
        <f t="shared" si="21"/>
        <v>Euribor3M</v>
      </c>
      <c r="H64" s="59" t="str">
        <f t="shared" si="22"/>
        <v>EUR3E6E2Y_LCHQuote</v>
      </c>
      <c r="I64" s="127">
        <v>0</v>
      </c>
      <c r="J64" s="64"/>
      <c r="K64" s="64"/>
      <c r="M64" s="71" t="str">
        <f t="shared" si="20"/>
        <v>BasSw</v>
      </c>
      <c r="N64" s="141" t="str">
        <f t="shared" si="18"/>
        <v>obj_005b7#0005</v>
      </c>
      <c r="O64" s="141" t="str">
        <f t="shared" si="19"/>
        <v>obj_005b4#0005</v>
      </c>
      <c r="P64" s="149" t="str">
        <f>IFERROR(_xll.qlRateHelperQuoteName(N64,Trigger),"--")</f>
        <v>EUR3E6E8Y_LCHQuote</v>
      </c>
      <c r="Q64" s="142">
        <f>IFERROR(_xll.qlRateHelperQuoteValue($N64,Trigger),"--")</f>
        <v>7.9095499999999996E-3</v>
      </c>
      <c r="R64" s="141" t="b">
        <v>1</v>
      </c>
      <c r="S64" s="141">
        <v>10</v>
      </c>
      <c r="T64" s="141">
        <v>1</v>
      </c>
      <c r="U64" s="143">
        <f>IFERROR(_xll.qlRateHelperEarliestDate(N64,Trigger),"--")</f>
        <v>42250</v>
      </c>
      <c r="V64" s="143">
        <f>IFERROR(_xll.qlRateHelperPillarDate(N64,Trigger),"--")</f>
        <v>45173</v>
      </c>
      <c r="X64" s="4" t="str">
        <f t="shared" si="15"/>
        <v/>
      </c>
      <c r="Y64" s="4" t="e">
        <v>#N/A</v>
      </c>
      <c r="Z64" s="4" t="e">
        <v>#N/A</v>
      </c>
      <c r="AA64" s="4" t="str">
        <f>IFERROR(_xll.qlRateHelperQuoteName(Y64,Trigger),"")</f>
        <v/>
      </c>
      <c r="AB64" s="70" t="str">
        <f>IFERROR(_xll.qlRateHelperRate(Y64,Trigger),"")</f>
        <v/>
      </c>
      <c r="AC64" s="104" t="str">
        <f>IF(ISERROR(_xll.qlSwapRateHelperSpread($Y64)),IF(ISERROR(_xll.qlFuturesRateHelperConvexityAdjustment($Y64)),"",_xll.qlFuturesRateHelperConvexityAdjustment($Y64)),_xll.qlSwapRateHelperSpread($Y64))</f>
        <v/>
      </c>
      <c r="AD64" s="5" t="str">
        <f>IFERROR(_xll.qlRateHelperEarliestDate(Y64,Trigger),"")</f>
        <v/>
      </c>
      <c r="AE64" s="5" t="str">
        <f>IFERROR(_xll.qlRateHelperPillarDate(Y64,Trigger),"")</f>
        <v/>
      </c>
      <c r="AF64" s="70" t="e">
        <v>#N/A</v>
      </c>
      <c r="AG64" s="77" t="e">
        <v>#N/A</v>
      </c>
      <c r="AH64" s="170" t="e">
        <v>#N/A</v>
      </c>
      <c r="AI64" s="171" t="e">
        <v>#N/A</v>
      </c>
      <c r="AJ64" s="173" t="e">
        <f t="shared" si="16"/>
        <v>#N/A</v>
      </c>
      <c r="AK64" s="80" t="e">
        <v>#N/A</v>
      </c>
      <c r="AL64" s="162" t="e">
        <f t="shared" si="17"/>
        <v>#N/A</v>
      </c>
    </row>
    <row r="65" spans="1:38" ht="11.25" customHeight="1" x14ac:dyDescent="0.2">
      <c r="A65" s="59" t="s">
        <v>118</v>
      </c>
      <c r="B65" s="116" t="s">
        <v>53</v>
      </c>
      <c r="C65" s="61" t="s">
        <v>6</v>
      </c>
      <c r="D65" s="61" t="s">
        <v>8</v>
      </c>
      <c r="E65" s="61" t="s">
        <v>7</v>
      </c>
      <c r="F65" s="61" t="s">
        <v>125</v>
      </c>
      <c r="G65" s="61" t="str">
        <f t="shared" si="21"/>
        <v>Euribor3M</v>
      </c>
      <c r="H65" s="59" t="str">
        <f t="shared" si="22"/>
        <v>EUR3E6E3Y_LCHQuote</v>
      </c>
      <c r="I65" s="127">
        <v>0</v>
      </c>
      <c r="J65" s="64"/>
      <c r="K65" s="64"/>
      <c r="M65" s="71" t="str">
        <f t="shared" si="20"/>
        <v>BasSw</v>
      </c>
      <c r="N65" s="141" t="str">
        <f t="shared" si="18"/>
        <v>obj_005ad#0005</v>
      </c>
      <c r="O65" s="141" t="str">
        <f t="shared" si="19"/>
        <v>obj_005a5#0005</v>
      </c>
      <c r="P65" s="149" t="str">
        <f>IFERROR(_xll.qlRateHelperQuoteName(N65,Trigger),"--")</f>
        <v>EUR3E6E9Y_LCHQuote</v>
      </c>
      <c r="Q65" s="142">
        <f>IFERROR(_xll.qlRateHelperQuoteValue($N65,Trigger),"--")</f>
        <v>9.2026E-3</v>
      </c>
      <c r="R65" s="141" t="b">
        <v>1</v>
      </c>
      <c r="S65" s="141">
        <v>10</v>
      </c>
      <c r="T65" s="141">
        <v>1</v>
      </c>
      <c r="U65" s="143">
        <f>IFERROR(_xll.qlRateHelperEarliestDate(N65,Trigger),"--")</f>
        <v>42250</v>
      </c>
      <c r="V65" s="143">
        <f>IFERROR(_xll.qlRateHelperPillarDate(N65,Trigger),"--")</f>
        <v>45538</v>
      </c>
      <c r="X65" s="4" t="str">
        <f t="shared" si="15"/>
        <v/>
      </c>
      <c r="Y65" s="4" t="e">
        <v>#N/A</v>
      </c>
      <c r="Z65" s="4" t="e">
        <v>#N/A</v>
      </c>
      <c r="AA65" s="4" t="str">
        <f>IFERROR(_xll.qlRateHelperQuoteName(Y65,Trigger),"")</f>
        <v/>
      </c>
      <c r="AB65" s="70" t="str">
        <f>IFERROR(_xll.qlRateHelperRate(Y65,Trigger),"")</f>
        <v/>
      </c>
      <c r="AC65" s="104" t="str">
        <f>IF(ISERROR(_xll.qlSwapRateHelperSpread($Y65)),IF(ISERROR(_xll.qlFuturesRateHelperConvexityAdjustment($Y65)),"",_xll.qlFuturesRateHelperConvexityAdjustment($Y65)),_xll.qlSwapRateHelperSpread($Y65))</f>
        <v/>
      </c>
      <c r="AD65" s="5" t="str">
        <f>IFERROR(_xll.qlRateHelperEarliestDate(Y65,Trigger),"")</f>
        <v/>
      </c>
      <c r="AE65" s="5" t="str">
        <f>IFERROR(_xll.qlRateHelperPillarDate(Y65,Trigger),"")</f>
        <v/>
      </c>
      <c r="AF65" s="70" t="e">
        <v>#N/A</v>
      </c>
      <c r="AG65" s="77" t="e">
        <v>#N/A</v>
      </c>
      <c r="AH65" s="170" t="e">
        <v>#N/A</v>
      </c>
      <c r="AI65" s="171" t="e">
        <v>#N/A</v>
      </c>
      <c r="AJ65" s="173" t="e">
        <f t="shared" si="16"/>
        <v>#N/A</v>
      </c>
      <c r="AK65" s="80" t="e">
        <v>#N/A</v>
      </c>
      <c r="AL65" s="162" t="e">
        <f t="shared" si="17"/>
        <v>#N/A</v>
      </c>
    </row>
    <row r="66" spans="1:38" ht="11.25" customHeight="1" x14ac:dyDescent="0.2">
      <c r="A66" s="59" t="s">
        <v>118</v>
      </c>
      <c r="B66" s="116" t="s">
        <v>54</v>
      </c>
      <c r="C66" s="61" t="s">
        <v>6</v>
      </c>
      <c r="D66" s="61" t="s">
        <v>8</v>
      </c>
      <c r="E66" s="61" t="s">
        <v>7</v>
      </c>
      <c r="F66" s="61" t="s">
        <v>125</v>
      </c>
      <c r="G66" s="61" t="str">
        <f t="shared" si="21"/>
        <v>Euribor3M</v>
      </c>
      <c r="H66" s="59" t="str">
        <f t="shared" si="22"/>
        <v>EUR3E6E4Y_LCHQuote</v>
      </c>
      <c r="I66" s="127">
        <v>0</v>
      </c>
      <c r="J66" s="64" t="str">
        <f>_xll.qlSwapRateHelper2(,$H66,2,$B66,Calendar,$D66,$E66,$F66,$G66,$I66,$C66,Discounting1,PillarDate,,Permanent,Trigger,ObjectOverwrite)</f>
        <v>obj_005ae#0005</v>
      </c>
      <c r="K66" s="64" t="str">
        <f>_xll.qlSwapRateHelper2(,$H66,2,$B66,Calendar,$D66,$E66,$F66,$G66,$I66,$C66,Discounting2,PillarDate,,Permanent,Trigger,ObjectOverwrite)</f>
        <v>obj_005b0#0005</v>
      </c>
      <c r="M66" s="71" t="str">
        <f t="shared" si="20"/>
        <v>BasSw</v>
      </c>
      <c r="N66" s="141" t="str">
        <f t="shared" si="18"/>
        <v>obj_0059f#0005</v>
      </c>
      <c r="O66" s="141" t="str">
        <f t="shared" si="19"/>
        <v>obj_005b5#0005</v>
      </c>
      <c r="P66" s="149" t="str">
        <f>IFERROR(_xll.qlRateHelperQuoteName(N66,Trigger),"--")</f>
        <v>EUR3E6E10Y_LCHQuote</v>
      </c>
      <c r="Q66" s="142">
        <f>IFERROR(_xll.qlRateHelperQuoteValue($N66,Trigger),"--")</f>
        <v>1.03322E-2</v>
      </c>
      <c r="R66" s="141" t="b">
        <v>1</v>
      </c>
      <c r="S66" s="141">
        <v>10</v>
      </c>
      <c r="T66" s="141">
        <v>1</v>
      </c>
      <c r="U66" s="143">
        <f>IFERROR(_xll.qlRateHelperEarliestDate(N66,Trigger),"--")</f>
        <v>42250</v>
      </c>
      <c r="V66" s="143">
        <f>IFERROR(_xll.qlRateHelperPillarDate(N66,Trigger),"--")</f>
        <v>45903</v>
      </c>
      <c r="X66" s="4" t="str">
        <f t="shared" si="15"/>
        <v/>
      </c>
      <c r="Y66" s="4" t="e">
        <v>#N/A</v>
      </c>
      <c r="Z66" s="4" t="e">
        <v>#N/A</v>
      </c>
      <c r="AA66" s="4" t="str">
        <f>IFERROR(_xll.qlRateHelperQuoteName(Y66,Trigger),"")</f>
        <v/>
      </c>
      <c r="AB66" s="70" t="str">
        <f>IFERROR(_xll.qlRateHelperRate(Y66,Trigger),"")</f>
        <v/>
      </c>
      <c r="AC66" s="104" t="str">
        <f>IF(ISERROR(_xll.qlSwapRateHelperSpread($Y66)),IF(ISERROR(_xll.qlFuturesRateHelperConvexityAdjustment($Y66)),"",_xll.qlFuturesRateHelperConvexityAdjustment($Y66)),_xll.qlSwapRateHelperSpread($Y66))</f>
        <v/>
      </c>
      <c r="AD66" s="5" t="str">
        <f>IFERROR(_xll.qlRateHelperEarliestDate(Y66,Trigger),"")</f>
        <v/>
      </c>
      <c r="AE66" s="5" t="str">
        <f>IFERROR(_xll.qlRateHelperPillarDate(Y66,Trigger),"")</f>
        <v/>
      </c>
      <c r="AF66" s="70" t="e">
        <v>#N/A</v>
      </c>
      <c r="AG66" s="77" t="e">
        <v>#N/A</v>
      </c>
      <c r="AH66" s="170" t="e">
        <v>#N/A</v>
      </c>
      <c r="AI66" s="171" t="e">
        <v>#N/A</v>
      </c>
      <c r="AJ66" s="173" t="e">
        <f t="shared" si="16"/>
        <v>#N/A</v>
      </c>
      <c r="AK66" s="80" t="e">
        <v>#N/A</v>
      </c>
      <c r="AL66" s="162" t="e">
        <f t="shared" si="17"/>
        <v>#N/A</v>
      </c>
    </row>
    <row r="67" spans="1:38" ht="11.25" customHeight="1" x14ac:dyDescent="0.2">
      <c r="A67" s="59" t="s">
        <v>118</v>
      </c>
      <c r="B67" s="116" t="s">
        <v>55</v>
      </c>
      <c r="C67" s="61" t="s">
        <v>6</v>
      </c>
      <c r="D67" s="61" t="s">
        <v>8</v>
      </c>
      <c r="E67" s="61" t="s">
        <v>7</v>
      </c>
      <c r="F67" s="61" t="s">
        <v>125</v>
      </c>
      <c r="G67" s="61" t="str">
        <f t="shared" si="21"/>
        <v>Euribor3M</v>
      </c>
      <c r="H67" s="59" t="str">
        <f t="shared" si="22"/>
        <v>EUR3E6E5Y_LCHQuote</v>
      </c>
      <c r="I67" s="127">
        <v>0</v>
      </c>
      <c r="J67" s="64" t="str">
        <f>_xll.qlSwapRateHelper2(,$H67,2,$B67,Calendar,$D67,$E67,$F67,$G67,$I67,$C67,Discounting1,PillarDate,,Permanent,Trigger,ObjectOverwrite)</f>
        <v>obj_005a0#0005</v>
      </c>
      <c r="K67" s="64" t="str">
        <f>_xll.qlSwapRateHelper2(,$H67,2,$B67,Calendar,$D67,$E67,$F67,$G67,$I67,$C67,Discounting2,PillarDate,,Permanent,Trigger,ObjectOverwrite)</f>
        <v>obj_005a6#0005</v>
      </c>
      <c r="M67" s="71" t="str">
        <f t="shared" si="20"/>
        <v>BasSw</v>
      </c>
      <c r="N67" s="141" t="str">
        <f t="shared" si="18"/>
        <v>--</v>
      </c>
      <c r="O67" s="141" t="str">
        <f t="shared" si="19"/>
        <v>--</v>
      </c>
      <c r="P67" s="149" t="str">
        <f>IFERROR(_xll.qlRateHelperQuoteName(N67,Trigger),"--")</f>
        <v>--</v>
      </c>
      <c r="Q67" s="142" t="str">
        <f>IFERROR(_xll.qlRateHelperQuoteValue($N67,Trigger),"--")</f>
        <v>--</v>
      </c>
      <c r="R67" s="141" t="b">
        <v>0</v>
      </c>
      <c r="S67" s="141">
        <v>10</v>
      </c>
      <c r="T67" s="141">
        <v>1</v>
      </c>
      <c r="U67" s="143" t="str">
        <f>IFERROR(_xll.qlRateHelperEarliestDate(N67,Trigger),"--")</f>
        <v>--</v>
      </c>
      <c r="V67" s="143" t="str">
        <f>IFERROR(_xll.qlRateHelperPillarDate(N67,Trigger),"--")</f>
        <v>--</v>
      </c>
      <c r="X67" s="4" t="str">
        <f t="shared" ref="X67:X90" si="23">IFERROR(INDEX($M$3:$M$90,MATCH(AA67,$P$3:$P$90,0),1),"")</f>
        <v/>
      </c>
      <c r="Y67" s="4" t="e">
        <v>#N/A</v>
      </c>
      <c r="Z67" s="4" t="e">
        <v>#N/A</v>
      </c>
      <c r="AA67" s="4" t="str">
        <f>IFERROR(_xll.qlRateHelperQuoteName(Y67,Trigger),"")</f>
        <v/>
      </c>
      <c r="AB67" s="70" t="str">
        <f>IFERROR(_xll.qlRateHelperRate(Y67,Trigger),"")</f>
        <v/>
      </c>
      <c r="AC67" s="104" t="str">
        <f>IF(ISERROR(_xll.qlSwapRateHelperSpread($Y67)),IF(ISERROR(_xll.qlFuturesRateHelperConvexityAdjustment($Y67)),"",_xll.qlFuturesRateHelperConvexityAdjustment($Y67)),_xll.qlSwapRateHelperSpread($Y67))</f>
        <v/>
      </c>
      <c r="AD67" s="5" t="str">
        <f>IFERROR(_xll.qlRateHelperEarliestDate(Y67,Trigger),"")</f>
        <v/>
      </c>
      <c r="AE67" s="5" t="str">
        <f>IFERROR(_xll.qlRateHelperPillarDate(Y67,Trigger),"")</f>
        <v/>
      </c>
      <c r="AF67" s="70" t="e">
        <v>#N/A</v>
      </c>
      <c r="AG67" s="77" t="e">
        <v>#N/A</v>
      </c>
      <c r="AH67" s="170" t="e">
        <v>#N/A</v>
      </c>
      <c r="AI67" s="171" t="e">
        <v>#N/A</v>
      </c>
      <c r="AJ67" s="173" t="e">
        <f t="shared" ref="AJ67:AJ90" si="24">AF67-AI67</f>
        <v>#N/A</v>
      </c>
      <c r="AK67" s="80" t="e">
        <v>#N/A</v>
      </c>
      <c r="AL67" s="162" t="e">
        <f t="shared" ref="AL67:AL90" si="25">AK67-AG67</f>
        <v>#N/A</v>
      </c>
    </row>
    <row r="68" spans="1:38" ht="11.25" customHeight="1" x14ac:dyDescent="0.2">
      <c r="A68" s="59" t="s">
        <v>118</v>
      </c>
      <c r="B68" s="116" t="s">
        <v>56</v>
      </c>
      <c r="C68" s="61" t="s">
        <v>6</v>
      </c>
      <c r="D68" s="61" t="s">
        <v>8</v>
      </c>
      <c r="E68" s="61" t="s">
        <v>7</v>
      </c>
      <c r="F68" s="61" t="s">
        <v>125</v>
      </c>
      <c r="G68" s="61" t="str">
        <f t="shared" si="21"/>
        <v>Euribor3M</v>
      </c>
      <c r="H68" s="59" t="str">
        <f t="shared" si="22"/>
        <v>EUR3E6E6Y_LCHQuote</v>
      </c>
      <c r="I68" s="127">
        <v>0</v>
      </c>
      <c r="J68" s="64" t="str">
        <f>_xll.qlSwapRateHelper2(,$H68,2,$B68,Calendar,$D68,$E68,$F68,$G68,$I68,$C68,Discounting1,PillarDate,,Permanent,Trigger,ObjectOverwrite)</f>
        <v>obj_005a8#0005</v>
      </c>
      <c r="K68" s="64" t="str">
        <f>_xll.qlSwapRateHelper2(,$H68,2,$B68,Calendar,$D68,$E68,$F68,$G68,$I68,$C68,Discounting2,PillarDate,,Permanent,Trigger,ObjectOverwrite)</f>
        <v>obj_005b1#0005</v>
      </c>
      <c r="M68" s="71" t="str">
        <f t="shared" si="20"/>
        <v>BasSw</v>
      </c>
      <c r="N68" s="141" t="str">
        <f t="shared" si="18"/>
        <v>obj_0059b#0005</v>
      </c>
      <c r="O68" s="141" t="str">
        <f t="shared" si="19"/>
        <v>obj_005a3#0005</v>
      </c>
      <c r="P68" s="149" t="str">
        <f>IFERROR(_xll.qlRateHelperQuoteName(N68,Trigger),"--")</f>
        <v>EUR3E6E12Y_LCHQuote</v>
      </c>
      <c r="Q68" s="142">
        <f>IFERROR(_xll.qlRateHelperQuoteValue($N68,Trigger),"--")</f>
        <v>1.2161399999999999E-2</v>
      </c>
      <c r="R68" s="141" t="b">
        <v>1</v>
      </c>
      <c r="S68" s="141">
        <v>10</v>
      </c>
      <c r="T68" s="141">
        <v>1</v>
      </c>
      <c r="U68" s="143">
        <f>IFERROR(_xll.qlRateHelperEarliestDate(N68,Trigger),"--")</f>
        <v>42250</v>
      </c>
      <c r="V68" s="143">
        <f>IFERROR(_xll.qlRateHelperPillarDate(N68,Trigger),"--")</f>
        <v>46633</v>
      </c>
      <c r="X68" s="4" t="str">
        <f t="shared" si="23"/>
        <v/>
      </c>
      <c r="Y68" s="4" t="e">
        <v>#N/A</v>
      </c>
      <c r="Z68" s="4" t="e">
        <v>#N/A</v>
      </c>
      <c r="AA68" s="4" t="str">
        <f>IFERROR(_xll.qlRateHelperQuoteName(Y68,Trigger),"")</f>
        <v/>
      </c>
      <c r="AB68" s="70" t="str">
        <f>IFERROR(_xll.qlRateHelperRate(Y68,Trigger),"")</f>
        <v/>
      </c>
      <c r="AC68" s="104" t="str">
        <f>IF(ISERROR(_xll.qlSwapRateHelperSpread($Y68)),IF(ISERROR(_xll.qlFuturesRateHelperConvexityAdjustment($Y68)),"",_xll.qlFuturesRateHelperConvexityAdjustment($Y68)),_xll.qlSwapRateHelperSpread($Y68))</f>
        <v/>
      </c>
      <c r="AD68" s="5" t="str">
        <f>IFERROR(_xll.qlRateHelperEarliestDate(Y68,Trigger),"")</f>
        <v/>
      </c>
      <c r="AE68" s="5" t="str">
        <f>IFERROR(_xll.qlRateHelperPillarDate(Y68,Trigger),"")</f>
        <v/>
      </c>
      <c r="AF68" s="70" t="e">
        <v>#N/A</v>
      </c>
      <c r="AG68" s="77" t="e">
        <v>#N/A</v>
      </c>
      <c r="AH68" s="170" t="e">
        <v>#N/A</v>
      </c>
      <c r="AI68" s="171" t="e">
        <v>#N/A</v>
      </c>
      <c r="AJ68" s="173" t="e">
        <f t="shared" si="24"/>
        <v>#N/A</v>
      </c>
      <c r="AK68" s="80" t="e">
        <v>#N/A</v>
      </c>
      <c r="AL68" s="162" t="e">
        <f t="shared" si="25"/>
        <v>#N/A</v>
      </c>
    </row>
    <row r="69" spans="1:38" ht="11.25" customHeight="1" x14ac:dyDescent="0.2">
      <c r="A69" s="59" t="s">
        <v>118</v>
      </c>
      <c r="B69" s="116" t="s">
        <v>57</v>
      </c>
      <c r="C69" s="61" t="s">
        <v>6</v>
      </c>
      <c r="D69" s="61" t="s">
        <v>8</v>
      </c>
      <c r="E69" s="61" t="s">
        <v>7</v>
      </c>
      <c r="F69" s="61" t="s">
        <v>125</v>
      </c>
      <c r="G69" s="61" t="str">
        <f t="shared" si="21"/>
        <v>Euribor3M</v>
      </c>
      <c r="H69" s="59" t="str">
        <f t="shared" si="22"/>
        <v>EUR3E6E7Y_LCHQuote</v>
      </c>
      <c r="I69" s="127">
        <v>0</v>
      </c>
      <c r="J69" s="64" t="str">
        <f>_xll.qlSwapRateHelper2(,$H69,2,$B69,Calendar,$D69,$E69,$F69,$G69,$I69,$C69,Discounting1,PillarDate,,Permanent,Trigger,ObjectOverwrite)</f>
        <v>obj_005a9#0005</v>
      </c>
      <c r="K69" s="64" t="str">
        <f>_xll.qlSwapRateHelper2(,$H69,2,$B69,Calendar,$D69,$E69,$F69,$G69,$I69,$C69,Discounting2,PillarDate,,Permanent,Trigger,ObjectOverwrite)</f>
        <v>obj_005b2#0005</v>
      </c>
      <c r="M69" s="71" t="str">
        <f t="shared" si="20"/>
        <v>BasSw</v>
      </c>
      <c r="N69" s="141" t="str">
        <f t="shared" si="18"/>
        <v>--</v>
      </c>
      <c r="O69" s="141" t="str">
        <f t="shared" si="19"/>
        <v>--</v>
      </c>
      <c r="P69" s="149" t="str">
        <f>IFERROR(_xll.qlRateHelperQuoteName(N69,Trigger),"--")</f>
        <v>--</v>
      </c>
      <c r="Q69" s="142" t="str">
        <f>IFERROR(_xll.qlRateHelperQuoteValue($N69,Trigger),"--")</f>
        <v>--</v>
      </c>
      <c r="R69" s="141" t="b">
        <v>0</v>
      </c>
      <c r="S69" s="141">
        <v>10</v>
      </c>
      <c r="T69" s="141">
        <v>1</v>
      </c>
      <c r="U69" s="143" t="str">
        <f>IFERROR(_xll.qlRateHelperEarliestDate(N69,Trigger),"--")</f>
        <v>--</v>
      </c>
      <c r="V69" s="143" t="str">
        <f>IFERROR(_xll.qlRateHelperPillarDate(N69,Trigger),"--")</f>
        <v>--</v>
      </c>
      <c r="X69" s="4" t="str">
        <f t="shared" si="23"/>
        <v/>
      </c>
      <c r="Y69" s="4" t="e">
        <v>#N/A</v>
      </c>
      <c r="Z69" s="4" t="e">
        <v>#N/A</v>
      </c>
      <c r="AA69" s="4" t="str">
        <f>IFERROR(_xll.qlRateHelperQuoteName(Y69,Trigger),"")</f>
        <v/>
      </c>
      <c r="AB69" s="70" t="str">
        <f>IFERROR(_xll.qlRateHelperRate(Y69,Trigger),"")</f>
        <v/>
      </c>
      <c r="AC69" s="104" t="str">
        <f>IF(ISERROR(_xll.qlSwapRateHelperSpread($Y69)),IF(ISERROR(_xll.qlFuturesRateHelperConvexityAdjustment($Y69)),"",_xll.qlFuturesRateHelperConvexityAdjustment($Y69)),_xll.qlSwapRateHelperSpread($Y69))</f>
        <v/>
      </c>
      <c r="AD69" s="5" t="str">
        <f>IFERROR(_xll.qlRateHelperEarliestDate(Y69,Trigger),"")</f>
        <v/>
      </c>
      <c r="AE69" s="5" t="str">
        <f>IFERROR(_xll.qlRateHelperPillarDate(Y69,Trigger),"")</f>
        <v/>
      </c>
      <c r="AF69" s="70" t="e">
        <v>#N/A</v>
      </c>
      <c r="AG69" s="77" t="e">
        <v>#N/A</v>
      </c>
      <c r="AH69" s="170" t="e">
        <v>#N/A</v>
      </c>
      <c r="AI69" s="171" t="e">
        <v>#N/A</v>
      </c>
      <c r="AJ69" s="173" t="e">
        <f t="shared" si="24"/>
        <v>#N/A</v>
      </c>
      <c r="AK69" s="80" t="e">
        <v>#N/A</v>
      </c>
      <c r="AL69" s="162" t="e">
        <f t="shared" si="25"/>
        <v>#N/A</v>
      </c>
    </row>
    <row r="70" spans="1:38" ht="11.25" customHeight="1" x14ac:dyDescent="0.2">
      <c r="A70" s="59" t="s">
        <v>118</v>
      </c>
      <c r="B70" s="116" t="s">
        <v>58</v>
      </c>
      <c r="C70" s="61" t="s">
        <v>6</v>
      </c>
      <c r="D70" s="61" t="s">
        <v>8</v>
      </c>
      <c r="E70" s="61" t="s">
        <v>7</v>
      </c>
      <c r="F70" s="61" t="s">
        <v>125</v>
      </c>
      <c r="G70" s="61" t="str">
        <f t="shared" si="21"/>
        <v>Euribor3M</v>
      </c>
      <c r="H70" s="59" t="str">
        <f t="shared" si="22"/>
        <v>EUR3E6E8Y_LCHQuote</v>
      </c>
      <c r="I70" s="127">
        <v>0</v>
      </c>
      <c r="J70" s="64" t="str">
        <f>_xll.qlSwapRateHelper2(,$H70,2,$B70,Calendar,$D70,$E70,$F70,$G70,$I70,$C70,Discounting1,PillarDate,,Permanent,Trigger,ObjectOverwrite)</f>
        <v>obj_005b7#0005</v>
      </c>
      <c r="K70" s="64" t="str">
        <f>_xll.qlSwapRateHelper2(,$H70,2,$B70,Calendar,$D70,$E70,$F70,$G70,$I70,$C70,Discounting2,PillarDate,,Permanent,Trigger,ObjectOverwrite)</f>
        <v>obj_005b4#0005</v>
      </c>
      <c r="M70" s="71" t="str">
        <f t="shared" si="20"/>
        <v>BasSw</v>
      </c>
      <c r="N70" s="141" t="str">
        <f t="shared" si="18"/>
        <v>--</v>
      </c>
      <c r="O70" s="141" t="str">
        <f t="shared" si="19"/>
        <v>--</v>
      </c>
      <c r="P70" s="149" t="str">
        <f>IFERROR(_xll.qlRateHelperQuoteName(N70,Trigger),"--")</f>
        <v>--</v>
      </c>
      <c r="Q70" s="142" t="str">
        <f>IFERROR(_xll.qlRateHelperQuoteValue($N70,Trigger),"--")</f>
        <v>--</v>
      </c>
      <c r="R70" s="141" t="b">
        <v>0</v>
      </c>
      <c r="S70" s="141">
        <v>10</v>
      </c>
      <c r="T70" s="141">
        <v>1</v>
      </c>
      <c r="U70" s="143" t="str">
        <f>IFERROR(_xll.qlRateHelperEarliestDate(N70,Trigger),"--")</f>
        <v>--</v>
      </c>
      <c r="V70" s="143" t="str">
        <f>IFERROR(_xll.qlRateHelperPillarDate(N70,Trigger),"--")</f>
        <v>--</v>
      </c>
      <c r="X70" s="4" t="str">
        <f t="shared" si="23"/>
        <v/>
      </c>
      <c r="Y70" s="4" t="e">
        <v>#N/A</v>
      </c>
      <c r="Z70" s="4" t="e">
        <v>#N/A</v>
      </c>
      <c r="AA70" s="4" t="str">
        <f>IFERROR(_xll.qlRateHelperQuoteName(Y70,Trigger),"")</f>
        <v/>
      </c>
      <c r="AB70" s="70" t="str">
        <f>IFERROR(_xll.qlRateHelperRate(Y70,Trigger),"")</f>
        <v/>
      </c>
      <c r="AC70" s="104" t="str">
        <f>IF(ISERROR(_xll.qlSwapRateHelperSpread($Y70)),IF(ISERROR(_xll.qlFuturesRateHelperConvexityAdjustment($Y70)),"",_xll.qlFuturesRateHelperConvexityAdjustment($Y70)),_xll.qlSwapRateHelperSpread($Y70))</f>
        <v/>
      </c>
      <c r="AD70" s="5" t="str">
        <f>IFERROR(_xll.qlRateHelperEarliestDate(Y70,Trigger),"")</f>
        <v/>
      </c>
      <c r="AE70" s="5" t="str">
        <f>IFERROR(_xll.qlRateHelperPillarDate(Y70,Trigger),"")</f>
        <v/>
      </c>
      <c r="AF70" s="70" t="e">
        <v>#N/A</v>
      </c>
      <c r="AG70" s="77" t="e">
        <v>#N/A</v>
      </c>
      <c r="AH70" s="170" t="e">
        <v>#N/A</v>
      </c>
      <c r="AI70" s="171" t="e">
        <v>#N/A</v>
      </c>
      <c r="AJ70" s="173" t="e">
        <f t="shared" si="24"/>
        <v>#N/A</v>
      </c>
      <c r="AK70" s="80" t="e">
        <v>#N/A</v>
      </c>
      <c r="AL70" s="162" t="e">
        <f t="shared" si="25"/>
        <v>#N/A</v>
      </c>
    </row>
    <row r="71" spans="1:38" ht="11.25" customHeight="1" x14ac:dyDescent="0.2">
      <c r="A71" s="59" t="s">
        <v>118</v>
      </c>
      <c r="B71" s="116" t="s">
        <v>59</v>
      </c>
      <c r="C71" s="61" t="s">
        <v>6</v>
      </c>
      <c r="D71" s="61" t="s">
        <v>8</v>
      </c>
      <c r="E71" s="61" t="s">
        <v>7</v>
      </c>
      <c r="F71" s="61" t="s">
        <v>125</v>
      </c>
      <c r="G71" s="61" t="str">
        <f t="shared" si="21"/>
        <v>Euribor3M</v>
      </c>
      <c r="H71" s="59" t="str">
        <f t="shared" si="22"/>
        <v>EUR3E6E9Y_LCHQuote</v>
      </c>
      <c r="I71" s="127">
        <v>0</v>
      </c>
      <c r="J71" s="64" t="str">
        <f>_xll.qlSwapRateHelper2(,$H71,2,$B71,Calendar,$D71,$E71,$F71,$G71,$I71,$C71,Discounting1,PillarDate,,Permanent,Trigger,ObjectOverwrite)</f>
        <v>obj_005ad#0005</v>
      </c>
      <c r="K71" s="64" t="str">
        <f>_xll.qlSwapRateHelper2(,$H71,2,$B71,Calendar,$D71,$E71,$F71,$G71,$I71,$C71,Discounting2,PillarDate,,Permanent,Trigger,ObjectOverwrite)</f>
        <v>obj_005a5#0005</v>
      </c>
      <c r="M71" s="71" t="str">
        <f t="shared" si="20"/>
        <v>BasSw</v>
      </c>
      <c r="N71" s="141" t="str">
        <f t="shared" si="18"/>
        <v>obj_005aa#0005</v>
      </c>
      <c r="O71" s="141" t="str">
        <f t="shared" si="19"/>
        <v>obj_005b6#0005</v>
      </c>
      <c r="P71" s="149" t="str">
        <f>IFERROR(_xll.qlRateHelperQuoteName(N71,Trigger),"--")</f>
        <v>EUR3E6E15Y_LCHQuote</v>
      </c>
      <c r="Q71" s="142">
        <f>IFERROR(_xll.qlRateHelperQuoteValue($N71,Trigger),"--")</f>
        <v>1.4040199999999999E-2</v>
      </c>
      <c r="R71" s="141" t="b">
        <v>1</v>
      </c>
      <c r="S71" s="141">
        <v>10</v>
      </c>
      <c r="T71" s="141">
        <v>1</v>
      </c>
      <c r="U71" s="143">
        <f>IFERROR(_xll.qlRateHelperEarliestDate(N71,Trigger),"--")</f>
        <v>42250</v>
      </c>
      <c r="V71" s="143">
        <f>IFERROR(_xll.qlRateHelperPillarDate(N71,Trigger),"--")</f>
        <v>47729</v>
      </c>
      <c r="X71" s="4" t="str">
        <f t="shared" si="23"/>
        <v/>
      </c>
      <c r="Y71" s="4" t="e">
        <v>#N/A</v>
      </c>
      <c r="Z71" s="4" t="e">
        <v>#N/A</v>
      </c>
      <c r="AA71" s="4" t="str">
        <f>IFERROR(_xll.qlRateHelperQuoteName(Y71,Trigger),"")</f>
        <v/>
      </c>
      <c r="AB71" s="70" t="str">
        <f>IFERROR(_xll.qlRateHelperRate(Y71,Trigger),"")</f>
        <v/>
      </c>
      <c r="AC71" s="104" t="str">
        <f>IF(ISERROR(_xll.qlSwapRateHelperSpread($Y71)),IF(ISERROR(_xll.qlFuturesRateHelperConvexityAdjustment($Y71)),"",_xll.qlFuturesRateHelperConvexityAdjustment($Y71)),_xll.qlSwapRateHelperSpread($Y71))</f>
        <v/>
      </c>
      <c r="AD71" s="5" t="str">
        <f>IFERROR(_xll.qlRateHelperEarliestDate(Y71,Trigger),"")</f>
        <v/>
      </c>
      <c r="AE71" s="5" t="str">
        <f>IFERROR(_xll.qlRateHelperPillarDate(Y71,Trigger),"")</f>
        <v/>
      </c>
      <c r="AF71" s="70" t="e">
        <v>#N/A</v>
      </c>
      <c r="AG71" s="77" t="e">
        <v>#N/A</v>
      </c>
      <c r="AH71" s="170" t="e">
        <v>#N/A</v>
      </c>
      <c r="AI71" s="171" t="e">
        <v>#N/A</v>
      </c>
      <c r="AJ71" s="173" t="e">
        <f t="shared" si="24"/>
        <v>#N/A</v>
      </c>
      <c r="AK71" s="80" t="e">
        <v>#N/A</v>
      </c>
      <c r="AL71" s="162" t="e">
        <f t="shared" si="25"/>
        <v>#N/A</v>
      </c>
    </row>
    <row r="72" spans="1:38" ht="11.25" customHeight="1" x14ac:dyDescent="0.2">
      <c r="A72" s="59" t="s">
        <v>118</v>
      </c>
      <c r="B72" s="116" t="s">
        <v>60</v>
      </c>
      <c r="C72" s="61" t="s">
        <v>6</v>
      </c>
      <c r="D72" s="61" t="s">
        <v>8</v>
      </c>
      <c r="E72" s="61" t="s">
        <v>7</v>
      </c>
      <c r="F72" s="61" t="s">
        <v>125</v>
      </c>
      <c r="G72" s="61" t="str">
        <f t="shared" si="21"/>
        <v>Euribor3M</v>
      </c>
      <c r="H72" s="59" t="str">
        <f t="shared" si="22"/>
        <v>EUR3E6E10Y_LCHQuote</v>
      </c>
      <c r="I72" s="127">
        <v>0</v>
      </c>
      <c r="J72" s="64" t="str">
        <f>_xll.qlSwapRateHelper2(,$H72,2,$B72,Calendar,$D72,$E72,$F72,$G72,$I72,$C72,Discounting1,PillarDate,,Permanent,Trigger,ObjectOverwrite)</f>
        <v>obj_0059f#0005</v>
      </c>
      <c r="K72" s="64" t="str">
        <f>_xll.qlSwapRateHelper2(,$H72,2,$B72,Calendar,$D72,$E72,$F72,$G72,$I72,$C72,Discounting2,PillarDate,,Permanent,Trigger,ObjectOverwrite)</f>
        <v>obj_005b5#0005</v>
      </c>
      <c r="M72" s="71" t="str">
        <f t="shared" si="20"/>
        <v>BasSw</v>
      </c>
      <c r="N72" s="141" t="str">
        <f t="shared" si="18"/>
        <v>--</v>
      </c>
      <c r="O72" s="141" t="str">
        <f t="shared" si="19"/>
        <v>--</v>
      </c>
      <c r="P72" s="149" t="str">
        <f>IFERROR(_xll.qlRateHelperQuoteName(N72,Trigger),"--")</f>
        <v>--</v>
      </c>
      <c r="Q72" s="142" t="str">
        <f>IFERROR(_xll.qlRateHelperQuoteValue($N72,Trigger),"--")</f>
        <v>--</v>
      </c>
      <c r="R72" s="141" t="b">
        <v>0</v>
      </c>
      <c r="S72" s="141">
        <v>10</v>
      </c>
      <c r="T72" s="141">
        <v>1</v>
      </c>
      <c r="U72" s="143" t="str">
        <f>IFERROR(_xll.qlRateHelperEarliestDate(N72,Trigger),"--")</f>
        <v>--</v>
      </c>
      <c r="V72" s="143" t="str">
        <f>IFERROR(_xll.qlRateHelperPillarDate(N72,Trigger),"--")</f>
        <v>--</v>
      </c>
      <c r="X72" s="4" t="str">
        <f t="shared" si="23"/>
        <v/>
      </c>
      <c r="Y72" s="4" t="e">
        <v>#N/A</v>
      </c>
      <c r="Z72" s="4" t="e">
        <v>#N/A</v>
      </c>
      <c r="AA72" s="4" t="str">
        <f>IFERROR(_xll.qlRateHelperQuoteName(Y72,Trigger),"")</f>
        <v/>
      </c>
      <c r="AB72" s="70" t="str">
        <f>IFERROR(_xll.qlRateHelperRate(Y72,Trigger),"")</f>
        <v/>
      </c>
      <c r="AC72" s="104" t="str">
        <f>IF(ISERROR(_xll.qlSwapRateHelperSpread($Y72)),IF(ISERROR(_xll.qlFuturesRateHelperConvexityAdjustment($Y72)),"",_xll.qlFuturesRateHelperConvexityAdjustment($Y72)),_xll.qlSwapRateHelperSpread($Y72))</f>
        <v/>
      </c>
      <c r="AD72" s="5" t="str">
        <f>IFERROR(_xll.qlRateHelperEarliestDate(Y72,Trigger),"")</f>
        <v/>
      </c>
      <c r="AE72" s="5" t="str">
        <f>IFERROR(_xll.qlRateHelperPillarDate(Y72,Trigger),"")</f>
        <v/>
      </c>
      <c r="AF72" s="70" t="e">
        <v>#N/A</v>
      </c>
      <c r="AG72" s="77" t="e">
        <v>#N/A</v>
      </c>
      <c r="AH72" s="170" t="e">
        <v>#N/A</v>
      </c>
      <c r="AI72" s="171" t="e">
        <v>#N/A</v>
      </c>
      <c r="AJ72" s="173" t="e">
        <f t="shared" si="24"/>
        <v>#N/A</v>
      </c>
      <c r="AK72" s="80" t="e">
        <v>#N/A</v>
      </c>
      <c r="AL72" s="162" t="e">
        <f t="shared" si="25"/>
        <v>#N/A</v>
      </c>
    </row>
    <row r="73" spans="1:38" ht="11.25" customHeight="1" x14ac:dyDescent="0.2">
      <c r="A73" s="59" t="s">
        <v>118</v>
      </c>
      <c r="B73" s="116" t="s">
        <v>98</v>
      </c>
      <c r="C73" s="61" t="s">
        <v>6</v>
      </c>
      <c r="D73" s="61" t="s">
        <v>8</v>
      </c>
      <c r="E73" s="61" t="s">
        <v>7</v>
      </c>
      <c r="F73" s="61" t="s">
        <v>125</v>
      </c>
      <c r="G73" s="61" t="str">
        <f t="shared" si="21"/>
        <v>Euribor3M</v>
      </c>
      <c r="H73" s="59" t="str">
        <f t="shared" si="22"/>
        <v>EUR3E6E11Y_LCHQuote</v>
      </c>
      <c r="I73" s="127">
        <v>0</v>
      </c>
      <c r="J73" s="64"/>
      <c r="K73" s="64"/>
      <c r="M73" s="71" t="str">
        <f t="shared" si="20"/>
        <v>BasSw</v>
      </c>
      <c r="N73" s="141" t="str">
        <f t="shared" si="18"/>
        <v>--</v>
      </c>
      <c r="O73" s="141" t="str">
        <f t="shared" si="19"/>
        <v>--</v>
      </c>
      <c r="P73" s="149" t="str">
        <f>IFERROR(_xll.qlRateHelperQuoteName(N73,Trigger),"--")</f>
        <v>--</v>
      </c>
      <c r="Q73" s="142" t="str">
        <f>IFERROR(_xll.qlRateHelperQuoteValue($N73,Trigger),"--")</f>
        <v>--</v>
      </c>
      <c r="R73" s="141" t="b">
        <v>0</v>
      </c>
      <c r="S73" s="141">
        <v>10</v>
      </c>
      <c r="T73" s="141">
        <v>1</v>
      </c>
      <c r="U73" s="143" t="str">
        <f>IFERROR(_xll.qlRateHelperEarliestDate(N73,Trigger),"--")</f>
        <v>--</v>
      </c>
      <c r="V73" s="143" t="str">
        <f>IFERROR(_xll.qlRateHelperPillarDate(N73,Trigger),"--")</f>
        <v>--</v>
      </c>
      <c r="X73" s="4" t="str">
        <f t="shared" si="23"/>
        <v/>
      </c>
      <c r="Y73" s="4" t="e">
        <v>#N/A</v>
      </c>
      <c r="Z73" s="4" t="e">
        <v>#N/A</v>
      </c>
      <c r="AA73" s="4" t="str">
        <f>IFERROR(_xll.qlRateHelperQuoteName(Y73,Trigger),"")</f>
        <v/>
      </c>
      <c r="AB73" s="70" t="str">
        <f>IFERROR(_xll.qlRateHelperRate(Y73,Trigger),"")</f>
        <v/>
      </c>
      <c r="AC73" s="104" t="str">
        <f>IF(ISERROR(_xll.qlSwapRateHelperSpread($Y73)),IF(ISERROR(_xll.qlFuturesRateHelperConvexityAdjustment($Y73)),"",_xll.qlFuturesRateHelperConvexityAdjustment($Y73)),_xll.qlSwapRateHelperSpread($Y73))</f>
        <v/>
      </c>
      <c r="AD73" s="5" t="str">
        <f>IFERROR(_xll.qlRateHelperEarliestDate(Y73,Trigger),"")</f>
        <v/>
      </c>
      <c r="AE73" s="5" t="str">
        <f>IFERROR(_xll.qlRateHelperPillarDate(Y73,Trigger),"")</f>
        <v/>
      </c>
      <c r="AF73" s="70" t="e">
        <v>#N/A</v>
      </c>
      <c r="AG73" s="77" t="e">
        <v>#N/A</v>
      </c>
      <c r="AH73" s="170" t="e">
        <v>#N/A</v>
      </c>
      <c r="AI73" s="171" t="e">
        <v>#N/A</v>
      </c>
      <c r="AJ73" s="173" t="e">
        <f t="shared" si="24"/>
        <v>#N/A</v>
      </c>
      <c r="AK73" s="80" t="e">
        <v>#N/A</v>
      </c>
      <c r="AL73" s="162" t="e">
        <f t="shared" si="25"/>
        <v>#N/A</v>
      </c>
    </row>
    <row r="74" spans="1:38" ht="11.25" customHeight="1" x14ac:dyDescent="0.2">
      <c r="A74" s="59" t="s">
        <v>118</v>
      </c>
      <c r="B74" s="116" t="s">
        <v>61</v>
      </c>
      <c r="C74" s="61" t="s">
        <v>6</v>
      </c>
      <c r="D74" s="61" t="s">
        <v>8</v>
      </c>
      <c r="E74" s="61" t="s">
        <v>7</v>
      </c>
      <c r="F74" s="61" t="s">
        <v>125</v>
      </c>
      <c r="G74" s="61" t="str">
        <f t="shared" si="21"/>
        <v>Euribor3M</v>
      </c>
      <c r="H74" s="59" t="str">
        <f t="shared" si="22"/>
        <v>EUR3E6E12Y_LCHQuote</v>
      </c>
      <c r="I74" s="127">
        <v>0</v>
      </c>
      <c r="J74" s="64" t="str">
        <f>_xll.qlSwapRateHelper2(,$H74,2,$B74,Calendar,$D74,$E74,$F74,$G74,$I74,$C74,Discounting1,PillarDate,,Permanent,Trigger,ObjectOverwrite)</f>
        <v>obj_0059b#0005</v>
      </c>
      <c r="K74" s="64" t="str">
        <f>_xll.qlSwapRateHelper2(,$H74,2,$B74,Calendar,$D74,$E74,$F74,$G74,$I74,$C74,Discounting2,PillarDate,,Permanent,Trigger,ObjectOverwrite)</f>
        <v>obj_005a3#0005</v>
      </c>
      <c r="M74" s="71" t="str">
        <f t="shared" si="20"/>
        <v>BasSw</v>
      </c>
      <c r="N74" s="141" t="str">
        <f t="shared" si="18"/>
        <v>--</v>
      </c>
      <c r="O74" s="141" t="str">
        <f t="shared" si="19"/>
        <v>--</v>
      </c>
      <c r="P74" s="149" t="str">
        <f>IFERROR(_xll.qlRateHelperQuoteName(N74,Trigger),"--")</f>
        <v>--</v>
      </c>
      <c r="Q74" s="142" t="str">
        <f>IFERROR(_xll.qlRateHelperQuoteValue($N74,Trigger),"--")</f>
        <v>--</v>
      </c>
      <c r="R74" s="141" t="b">
        <v>0</v>
      </c>
      <c r="S74" s="141">
        <v>10</v>
      </c>
      <c r="T74" s="141">
        <v>1</v>
      </c>
      <c r="U74" s="143" t="str">
        <f>IFERROR(_xll.qlRateHelperEarliestDate(N74,Trigger),"--")</f>
        <v>--</v>
      </c>
      <c r="V74" s="143" t="str">
        <f>IFERROR(_xll.qlRateHelperPillarDate(N74,Trigger),"--")</f>
        <v>--</v>
      </c>
      <c r="X74" s="4" t="str">
        <f t="shared" si="23"/>
        <v/>
      </c>
      <c r="Y74" s="4" t="e">
        <v>#N/A</v>
      </c>
      <c r="Z74" s="4" t="e">
        <v>#N/A</v>
      </c>
      <c r="AA74" s="4" t="str">
        <f>IFERROR(_xll.qlRateHelperQuoteName(Y74,Trigger),"")</f>
        <v/>
      </c>
      <c r="AB74" s="70" t="str">
        <f>IFERROR(_xll.qlRateHelperRate(Y74,Trigger),"")</f>
        <v/>
      </c>
      <c r="AC74" s="104" t="str">
        <f>IF(ISERROR(_xll.qlSwapRateHelperSpread($Y74)),IF(ISERROR(_xll.qlFuturesRateHelperConvexityAdjustment($Y74)),"",_xll.qlFuturesRateHelperConvexityAdjustment($Y74)),_xll.qlSwapRateHelperSpread($Y74))</f>
        <v/>
      </c>
      <c r="AD74" s="5" t="str">
        <f>IFERROR(_xll.qlRateHelperEarliestDate(Y74,Trigger),"")</f>
        <v/>
      </c>
      <c r="AE74" s="5" t="str">
        <f>IFERROR(_xll.qlRateHelperPillarDate(Y74,Trigger),"")</f>
        <v/>
      </c>
      <c r="AF74" s="70" t="e">
        <v>#N/A</v>
      </c>
      <c r="AG74" s="77" t="e">
        <v>#N/A</v>
      </c>
      <c r="AH74" s="170" t="e">
        <v>#N/A</v>
      </c>
      <c r="AI74" s="171" t="e">
        <v>#N/A</v>
      </c>
      <c r="AJ74" s="173" t="e">
        <f t="shared" si="24"/>
        <v>#N/A</v>
      </c>
      <c r="AK74" s="80" t="e">
        <v>#N/A</v>
      </c>
      <c r="AL74" s="162" t="e">
        <f t="shared" si="25"/>
        <v>#N/A</v>
      </c>
    </row>
    <row r="75" spans="1:38" ht="11.25" customHeight="1" x14ac:dyDescent="0.2">
      <c r="A75" s="59" t="s">
        <v>118</v>
      </c>
      <c r="B75" s="116" t="s">
        <v>99</v>
      </c>
      <c r="C75" s="61" t="s">
        <v>6</v>
      </c>
      <c r="D75" s="61" t="s">
        <v>8</v>
      </c>
      <c r="E75" s="61" t="s">
        <v>7</v>
      </c>
      <c r="F75" s="61" t="s">
        <v>125</v>
      </c>
      <c r="G75" s="61" t="str">
        <f t="shared" si="21"/>
        <v>Euribor3M</v>
      </c>
      <c r="H75" s="59" t="str">
        <f t="shared" si="22"/>
        <v>EUR3E6E13Y_LCHQuote</v>
      </c>
      <c r="I75" s="127">
        <v>0</v>
      </c>
      <c r="J75" s="64"/>
      <c r="K75" s="64"/>
      <c r="M75" s="71" t="str">
        <f t="shared" si="20"/>
        <v>BasSw</v>
      </c>
      <c r="N75" s="141" t="str">
        <f t="shared" si="18"/>
        <v>--</v>
      </c>
      <c r="O75" s="141" t="str">
        <f t="shared" si="19"/>
        <v>--</v>
      </c>
      <c r="P75" s="149" t="str">
        <f>IFERROR(_xll.qlRateHelperQuoteName(N75,Trigger),"--")</f>
        <v>--</v>
      </c>
      <c r="Q75" s="142" t="str">
        <f>IFERROR(_xll.qlRateHelperQuoteValue($N75,Trigger),"--")</f>
        <v>--</v>
      </c>
      <c r="R75" s="141" t="b">
        <v>0</v>
      </c>
      <c r="S75" s="141">
        <v>10</v>
      </c>
      <c r="T75" s="141">
        <v>1</v>
      </c>
      <c r="U75" s="143" t="str">
        <f>IFERROR(_xll.qlRateHelperEarliestDate(N75,Trigger),"--")</f>
        <v>--</v>
      </c>
      <c r="V75" s="143" t="str">
        <f>IFERROR(_xll.qlRateHelperPillarDate(N75,Trigger),"--")</f>
        <v>--</v>
      </c>
      <c r="X75" s="4" t="str">
        <f t="shared" si="23"/>
        <v/>
      </c>
      <c r="Y75" s="4" t="e">
        <v>#N/A</v>
      </c>
      <c r="Z75" s="4" t="e">
        <v>#N/A</v>
      </c>
      <c r="AA75" s="4" t="str">
        <f>IFERROR(_xll.qlRateHelperQuoteName(Y75,Trigger),"")</f>
        <v/>
      </c>
      <c r="AB75" s="70" t="str">
        <f>IFERROR(_xll.qlRateHelperRate(Y75,Trigger),"")</f>
        <v/>
      </c>
      <c r="AC75" s="104" t="str">
        <f>IF(ISERROR(_xll.qlSwapRateHelperSpread($Y75)),IF(ISERROR(_xll.qlFuturesRateHelperConvexityAdjustment($Y75)),"",_xll.qlFuturesRateHelperConvexityAdjustment($Y75)),_xll.qlSwapRateHelperSpread($Y75))</f>
        <v/>
      </c>
      <c r="AD75" s="5" t="str">
        <f>IFERROR(_xll.qlRateHelperEarliestDate(Y75,Trigger),"")</f>
        <v/>
      </c>
      <c r="AE75" s="5" t="str">
        <f>IFERROR(_xll.qlRateHelperPillarDate(Y75,Trigger),"")</f>
        <v/>
      </c>
      <c r="AF75" s="70" t="e">
        <v>#N/A</v>
      </c>
      <c r="AG75" s="77" t="e">
        <v>#N/A</v>
      </c>
      <c r="AH75" s="170" t="e">
        <v>#N/A</v>
      </c>
      <c r="AI75" s="171" t="e">
        <v>#N/A</v>
      </c>
      <c r="AJ75" s="173" t="e">
        <f t="shared" si="24"/>
        <v>#N/A</v>
      </c>
      <c r="AK75" s="80" t="e">
        <v>#N/A</v>
      </c>
      <c r="AL75" s="162" t="e">
        <f t="shared" si="25"/>
        <v>#N/A</v>
      </c>
    </row>
    <row r="76" spans="1:38" ht="11.25" customHeight="1" x14ac:dyDescent="0.2">
      <c r="A76" s="59" t="s">
        <v>118</v>
      </c>
      <c r="B76" s="116" t="s">
        <v>100</v>
      </c>
      <c r="C76" s="61" t="s">
        <v>6</v>
      </c>
      <c r="D76" s="61" t="s">
        <v>8</v>
      </c>
      <c r="E76" s="61" t="s">
        <v>7</v>
      </c>
      <c r="F76" s="61" t="s">
        <v>125</v>
      </c>
      <c r="G76" s="61" t="str">
        <f t="shared" si="21"/>
        <v>Euribor3M</v>
      </c>
      <c r="H76" s="59" t="str">
        <f t="shared" si="22"/>
        <v>EUR3E6E14Y_LCHQuote</v>
      </c>
      <c r="I76" s="127">
        <v>0</v>
      </c>
      <c r="J76" s="64"/>
      <c r="K76" s="64"/>
      <c r="M76" s="71" t="str">
        <f t="shared" si="20"/>
        <v>BasSw</v>
      </c>
      <c r="N76" s="141" t="str">
        <f t="shared" si="18"/>
        <v>obj_005b3#0005</v>
      </c>
      <c r="O76" s="141" t="str">
        <f t="shared" si="19"/>
        <v>obj_005a7#0005</v>
      </c>
      <c r="P76" s="149" t="str">
        <f>IFERROR(_xll.qlRateHelperQuoteName(N76,Trigger),"--")</f>
        <v>EUR3E6E20Y_LCHQuote</v>
      </c>
      <c r="Q76" s="142">
        <f>IFERROR(_xll.qlRateHelperQuoteValue($N76,Trigger),"--")</f>
        <v>1.55508E-2</v>
      </c>
      <c r="R76" s="141" t="b">
        <v>1</v>
      </c>
      <c r="S76" s="141">
        <v>10</v>
      </c>
      <c r="T76" s="141">
        <v>1</v>
      </c>
      <c r="U76" s="143">
        <f>IFERROR(_xll.qlRateHelperEarliestDate(N76,Trigger),"--")</f>
        <v>42250</v>
      </c>
      <c r="V76" s="143">
        <f>IFERROR(_xll.qlRateHelperPillarDate(N76,Trigger),"--")</f>
        <v>49555</v>
      </c>
      <c r="X76" s="4" t="str">
        <f t="shared" si="23"/>
        <v/>
      </c>
      <c r="Y76" s="4" t="e">
        <v>#N/A</v>
      </c>
      <c r="Z76" s="4" t="e">
        <v>#N/A</v>
      </c>
      <c r="AA76" s="4" t="str">
        <f>IFERROR(_xll.qlRateHelperQuoteName(Y76,Trigger),"")</f>
        <v/>
      </c>
      <c r="AB76" s="70" t="str">
        <f>IFERROR(_xll.qlRateHelperRate(Y76,Trigger),"")</f>
        <v/>
      </c>
      <c r="AC76" s="104" t="str">
        <f>IF(ISERROR(_xll.qlSwapRateHelperSpread($Y76)),IF(ISERROR(_xll.qlFuturesRateHelperConvexityAdjustment($Y76)),"",_xll.qlFuturesRateHelperConvexityAdjustment($Y76)),_xll.qlSwapRateHelperSpread($Y76))</f>
        <v/>
      </c>
      <c r="AD76" s="5" t="str">
        <f>IFERROR(_xll.qlRateHelperEarliestDate(Y76,Trigger),"")</f>
        <v/>
      </c>
      <c r="AE76" s="5" t="str">
        <f>IFERROR(_xll.qlRateHelperPillarDate(Y76,Trigger),"")</f>
        <v/>
      </c>
      <c r="AF76" s="70" t="e">
        <v>#N/A</v>
      </c>
      <c r="AG76" s="77" t="e">
        <v>#N/A</v>
      </c>
      <c r="AH76" s="170" t="e">
        <v>#N/A</v>
      </c>
      <c r="AI76" s="171" t="e">
        <v>#N/A</v>
      </c>
      <c r="AJ76" s="173" t="e">
        <f t="shared" si="24"/>
        <v>#N/A</v>
      </c>
      <c r="AK76" s="80" t="e">
        <v>#N/A</v>
      </c>
      <c r="AL76" s="162" t="e">
        <f t="shared" si="25"/>
        <v>#N/A</v>
      </c>
    </row>
    <row r="77" spans="1:38" ht="11.25" customHeight="1" x14ac:dyDescent="0.2">
      <c r="A77" s="59" t="s">
        <v>118</v>
      </c>
      <c r="B77" s="116" t="s">
        <v>62</v>
      </c>
      <c r="C77" s="61" t="s">
        <v>6</v>
      </c>
      <c r="D77" s="61" t="s">
        <v>8</v>
      </c>
      <c r="E77" s="61" t="s">
        <v>7</v>
      </c>
      <c r="F77" s="61" t="s">
        <v>125</v>
      </c>
      <c r="G77" s="61" t="str">
        <f t="shared" si="21"/>
        <v>Euribor3M</v>
      </c>
      <c r="H77" s="59" t="str">
        <f t="shared" si="22"/>
        <v>EUR3E6E15Y_LCHQuote</v>
      </c>
      <c r="I77" s="127">
        <v>0</v>
      </c>
      <c r="J77" s="64" t="str">
        <f>_xll.qlSwapRateHelper2(,$H77,2,$B77,Calendar,$D77,$E77,$F77,$G77,$I77,$C77,Discounting1,PillarDate,,Permanent,Trigger,ObjectOverwrite)</f>
        <v>obj_005aa#0005</v>
      </c>
      <c r="K77" s="64" t="str">
        <f>_xll.qlSwapRateHelper2(,$H77,2,$B77,Calendar,$D77,$E77,$F77,$G77,$I77,$C77,Discounting2,PillarDate,,Permanent,Trigger,ObjectOverwrite)</f>
        <v>obj_005b6#0005</v>
      </c>
      <c r="M77" s="71" t="str">
        <f t="shared" si="20"/>
        <v>BasSw</v>
      </c>
      <c r="N77" s="141" t="str">
        <f t="shared" si="18"/>
        <v>--</v>
      </c>
      <c r="O77" s="141" t="str">
        <f t="shared" si="19"/>
        <v>--</v>
      </c>
      <c r="P77" s="149" t="str">
        <f>IFERROR(_xll.qlRateHelperQuoteName(N77,Trigger),"--")</f>
        <v>--</v>
      </c>
      <c r="Q77" s="142" t="str">
        <f>IFERROR(_xll.qlRateHelperQuoteValue($N77,Trigger),"--")</f>
        <v>--</v>
      </c>
      <c r="R77" s="141" t="b">
        <v>0</v>
      </c>
      <c r="S77" s="141">
        <v>10</v>
      </c>
      <c r="T77" s="141">
        <v>1</v>
      </c>
      <c r="U77" s="143" t="str">
        <f>IFERROR(_xll.qlRateHelperEarliestDate(N77,Trigger),"--")</f>
        <v>--</v>
      </c>
      <c r="V77" s="143" t="str">
        <f>IFERROR(_xll.qlRateHelperPillarDate(N77,Trigger),"--")</f>
        <v>--</v>
      </c>
      <c r="X77" s="4" t="str">
        <f t="shared" si="23"/>
        <v/>
      </c>
      <c r="Y77" s="4" t="e">
        <v>#N/A</v>
      </c>
      <c r="Z77" s="4" t="e">
        <v>#N/A</v>
      </c>
      <c r="AA77" s="4" t="str">
        <f>IFERROR(_xll.qlRateHelperQuoteName(Y77,Trigger),"")</f>
        <v/>
      </c>
      <c r="AB77" s="70" t="str">
        <f>IFERROR(_xll.qlRateHelperRate(Y77,Trigger),"")</f>
        <v/>
      </c>
      <c r="AC77" s="104" t="str">
        <f>IF(ISERROR(_xll.qlSwapRateHelperSpread($Y77)),IF(ISERROR(_xll.qlFuturesRateHelperConvexityAdjustment($Y77)),"",_xll.qlFuturesRateHelperConvexityAdjustment($Y77)),_xll.qlSwapRateHelperSpread($Y77))</f>
        <v/>
      </c>
      <c r="AD77" s="5" t="str">
        <f>IFERROR(_xll.qlRateHelperEarliestDate(Y77,Trigger),"")</f>
        <v/>
      </c>
      <c r="AE77" s="5" t="str">
        <f>IFERROR(_xll.qlRateHelperPillarDate(Y77,Trigger),"")</f>
        <v/>
      </c>
      <c r="AF77" s="70" t="e">
        <v>#N/A</v>
      </c>
      <c r="AG77" s="77" t="e">
        <v>#N/A</v>
      </c>
      <c r="AH77" s="170" t="e">
        <v>#N/A</v>
      </c>
      <c r="AI77" s="171" t="e">
        <v>#N/A</v>
      </c>
      <c r="AJ77" s="173" t="e">
        <f t="shared" si="24"/>
        <v>#N/A</v>
      </c>
      <c r="AK77" s="80" t="e">
        <v>#N/A</v>
      </c>
      <c r="AL77" s="162" t="e">
        <f t="shared" si="25"/>
        <v>#N/A</v>
      </c>
    </row>
    <row r="78" spans="1:38" ht="11.25" customHeight="1" x14ac:dyDescent="0.2">
      <c r="A78" s="59" t="s">
        <v>118</v>
      </c>
      <c r="B78" s="116" t="s">
        <v>101</v>
      </c>
      <c r="C78" s="61" t="s">
        <v>6</v>
      </c>
      <c r="D78" s="61" t="s">
        <v>8</v>
      </c>
      <c r="E78" s="61" t="s">
        <v>7</v>
      </c>
      <c r="F78" s="61" t="s">
        <v>125</v>
      </c>
      <c r="G78" s="61" t="str">
        <f t="shared" si="21"/>
        <v>Euribor3M</v>
      </c>
      <c r="H78" s="59" t="str">
        <f t="shared" si="22"/>
        <v>EUR3E6E16Y_LCHQuote</v>
      </c>
      <c r="I78" s="127">
        <v>0</v>
      </c>
      <c r="J78" s="64"/>
      <c r="K78" s="64"/>
      <c r="M78" s="71" t="str">
        <f t="shared" si="20"/>
        <v>BasSw</v>
      </c>
      <c r="N78" s="141" t="str">
        <f t="shared" si="18"/>
        <v>--</v>
      </c>
      <c r="O78" s="141" t="str">
        <f t="shared" si="19"/>
        <v>--</v>
      </c>
      <c r="P78" s="149" t="str">
        <f>IFERROR(_xll.qlRateHelperQuoteName(N78,Trigger),"--")</f>
        <v>--</v>
      </c>
      <c r="Q78" s="142" t="str">
        <f>IFERROR(_xll.qlRateHelperQuoteValue($N78,Trigger),"--")</f>
        <v>--</v>
      </c>
      <c r="R78" s="141" t="b">
        <v>0</v>
      </c>
      <c r="S78" s="141">
        <v>10</v>
      </c>
      <c r="T78" s="141">
        <v>1</v>
      </c>
      <c r="U78" s="143" t="str">
        <f>IFERROR(_xll.qlRateHelperEarliestDate(N78,Trigger),"--")</f>
        <v>--</v>
      </c>
      <c r="V78" s="143" t="str">
        <f>IFERROR(_xll.qlRateHelperPillarDate(N78,Trigger),"--")</f>
        <v>--</v>
      </c>
      <c r="X78" s="4" t="str">
        <f t="shared" si="23"/>
        <v/>
      </c>
      <c r="Y78" s="4" t="e">
        <v>#N/A</v>
      </c>
      <c r="Z78" s="4" t="e">
        <v>#N/A</v>
      </c>
      <c r="AA78" s="4" t="str">
        <f>IFERROR(_xll.qlRateHelperQuoteName(Y78,Trigger),"")</f>
        <v/>
      </c>
      <c r="AB78" s="70" t="str">
        <f>IFERROR(_xll.qlRateHelperRate(Y78,Trigger),"")</f>
        <v/>
      </c>
      <c r="AC78" s="104" t="str">
        <f>IF(ISERROR(_xll.qlSwapRateHelperSpread($Y78)),IF(ISERROR(_xll.qlFuturesRateHelperConvexityAdjustment($Y78)),"",_xll.qlFuturesRateHelperConvexityAdjustment($Y78)),_xll.qlSwapRateHelperSpread($Y78))</f>
        <v/>
      </c>
      <c r="AD78" s="5" t="str">
        <f>IFERROR(_xll.qlRateHelperEarliestDate(Y78,Trigger),"")</f>
        <v/>
      </c>
      <c r="AE78" s="5" t="str">
        <f>IFERROR(_xll.qlRateHelperPillarDate(Y78,Trigger),"")</f>
        <v/>
      </c>
      <c r="AF78" s="70" t="e">
        <v>#N/A</v>
      </c>
      <c r="AG78" s="77" t="e">
        <v>#N/A</v>
      </c>
      <c r="AH78" s="170" t="e">
        <v>#N/A</v>
      </c>
      <c r="AI78" s="171" t="e">
        <v>#N/A</v>
      </c>
      <c r="AJ78" s="173" t="e">
        <f t="shared" si="24"/>
        <v>#N/A</v>
      </c>
      <c r="AK78" s="80" t="e">
        <v>#N/A</v>
      </c>
      <c r="AL78" s="162" t="e">
        <f t="shared" si="25"/>
        <v>#N/A</v>
      </c>
    </row>
    <row r="79" spans="1:38" ht="11.25" customHeight="1" x14ac:dyDescent="0.2">
      <c r="A79" s="59" t="s">
        <v>118</v>
      </c>
      <c r="B79" s="116" t="s">
        <v>102</v>
      </c>
      <c r="C79" s="61" t="s">
        <v>6</v>
      </c>
      <c r="D79" s="61" t="s">
        <v>8</v>
      </c>
      <c r="E79" s="61" t="s">
        <v>7</v>
      </c>
      <c r="F79" s="61" t="s">
        <v>125</v>
      </c>
      <c r="G79" s="61" t="str">
        <f t="shared" si="21"/>
        <v>Euribor3M</v>
      </c>
      <c r="H79" s="59" t="str">
        <f t="shared" si="22"/>
        <v>EUR3E6E17Y_LCHQuote</v>
      </c>
      <c r="I79" s="127">
        <v>0</v>
      </c>
      <c r="J79" s="64"/>
      <c r="K79" s="64"/>
      <c r="M79" s="71" t="str">
        <f t="shared" si="20"/>
        <v>BasSw</v>
      </c>
      <c r="N79" s="141" t="str">
        <f t="shared" si="18"/>
        <v>--</v>
      </c>
      <c r="O79" s="141" t="str">
        <f t="shared" si="19"/>
        <v>--</v>
      </c>
      <c r="P79" s="149" t="str">
        <f>IFERROR(_xll.qlRateHelperQuoteName(N79,Trigger),"--")</f>
        <v>--</v>
      </c>
      <c r="Q79" s="142" t="str">
        <f>IFERROR(_xll.qlRateHelperQuoteValue($N79,Trigger),"--")</f>
        <v>--</v>
      </c>
      <c r="R79" s="141" t="b">
        <v>0</v>
      </c>
      <c r="S79" s="141">
        <v>10</v>
      </c>
      <c r="T79" s="141">
        <v>1</v>
      </c>
      <c r="U79" s="143" t="str">
        <f>IFERROR(_xll.qlRateHelperEarliestDate(N79,Trigger),"--")</f>
        <v>--</v>
      </c>
      <c r="V79" s="143" t="str">
        <f>IFERROR(_xll.qlRateHelperPillarDate(N79,Trigger),"--")</f>
        <v>--</v>
      </c>
      <c r="X79" s="4" t="str">
        <f t="shared" si="23"/>
        <v/>
      </c>
      <c r="Y79" s="4" t="e">
        <v>#N/A</v>
      </c>
      <c r="Z79" s="4" t="e">
        <v>#N/A</v>
      </c>
      <c r="AA79" s="4" t="str">
        <f>IFERROR(_xll.qlRateHelperQuoteName(Y79,Trigger),"")</f>
        <v/>
      </c>
      <c r="AB79" s="70" t="str">
        <f>IFERROR(_xll.qlRateHelperRate(Y79,Trigger),"")</f>
        <v/>
      </c>
      <c r="AC79" s="104" t="str">
        <f>IF(ISERROR(_xll.qlSwapRateHelperSpread($Y79)),IF(ISERROR(_xll.qlFuturesRateHelperConvexityAdjustment($Y79)),"",_xll.qlFuturesRateHelperConvexityAdjustment($Y79)),_xll.qlSwapRateHelperSpread($Y79))</f>
        <v/>
      </c>
      <c r="AD79" s="5" t="str">
        <f>IFERROR(_xll.qlRateHelperEarliestDate(Y79,Trigger),"")</f>
        <v/>
      </c>
      <c r="AE79" s="5" t="str">
        <f>IFERROR(_xll.qlRateHelperPillarDate(Y79,Trigger),"")</f>
        <v/>
      </c>
      <c r="AF79" s="70" t="e">
        <v>#N/A</v>
      </c>
      <c r="AG79" s="77" t="e">
        <v>#N/A</v>
      </c>
      <c r="AH79" s="170" t="e">
        <v>#N/A</v>
      </c>
      <c r="AI79" s="171" t="e">
        <v>#N/A</v>
      </c>
      <c r="AJ79" s="173" t="e">
        <f t="shared" si="24"/>
        <v>#N/A</v>
      </c>
      <c r="AK79" s="80" t="e">
        <v>#N/A</v>
      </c>
      <c r="AL79" s="162" t="e">
        <f t="shared" si="25"/>
        <v>#N/A</v>
      </c>
    </row>
    <row r="80" spans="1:38" ht="11.25" customHeight="1" x14ac:dyDescent="0.2">
      <c r="A80" s="59" t="s">
        <v>118</v>
      </c>
      <c r="B80" s="116" t="s">
        <v>103</v>
      </c>
      <c r="C80" s="61" t="s">
        <v>6</v>
      </c>
      <c r="D80" s="61" t="s">
        <v>8</v>
      </c>
      <c r="E80" s="61" t="s">
        <v>7</v>
      </c>
      <c r="F80" s="61" t="s">
        <v>125</v>
      </c>
      <c r="G80" s="61" t="str">
        <f t="shared" si="21"/>
        <v>Euribor3M</v>
      </c>
      <c r="H80" s="59" t="str">
        <f t="shared" si="22"/>
        <v>EUR3E6E18Y_LCHQuote</v>
      </c>
      <c r="I80" s="127">
        <v>0</v>
      </c>
      <c r="J80" s="64"/>
      <c r="K80" s="64"/>
      <c r="M80" s="71" t="str">
        <f t="shared" si="20"/>
        <v>BasSw</v>
      </c>
      <c r="N80" s="141" t="str">
        <f t="shared" si="18"/>
        <v>--</v>
      </c>
      <c r="O80" s="141" t="str">
        <f t="shared" si="19"/>
        <v>--</v>
      </c>
      <c r="P80" s="149" t="str">
        <f>IFERROR(_xll.qlRateHelperQuoteName(N80,Trigger),"--")</f>
        <v>--</v>
      </c>
      <c r="Q80" s="142" t="str">
        <f>IFERROR(_xll.qlRateHelperQuoteValue($N80,Trigger),"--")</f>
        <v>--</v>
      </c>
      <c r="R80" s="141" t="b">
        <v>0</v>
      </c>
      <c r="S80" s="141">
        <v>10</v>
      </c>
      <c r="T80" s="141">
        <v>1</v>
      </c>
      <c r="U80" s="143" t="str">
        <f>IFERROR(_xll.qlRateHelperEarliestDate(N80,Trigger),"--")</f>
        <v>--</v>
      </c>
      <c r="V80" s="143" t="str">
        <f>IFERROR(_xll.qlRateHelperPillarDate(N80,Trigger),"--")</f>
        <v>--</v>
      </c>
      <c r="X80" s="4" t="str">
        <f t="shared" si="23"/>
        <v/>
      </c>
      <c r="Y80" s="4" t="e">
        <v>#N/A</v>
      </c>
      <c r="Z80" s="4" t="e">
        <v>#N/A</v>
      </c>
      <c r="AA80" s="4" t="str">
        <f>IFERROR(_xll.qlRateHelperQuoteName(Y80,Trigger),"")</f>
        <v/>
      </c>
      <c r="AB80" s="70" t="str">
        <f>IFERROR(_xll.qlRateHelperRate(Y80,Trigger),"")</f>
        <v/>
      </c>
      <c r="AC80" s="104" t="str">
        <f>IF(ISERROR(_xll.qlSwapRateHelperSpread($Y80)),IF(ISERROR(_xll.qlFuturesRateHelperConvexityAdjustment($Y80)),"",_xll.qlFuturesRateHelperConvexityAdjustment($Y80)),_xll.qlSwapRateHelperSpread($Y80))</f>
        <v/>
      </c>
      <c r="AD80" s="5" t="str">
        <f>IFERROR(_xll.qlRateHelperEarliestDate(Y80,Trigger),"")</f>
        <v/>
      </c>
      <c r="AE80" s="5" t="str">
        <f>IFERROR(_xll.qlRateHelperPillarDate(Y80,Trigger),"")</f>
        <v/>
      </c>
      <c r="AF80" s="70" t="e">
        <v>#N/A</v>
      </c>
      <c r="AG80" s="77" t="e">
        <v>#N/A</v>
      </c>
      <c r="AH80" s="170" t="e">
        <v>#N/A</v>
      </c>
      <c r="AI80" s="171" t="e">
        <v>#N/A</v>
      </c>
      <c r="AJ80" s="173" t="e">
        <f t="shared" si="24"/>
        <v>#N/A</v>
      </c>
      <c r="AK80" s="80" t="e">
        <v>#N/A</v>
      </c>
      <c r="AL80" s="162" t="e">
        <f t="shared" si="25"/>
        <v>#N/A</v>
      </c>
    </row>
    <row r="81" spans="1:38" x14ac:dyDescent="0.2">
      <c r="A81" s="59" t="s">
        <v>118</v>
      </c>
      <c r="B81" s="116" t="s">
        <v>104</v>
      </c>
      <c r="C81" s="61" t="s">
        <v>6</v>
      </c>
      <c r="D81" s="61" t="s">
        <v>8</v>
      </c>
      <c r="E81" s="61" t="s">
        <v>7</v>
      </c>
      <c r="F81" s="61" t="s">
        <v>125</v>
      </c>
      <c r="G81" s="61" t="str">
        <f t="shared" si="21"/>
        <v>Euribor3M</v>
      </c>
      <c r="H81" s="59" t="str">
        <f t="shared" si="22"/>
        <v>EUR3E6E19Y_LCHQuote</v>
      </c>
      <c r="I81" s="127">
        <v>0</v>
      </c>
      <c r="J81" s="64"/>
      <c r="K81" s="64"/>
      <c r="M81" s="71" t="str">
        <f t="shared" si="20"/>
        <v>BasSw</v>
      </c>
      <c r="N81" s="141" t="str">
        <f t="shared" si="18"/>
        <v>obj_0059e#0005</v>
      </c>
      <c r="O81" s="141" t="str">
        <f t="shared" si="19"/>
        <v>obj_005ac#0005</v>
      </c>
      <c r="P81" s="149" t="str">
        <f>IFERROR(_xll.qlRateHelperQuoteName(N81,Trigger),"--")</f>
        <v>EUR3E6E25Y_LCHQuote</v>
      </c>
      <c r="Q81" s="142">
        <f>IFERROR(_xll.qlRateHelperQuoteValue($N81,Trigger),"--")</f>
        <v>1.59347E-2</v>
      </c>
      <c r="R81" s="141" t="b">
        <v>1</v>
      </c>
      <c r="S81" s="141">
        <v>10</v>
      </c>
      <c r="T81" s="141">
        <v>1</v>
      </c>
      <c r="U81" s="143">
        <f>IFERROR(_xll.qlRateHelperEarliestDate(N81,Trigger),"--")</f>
        <v>42250</v>
      </c>
      <c r="V81" s="143">
        <f>IFERROR(_xll.qlRateHelperPillarDate(N81,Trigger),"--")</f>
        <v>51382</v>
      </c>
      <c r="X81" s="4" t="str">
        <f t="shared" si="23"/>
        <v/>
      </c>
      <c r="Y81" s="4" t="e">
        <v>#N/A</v>
      </c>
      <c r="Z81" s="4" t="e">
        <v>#N/A</v>
      </c>
      <c r="AA81" s="4" t="str">
        <f>IFERROR(_xll.qlRateHelperQuoteName(Y81,Trigger),"")</f>
        <v/>
      </c>
      <c r="AB81" s="70" t="str">
        <f>IFERROR(_xll.qlRateHelperRate(Y81,Trigger),"")</f>
        <v/>
      </c>
      <c r="AC81" s="104" t="str">
        <f>IF(ISERROR(_xll.qlSwapRateHelperSpread($Y81)),IF(ISERROR(_xll.qlFuturesRateHelperConvexityAdjustment($Y81)),"",_xll.qlFuturesRateHelperConvexityAdjustment($Y81)),_xll.qlSwapRateHelperSpread($Y81))</f>
        <v/>
      </c>
      <c r="AD81" s="5" t="str">
        <f>IFERROR(_xll.qlRateHelperEarliestDate(Y81,Trigger),"")</f>
        <v/>
      </c>
      <c r="AE81" s="5" t="str">
        <f>IFERROR(_xll.qlRateHelperPillarDate(Y81,Trigger),"")</f>
        <v/>
      </c>
      <c r="AF81" s="70" t="e">
        <v>#N/A</v>
      </c>
      <c r="AG81" s="77" t="e">
        <v>#N/A</v>
      </c>
      <c r="AH81" s="170" t="e">
        <v>#N/A</v>
      </c>
      <c r="AI81" s="171" t="e">
        <v>#N/A</v>
      </c>
      <c r="AJ81" s="173" t="e">
        <f t="shared" si="24"/>
        <v>#N/A</v>
      </c>
      <c r="AK81" s="80" t="e">
        <v>#N/A</v>
      </c>
      <c r="AL81" s="162" t="e">
        <f t="shared" si="25"/>
        <v>#N/A</v>
      </c>
    </row>
    <row r="82" spans="1:38" x14ac:dyDescent="0.2">
      <c r="A82" s="59" t="s">
        <v>118</v>
      </c>
      <c r="B82" s="116" t="s">
        <v>63</v>
      </c>
      <c r="C82" s="61" t="s">
        <v>6</v>
      </c>
      <c r="D82" s="61" t="s">
        <v>8</v>
      </c>
      <c r="E82" s="61" t="s">
        <v>7</v>
      </c>
      <c r="F82" s="61" t="s">
        <v>125</v>
      </c>
      <c r="G82" s="61" t="str">
        <f t="shared" si="21"/>
        <v>Euribor3M</v>
      </c>
      <c r="H82" s="59" t="str">
        <f t="shared" si="22"/>
        <v>EUR3E6E20Y_LCHQuote</v>
      </c>
      <c r="I82" s="127">
        <v>0</v>
      </c>
      <c r="J82" s="64" t="str">
        <f>_xll.qlSwapRateHelper2(,$H82,2,$B82,Calendar,$D82,$E82,$F82,$G82,$I82,$C82,Discounting1,PillarDate,,Permanent,Trigger,ObjectOverwrite)</f>
        <v>obj_005b3#0005</v>
      </c>
      <c r="K82" s="64" t="str">
        <f>_xll.qlSwapRateHelper2(,$H82,2,$B82,Calendar,$D82,$E82,$F82,$G82,$I82,$C82,Discounting2,PillarDate,,Permanent,Trigger,ObjectOverwrite)</f>
        <v>obj_005a7#0005</v>
      </c>
      <c r="M82" s="71" t="str">
        <f t="shared" si="20"/>
        <v>BasSw</v>
      </c>
      <c r="N82" s="141" t="str">
        <f t="shared" si="18"/>
        <v>--</v>
      </c>
      <c r="O82" s="141" t="str">
        <f t="shared" si="19"/>
        <v>--</v>
      </c>
      <c r="P82" s="149" t="str">
        <f>IFERROR(_xll.qlRateHelperQuoteName(N82,Trigger),"--")</f>
        <v>--</v>
      </c>
      <c r="Q82" s="142" t="str">
        <f>IFERROR(_xll.qlRateHelperQuoteValue($N82,Trigger),"--")</f>
        <v>--</v>
      </c>
      <c r="R82" s="141" t="b">
        <v>0</v>
      </c>
      <c r="S82" s="141">
        <v>10</v>
      </c>
      <c r="T82" s="141">
        <v>1</v>
      </c>
      <c r="U82" s="143" t="str">
        <f>IFERROR(_xll.qlRateHelperEarliestDate(N82,Trigger),"--")</f>
        <v>--</v>
      </c>
      <c r="V82" s="143" t="str">
        <f>IFERROR(_xll.qlRateHelperPillarDate(N82,Trigger),"--")</f>
        <v>--</v>
      </c>
      <c r="X82" s="4" t="str">
        <f t="shared" si="23"/>
        <v/>
      </c>
      <c r="Y82" s="4" t="e">
        <v>#N/A</v>
      </c>
      <c r="Z82" s="4" t="e">
        <v>#N/A</v>
      </c>
      <c r="AA82" s="4" t="str">
        <f>IFERROR(_xll.qlRateHelperQuoteName(Y82,Trigger),"")</f>
        <v/>
      </c>
      <c r="AB82" s="70" t="str">
        <f>IFERROR(_xll.qlRateHelperRate(Y82,Trigger),"")</f>
        <v/>
      </c>
      <c r="AC82" s="104" t="str">
        <f>IF(ISERROR(_xll.qlSwapRateHelperSpread($Y82)),IF(ISERROR(_xll.qlFuturesRateHelperConvexityAdjustment($Y82)),"",_xll.qlFuturesRateHelperConvexityAdjustment($Y82)),_xll.qlSwapRateHelperSpread($Y82))</f>
        <v/>
      </c>
      <c r="AD82" s="5" t="str">
        <f>IFERROR(_xll.qlRateHelperEarliestDate(Y82,Trigger),"")</f>
        <v/>
      </c>
      <c r="AE82" s="5" t="str">
        <f>IFERROR(_xll.qlRateHelperPillarDate(Y82,Trigger),"")</f>
        <v/>
      </c>
      <c r="AF82" s="70" t="e">
        <v>#N/A</v>
      </c>
      <c r="AG82" s="77" t="e">
        <v>#N/A</v>
      </c>
      <c r="AH82" s="170" t="e">
        <v>#N/A</v>
      </c>
      <c r="AI82" s="171" t="e">
        <v>#N/A</v>
      </c>
      <c r="AJ82" s="173" t="e">
        <f t="shared" si="24"/>
        <v>#N/A</v>
      </c>
      <c r="AK82" s="80" t="e">
        <v>#N/A</v>
      </c>
      <c r="AL82" s="162" t="e">
        <f t="shared" si="25"/>
        <v>#N/A</v>
      </c>
    </row>
    <row r="83" spans="1:38" x14ac:dyDescent="0.2">
      <c r="A83" s="59" t="s">
        <v>118</v>
      </c>
      <c r="B83" s="116" t="s">
        <v>105</v>
      </c>
      <c r="C83" s="61" t="s">
        <v>6</v>
      </c>
      <c r="D83" s="61" t="s">
        <v>8</v>
      </c>
      <c r="E83" s="61" t="s">
        <v>7</v>
      </c>
      <c r="F83" s="61" t="s">
        <v>125</v>
      </c>
      <c r="G83" s="61" t="str">
        <f t="shared" si="21"/>
        <v>Euribor3M</v>
      </c>
      <c r="H83" s="59" t="str">
        <f t="shared" si="22"/>
        <v>EUR3E6E21Y_LCHQuote</v>
      </c>
      <c r="I83" s="127">
        <v>0</v>
      </c>
      <c r="J83" s="64"/>
      <c r="K83" s="64"/>
      <c r="M83" s="71" t="str">
        <f t="shared" si="20"/>
        <v>BasSw</v>
      </c>
      <c r="N83" s="141" t="str">
        <f t="shared" si="18"/>
        <v>--</v>
      </c>
      <c r="O83" s="141" t="str">
        <f t="shared" si="19"/>
        <v>--</v>
      </c>
      <c r="P83" s="149" t="str">
        <f>IFERROR(_xll.qlRateHelperQuoteName(N83,Trigger),"--")</f>
        <v>--</v>
      </c>
      <c r="Q83" s="142" t="str">
        <f>IFERROR(_xll.qlRateHelperQuoteValue($N83,Trigger),"--")</f>
        <v>--</v>
      </c>
      <c r="R83" s="141" t="b">
        <v>0</v>
      </c>
      <c r="S83" s="141">
        <v>10</v>
      </c>
      <c r="T83" s="141">
        <v>1</v>
      </c>
      <c r="U83" s="143" t="str">
        <f>IFERROR(_xll.qlRateHelperEarliestDate(N83,Trigger),"--")</f>
        <v>--</v>
      </c>
      <c r="V83" s="143" t="str">
        <f>IFERROR(_xll.qlRateHelperPillarDate(N83,Trigger),"--")</f>
        <v>--</v>
      </c>
      <c r="X83" s="4" t="str">
        <f t="shared" si="23"/>
        <v/>
      </c>
      <c r="Y83" s="4" t="e">
        <v>#N/A</v>
      </c>
      <c r="Z83" s="4" t="e">
        <v>#N/A</v>
      </c>
      <c r="AA83" s="4" t="str">
        <f>IFERROR(_xll.qlRateHelperQuoteName(Y83,Trigger),"")</f>
        <v/>
      </c>
      <c r="AB83" s="70" t="str">
        <f>IFERROR(_xll.qlRateHelperRate(Y83,Trigger),"")</f>
        <v/>
      </c>
      <c r="AC83" s="104" t="str">
        <f>IF(ISERROR(_xll.qlSwapRateHelperSpread($Y83)),IF(ISERROR(_xll.qlFuturesRateHelperConvexityAdjustment($Y83)),"",_xll.qlFuturesRateHelperConvexityAdjustment($Y83)),_xll.qlSwapRateHelperSpread($Y83))</f>
        <v/>
      </c>
      <c r="AD83" s="5" t="str">
        <f>IFERROR(_xll.qlRateHelperEarliestDate(Y83,Trigger),"")</f>
        <v/>
      </c>
      <c r="AE83" s="5" t="str">
        <f>IFERROR(_xll.qlRateHelperPillarDate(Y83,Trigger),"")</f>
        <v/>
      </c>
      <c r="AF83" s="70" t="e">
        <v>#N/A</v>
      </c>
      <c r="AG83" s="77" t="e">
        <v>#N/A</v>
      </c>
      <c r="AH83" s="170" t="e">
        <v>#N/A</v>
      </c>
      <c r="AI83" s="171" t="e">
        <v>#N/A</v>
      </c>
      <c r="AJ83" s="173" t="e">
        <f t="shared" si="24"/>
        <v>#N/A</v>
      </c>
      <c r="AK83" s="80" t="e">
        <v>#N/A</v>
      </c>
      <c r="AL83" s="162" t="e">
        <f t="shared" si="25"/>
        <v>#N/A</v>
      </c>
    </row>
    <row r="84" spans="1:38" x14ac:dyDescent="0.2">
      <c r="A84" s="59" t="s">
        <v>118</v>
      </c>
      <c r="B84" s="116" t="s">
        <v>106</v>
      </c>
      <c r="C84" s="61" t="s">
        <v>6</v>
      </c>
      <c r="D84" s="61" t="s">
        <v>8</v>
      </c>
      <c r="E84" s="61" t="s">
        <v>7</v>
      </c>
      <c r="F84" s="61" t="s">
        <v>125</v>
      </c>
      <c r="G84" s="61" t="str">
        <f t="shared" si="21"/>
        <v>Euribor3M</v>
      </c>
      <c r="H84" s="59" t="str">
        <f t="shared" si="22"/>
        <v>EUR3E6E22Y_LCHQuote</v>
      </c>
      <c r="I84" s="127">
        <v>0</v>
      </c>
      <c r="J84" s="64"/>
      <c r="K84" s="64"/>
      <c r="M84" s="71" t="str">
        <f t="shared" si="20"/>
        <v>BasSw</v>
      </c>
      <c r="N84" s="141" t="str">
        <f t="shared" si="18"/>
        <v>--</v>
      </c>
      <c r="O84" s="141" t="str">
        <f t="shared" si="19"/>
        <v>--</v>
      </c>
      <c r="P84" s="149" t="str">
        <f>IFERROR(_xll.qlRateHelperQuoteName(N84,Trigger),"--")</f>
        <v>--</v>
      </c>
      <c r="Q84" s="142" t="str">
        <f>IFERROR(_xll.qlRateHelperQuoteValue($N84,Trigger),"--")</f>
        <v>--</v>
      </c>
      <c r="R84" s="141" t="b">
        <v>0</v>
      </c>
      <c r="S84" s="141">
        <v>10</v>
      </c>
      <c r="T84" s="141">
        <v>1</v>
      </c>
      <c r="U84" s="143" t="str">
        <f>IFERROR(_xll.qlRateHelperEarliestDate(N84,Trigger),"--")</f>
        <v>--</v>
      </c>
      <c r="V84" s="143" t="str">
        <f>IFERROR(_xll.qlRateHelperPillarDate(N84,Trigger),"--")</f>
        <v>--</v>
      </c>
      <c r="X84" s="4" t="str">
        <f t="shared" si="23"/>
        <v/>
      </c>
      <c r="Y84" s="4" t="e">
        <v>#N/A</v>
      </c>
      <c r="Z84" s="4" t="e">
        <v>#N/A</v>
      </c>
      <c r="AA84" s="4" t="str">
        <f>IFERROR(_xll.qlRateHelperQuoteName(Y84,Trigger),"")</f>
        <v/>
      </c>
      <c r="AB84" s="70" t="str">
        <f>IFERROR(_xll.qlRateHelperRate(Y84,Trigger),"")</f>
        <v/>
      </c>
      <c r="AC84" s="104" t="str">
        <f>IF(ISERROR(_xll.qlSwapRateHelperSpread($Y84)),IF(ISERROR(_xll.qlFuturesRateHelperConvexityAdjustment($Y84)),"",_xll.qlFuturesRateHelperConvexityAdjustment($Y84)),_xll.qlSwapRateHelperSpread($Y84))</f>
        <v/>
      </c>
      <c r="AD84" s="5" t="str">
        <f>IFERROR(_xll.qlRateHelperEarliestDate(Y84,Trigger),"")</f>
        <v/>
      </c>
      <c r="AE84" s="5" t="str">
        <f>IFERROR(_xll.qlRateHelperPillarDate(Y84,Trigger),"")</f>
        <v/>
      </c>
      <c r="AF84" s="70" t="e">
        <v>#N/A</v>
      </c>
      <c r="AG84" s="77" t="e">
        <v>#N/A</v>
      </c>
      <c r="AH84" s="170" t="e">
        <v>#N/A</v>
      </c>
      <c r="AI84" s="171" t="e">
        <v>#N/A</v>
      </c>
      <c r="AJ84" s="173" t="e">
        <f t="shared" si="24"/>
        <v>#N/A</v>
      </c>
      <c r="AK84" s="80" t="e">
        <v>#N/A</v>
      </c>
      <c r="AL84" s="162" t="e">
        <f t="shared" si="25"/>
        <v>#N/A</v>
      </c>
    </row>
    <row r="85" spans="1:38" x14ac:dyDescent="0.2">
      <c r="A85" s="59" t="s">
        <v>118</v>
      </c>
      <c r="B85" s="116" t="s">
        <v>107</v>
      </c>
      <c r="C85" s="61" t="s">
        <v>6</v>
      </c>
      <c r="D85" s="61" t="s">
        <v>8</v>
      </c>
      <c r="E85" s="61" t="s">
        <v>7</v>
      </c>
      <c r="F85" s="61" t="s">
        <v>125</v>
      </c>
      <c r="G85" s="61" t="str">
        <f t="shared" si="21"/>
        <v>Euribor3M</v>
      </c>
      <c r="H85" s="59" t="str">
        <f t="shared" si="22"/>
        <v>EUR3E6E23Y_LCHQuote</v>
      </c>
      <c r="I85" s="127">
        <v>0</v>
      </c>
      <c r="J85" s="64"/>
      <c r="K85" s="64"/>
      <c r="M85" s="71" t="str">
        <f t="shared" si="20"/>
        <v>BasSw</v>
      </c>
      <c r="N85" s="141" t="str">
        <f t="shared" si="18"/>
        <v>--</v>
      </c>
      <c r="O85" s="141" t="str">
        <f t="shared" si="19"/>
        <v>--</v>
      </c>
      <c r="P85" s="149" t="str">
        <f>IFERROR(_xll.qlRateHelperQuoteName(N85,Trigger),"--")</f>
        <v>--</v>
      </c>
      <c r="Q85" s="142" t="str">
        <f>IFERROR(_xll.qlRateHelperQuoteValue($N85,Trigger),"--")</f>
        <v>--</v>
      </c>
      <c r="R85" s="141" t="b">
        <v>0</v>
      </c>
      <c r="S85" s="141">
        <v>10</v>
      </c>
      <c r="T85" s="141">
        <v>1</v>
      </c>
      <c r="U85" s="143" t="str">
        <f>IFERROR(_xll.qlRateHelperEarliestDate(N85,Trigger),"--")</f>
        <v>--</v>
      </c>
      <c r="V85" s="143" t="str">
        <f>IFERROR(_xll.qlRateHelperPillarDate(N85,Trigger),"--")</f>
        <v>--</v>
      </c>
      <c r="X85" s="4" t="str">
        <f t="shared" si="23"/>
        <v/>
      </c>
      <c r="Y85" s="4" t="e">
        <v>#N/A</v>
      </c>
      <c r="Z85" s="4" t="e">
        <v>#N/A</v>
      </c>
      <c r="AA85" s="4" t="str">
        <f>IFERROR(_xll.qlRateHelperQuoteName(Y85,Trigger),"")</f>
        <v/>
      </c>
      <c r="AB85" s="70" t="str">
        <f>IFERROR(_xll.qlRateHelperRate(Y85,Trigger),"")</f>
        <v/>
      </c>
      <c r="AC85" s="104" t="str">
        <f>IF(ISERROR(_xll.qlSwapRateHelperSpread($Y85)),IF(ISERROR(_xll.qlFuturesRateHelperConvexityAdjustment($Y85)),"",_xll.qlFuturesRateHelperConvexityAdjustment($Y85)),_xll.qlSwapRateHelperSpread($Y85))</f>
        <v/>
      </c>
      <c r="AD85" s="5" t="str">
        <f>IFERROR(_xll.qlRateHelperEarliestDate(Y85,Trigger),"")</f>
        <v/>
      </c>
      <c r="AE85" s="5" t="str">
        <f>IFERROR(_xll.qlRateHelperPillarDate(Y85,Trigger),"")</f>
        <v/>
      </c>
      <c r="AF85" s="70" t="e">
        <v>#N/A</v>
      </c>
      <c r="AG85" s="77" t="e">
        <v>#N/A</v>
      </c>
      <c r="AH85" s="170" t="e">
        <v>#N/A</v>
      </c>
      <c r="AI85" s="171" t="e">
        <v>#N/A</v>
      </c>
      <c r="AJ85" s="173" t="e">
        <f t="shared" si="24"/>
        <v>#N/A</v>
      </c>
      <c r="AK85" s="80" t="e">
        <v>#N/A</v>
      </c>
      <c r="AL85" s="162" t="e">
        <f t="shared" si="25"/>
        <v>#N/A</v>
      </c>
    </row>
    <row r="86" spans="1:38" x14ac:dyDescent="0.2">
      <c r="A86" s="59" t="s">
        <v>118</v>
      </c>
      <c r="B86" s="116" t="s">
        <v>108</v>
      </c>
      <c r="C86" s="61" t="s">
        <v>6</v>
      </c>
      <c r="D86" s="61" t="s">
        <v>8</v>
      </c>
      <c r="E86" s="61" t="s">
        <v>7</v>
      </c>
      <c r="F86" s="61" t="s">
        <v>125</v>
      </c>
      <c r="G86" s="61" t="str">
        <f t="shared" si="21"/>
        <v>Euribor3M</v>
      </c>
      <c r="H86" s="59" t="str">
        <f t="shared" si="22"/>
        <v>EUR3E6E24Y_LCHQuote</v>
      </c>
      <c r="I86" s="127">
        <v>0</v>
      </c>
      <c r="J86" s="64"/>
      <c r="K86" s="64"/>
      <c r="M86" s="71" t="str">
        <f t="shared" si="20"/>
        <v>BasSw</v>
      </c>
      <c r="N86" s="141" t="str">
        <f t="shared" si="18"/>
        <v>obj_005a2#0005</v>
      </c>
      <c r="O86" s="141" t="str">
        <f t="shared" si="19"/>
        <v>obj_005af#0005</v>
      </c>
      <c r="P86" s="149" t="str">
        <f>IFERROR(_xll.qlRateHelperQuoteName(N86,Trigger),"--")</f>
        <v>EUR3E6E30Y_LCHQuote</v>
      </c>
      <c r="Q86" s="142">
        <f>IFERROR(_xll.qlRateHelperQuoteValue($N86,Trigger),"--")</f>
        <v>1.6060399999999999E-2</v>
      </c>
      <c r="R86" s="141" t="b">
        <v>1</v>
      </c>
      <c r="S86" s="141">
        <v>10</v>
      </c>
      <c r="T86" s="141">
        <v>1</v>
      </c>
      <c r="U86" s="143">
        <f>IFERROR(_xll.qlRateHelperEarliestDate(N86,Trigger),"--")</f>
        <v>42250</v>
      </c>
      <c r="V86" s="143">
        <f>IFERROR(_xll.qlRateHelperPillarDate(N86,Trigger),"--")</f>
        <v>53209</v>
      </c>
      <c r="X86" s="4" t="str">
        <f t="shared" si="23"/>
        <v/>
      </c>
      <c r="Y86" s="4" t="e">
        <v>#N/A</v>
      </c>
      <c r="Z86" s="4" t="e">
        <v>#N/A</v>
      </c>
      <c r="AA86" s="4" t="str">
        <f>IFERROR(_xll.qlRateHelperQuoteName(Y86,Trigger),"")</f>
        <v/>
      </c>
      <c r="AB86" s="70" t="str">
        <f>IFERROR(_xll.qlRateHelperRate(Y86,Trigger),"")</f>
        <v/>
      </c>
      <c r="AC86" s="104" t="str">
        <f>IF(ISERROR(_xll.qlSwapRateHelperSpread($Y86)),IF(ISERROR(_xll.qlFuturesRateHelperConvexityAdjustment($Y86)),"",_xll.qlFuturesRateHelperConvexityAdjustment($Y86)),_xll.qlSwapRateHelperSpread($Y86))</f>
        <v/>
      </c>
      <c r="AD86" s="5" t="str">
        <f>IFERROR(_xll.qlRateHelperEarliestDate(Y86,Trigger),"")</f>
        <v/>
      </c>
      <c r="AE86" s="5" t="str">
        <f>IFERROR(_xll.qlRateHelperPillarDate(Y86,Trigger),"")</f>
        <v/>
      </c>
      <c r="AF86" s="70" t="e">
        <v>#N/A</v>
      </c>
      <c r="AG86" s="77" t="e">
        <v>#N/A</v>
      </c>
      <c r="AH86" s="170" t="e">
        <v>#N/A</v>
      </c>
      <c r="AI86" s="171" t="e">
        <v>#N/A</v>
      </c>
      <c r="AJ86" s="173" t="e">
        <f t="shared" si="24"/>
        <v>#N/A</v>
      </c>
      <c r="AK86" s="80" t="e">
        <v>#N/A</v>
      </c>
      <c r="AL86" s="162" t="e">
        <f t="shared" si="25"/>
        <v>#N/A</v>
      </c>
    </row>
    <row r="87" spans="1:38" x14ac:dyDescent="0.2">
      <c r="A87" s="59" t="s">
        <v>118</v>
      </c>
      <c r="B87" s="116" t="s">
        <v>64</v>
      </c>
      <c r="C87" s="61" t="s">
        <v>6</v>
      </c>
      <c r="D87" s="61" t="s">
        <v>8</v>
      </c>
      <c r="E87" s="61" t="s">
        <v>7</v>
      </c>
      <c r="F87" s="61" t="s">
        <v>125</v>
      </c>
      <c r="G87" s="61" t="str">
        <f t="shared" si="21"/>
        <v>Euribor3M</v>
      </c>
      <c r="H87" s="59" t="str">
        <f t="shared" si="22"/>
        <v>EUR3E6E25Y_LCHQuote</v>
      </c>
      <c r="I87" s="127">
        <v>0</v>
      </c>
      <c r="J87" s="64" t="str">
        <f>_xll.qlSwapRateHelper2(,$H87,2,$B87,Calendar,$D87,$E87,$F87,$G87,$I87,$C87,Discounting1,PillarDate,,Permanent,Trigger,ObjectOverwrite)</f>
        <v>obj_0059e#0005</v>
      </c>
      <c r="K87" s="64" t="str">
        <f>_xll.qlSwapRateHelper2(,$H87,2,$B87,Calendar,$D87,$E87,$F87,$G87,$I87,$C87,Discounting2,PillarDate,,Permanent,Trigger,ObjectOverwrite)</f>
        <v>obj_005ac#0005</v>
      </c>
      <c r="M87" s="71" t="str">
        <f t="shared" si="20"/>
        <v>BasSw</v>
      </c>
      <c r="N87" s="141" t="str">
        <f t="shared" si="18"/>
        <v>--</v>
      </c>
      <c r="O87" s="141" t="str">
        <f t="shared" si="19"/>
        <v>--</v>
      </c>
      <c r="P87" s="149" t="str">
        <f>IFERROR(_xll.qlRateHelperQuoteName(N87,Trigger),"--")</f>
        <v>--</v>
      </c>
      <c r="Q87" s="142" t="str">
        <f>IFERROR(_xll.qlRateHelperQuoteValue($N87,Trigger),"--")</f>
        <v>--</v>
      </c>
      <c r="R87" s="141" t="b">
        <v>0</v>
      </c>
      <c r="S87" s="141">
        <v>10</v>
      </c>
      <c r="T87" s="141">
        <v>1</v>
      </c>
      <c r="U87" s="143" t="str">
        <f>IFERROR(_xll.qlRateHelperEarliestDate(N87,Trigger),"--")</f>
        <v>--</v>
      </c>
      <c r="V87" s="143" t="str">
        <f>IFERROR(_xll.qlRateHelperPillarDate(N87,Trigger),"--")</f>
        <v>--</v>
      </c>
      <c r="X87" s="4" t="str">
        <f t="shared" si="23"/>
        <v/>
      </c>
      <c r="Y87" s="4" t="e">
        <v>#N/A</v>
      </c>
      <c r="Z87" s="4" t="e">
        <v>#N/A</v>
      </c>
      <c r="AA87" s="4" t="str">
        <f>IFERROR(_xll.qlRateHelperQuoteName(Y87,Trigger),"")</f>
        <v/>
      </c>
      <c r="AB87" s="70" t="str">
        <f>IFERROR(_xll.qlRateHelperRate(Y87,Trigger),"")</f>
        <v/>
      </c>
      <c r="AC87" s="104" t="str">
        <f>IF(ISERROR(_xll.qlSwapRateHelperSpread($Y87)),IF(ISERROR(_xll.qlFuturesRateHelperConvexityAdjustment($Y87)),"",_xll.qlFuturesRateHelperConvexityAdjustment($Y87)),_xll.qlSwapRateHelperSpread($Y87))</f>
        <v/>
      </c>
      <c r="AD87" s="5" t="str">
        <f>IFERROR(_xll.qlRateHelperEarliestDate(Y87,Trigger),"")</f>
        <v/>
      </c>
      <c r="AE87" s="5" t="str">
        <f>IFERROR(_xll.qlRateHelperPillarDate(Y87,Trigger),"")</f>
        <v/>
      </c>
      <c r="AF87" s="70" t="e">
        <v>#N/A</v>
      </c>
      <c r="AG87" s="77" t="e">
        <v>#N/A</v>
      </c>
      <c r="AH87" s="170" t="e">
        <v>#N/A</v>
      </c>
      <c r="AI87" s="171" t="e">
        <v>#N/A</v>
      </c>
      <c r="AJ87" s="173" t="e">
        <f t="shared" si="24"/>
        <v>#N/A</v>
      </c>
      <c r="AK87" s="80" t="e">
        <v>#N/A</v>
      </c>
      <c r="AL87" s="162" t="e">
        <f t="shared" si="25"/>
        <v>#N/A</v>
      </c>
    </row>
    <row r="88" spans="1:38" x14ac:dyDescent="0.2">
      <c r="A88" s="59" t="s">
        <v>118</v>
      </c>
      <c r="B88" s="116" t="s">
        <v>109</v>
      </c>
      <c r="C88" s="61" t="s">
        <v>6</v>
      </c>
      <c r="D88" s="61" t="s">
        <v>8</v>
      </c>
      <c r="E88" s="61" t="s">
        <v>7</v>
      </c>
      <c r="F88" s="61" t="s">
        <v>125</v>
      </c>
      <c r="G88" s="61" t="str">
        <f t="shared" si="21"/>
        <v>Euribor3M</v>
      </c>
      <c r="H88" s="59" t="str">
        <f t="shared" si="22"/>
        <v>EUR3E6E26Y_LCHQuote</v>
      </c>
      <c r="I88" s="127">
        <v>0</v>
      </c>
      <c r="J88" s="64"/>
      <c r="K88" s="64"/>
      <c r="M88" s="71" t="str">
        <f t="shared" si="20"/>
        <v>BasSw</v>
      </c>
      <c r="N88" s="141" t="str">
        <f t="shared" si="18"/>
        <v>obj_005ab#0005</v>
      </c>
      <c r="O88" s="141" t="str">
        <f t="shared" si="19"/>
        <v>obj_0059d#0005</v>
      </c>
      <c r="P88" s="149" t="str">
        <f>IFERROR(_xll.qlRateHelperQuoteName(N88,Trigger),"--")</f>
        <v>EUR3E6E40Y_LCHQuote</v>
      </c>
      <c r="Q88" s="142">
        <f>IFERROR(_xll.qlRateHelperQuoteValue($N88,Trigger),"--")</f>
        <v>1.6251000000000002E-2</v>
      </c>
      <c r="R88" s="141" t="b">
        <v>1</v>
      </c>
      <c r="S88" s="141">
        <v>10</v>
      </c>
      <c r="T88" s="141">
        <v>1</v>
      </c>
      <c r="U88" s="143">
        <f>IFERROR(_xll.qlRateHelperEarliestDate(N88,Trigger),"--")</f>
        <v>42250</v>
      </c>
      <c r="V88" s="143">
        <f>IFERROR(_xll.qlRateHelperPillarDate(N88,Trigger),"--")</f>
        <v>56860</v>
      </c>
      <c r="X88" s="4" t="str">
        <f t="shared" si="23"/>
        <v/>
      </c>
      <c r="Y88" s="4" t="e">
        <v>#N/A</v>
      </c>
      <c r="Z88" s="4" t="e">
        <v>#N/A</v>
      </c>
      <c r="AA88" s="4" t="str">
        <f>IFERROR(_xll.qlRateHelperQuoteName(Y88,Trigger),"")</f>
        <v/>
      </c>
      <c r="AB88" s="70" t="str">
        <f>IFERROR(_xll.qlRateHelperRate(Y88,Trigger),"")</f>
        <v/>
      </c>
      <c r="AC88" s="104" t="str">
        <f>IF(ISERROR(_xll.qlSwapRateHelperSpread($Y88)),IF(ISERROR(_xll.qlFuturesRateHelperConvexityAdjustment($Y88)),"",_xll.qlFuturesRateHelperConvexityAdjustment($Y88)),_xll.qlSwapRateHelperSpread($Y88))</f>
        <v/>
      </c>
      <c r="AD88" s="5" t="str">
        <f>IFERROR(_xll.qlRateHelperEarliestDate(Y88,Trigger),"")</f>
        <v/>
      </c>
      <c r="AE88" s="5" t="str">
        <f>IFERROR(_xll.qlRateHelperPillarDate(Y88,Trigger),"")</f>
        <v/>
      </c>
      <c r="AF88" s="70" t="e">
        <v>#N/A</v>
      </c>
      <c r="AG88" s="77" t="e">
        <v>#N/A</v>
      </c>
      <c r="AH88" s="170" t="e">
        <v>#N/A</v>
      </c>
      <c r="AI88" s="171" t="e">
        <v>#N/A</v>
      </c>
      <c r="AJ88" s="173" t="e">
        <f t="shared" si="24"/>
        <v>#N/A</v>
      </c>
      <c r="AK88" s="80" t="e">
        <v>#N/A</v>
      </c>
      <c r="AL88" s="162" t="e">
        <f t="shared" si="25"/>
        <v>#N/A</v>
      </c>
    </row>
    <row r="89" spans="1:38" x14ac:dyDescent="0.2">
      <c r="A89" s="59" t="s">
        <v>118</v>
      </c>
      <c r="B89" s="116" t="s">
        <v>65</v>
      </c>
      <c r="C89" s="61" t="s">
        <v>6</v>
      </c>
      <c r="D89" s="61" t="s">
        <v>8</v>
      </c>
      <c r="E89" s="61" t="s">
        <v>7</v>
      </c>
      <c r="F89" s="61" t="s">
        <v>125</v>
      </c>
      <c r="G89" s="61" t="str">
        <f t="shared" si="21"/>
        <v>Euribor3M</v>
      </c>
      <c r="H89" s="59" t="str">
        <f t="shared" si="22"/>
        <v>EUR3E6E27Y_LCHQuote</v>
      </c>
      <c r="I89" s="127">
        <v>0</v>
      </c>
      <c r="J89" s="64"/>
      <c r="K89" s="64"/>
      <c r="M89" s="71" t="str">
        <f t="shared" si="20"/>
        <v>BasSw</v>
      </c>
      <c r="N89" s="141" t="str">
        <f t="shared" si="18"/>
        <v>obj_005a4#0005</v>
      </c>
      <c r="O89" s="141" t="str">
        <f t="shared" si="19"/>
        <v>obj_005a1#0005</v>
      </c>
      <c r="P89" s="149" t="str">
        <f>IFERROR(_xll.qlRateHelperQuoteName(N89,Trigger),"--")</f>
        <v>EUR3E6E50Y_LCHQuote</v>
      </c>
      <c r="Q89" s="142">
        <f>IFERROR(_xll.qlRateHelperQuoteValue($N89,Trigger),"--")</f>
        <v>1.5925999999999999E-2</v>
      </c>
      <c r="R89" s="141" t="b">
        <v>1</v>
      </c>
      <c r="S89" s="141">
        <v>10</v>
      </c>
      <c r="T89" s="141">
        <v>1</v>
      </c>
      <c r="U89" s="143">
        <f>IFERROR(_xll.qlRateHelperEarliestDate(N89,Trigger),"--")</f>
        <v>42250</v>
      </c>
      <c r="V89" s="143">
        <f>IFERROR(_xll.qlRateHelperPillarDate(N89,Trigger),"--")</f>
        <v>60513</v>
      </c>
      <c r="X89" s="4" t="str">
        <f t="shared" si="23"/>
        <v/>
      </c>
      <c r="Y89" s="4" t="e">
        <v>#N/A</v>
      </c>
      <c r="Z89" s="4" t="e">
        <v>#N/A</v>
      </c>
      <c r="AA89" s="4" t="str">
        <f>IFERROR(_xll.qlRateHelperQuoteName(Y89,Trigger),"")</f>
        <v/>
      </c>
      <c r="AB89" s="70" t="str">
        <f>IFERROR(_xll.qlRateHelperRate(Y89,Trigger),"")</f>
        <v/>
      </c>
      <c r="AC89" s="104" t="str">
        <f>IF(ISERROR(_xll.qlSwapRateHelperSpread($Y89)),IF(ISERROR(_xll.qlFuturesRateHelperConvexityAdjustment($Y89)),"",_xll.qlFuturesRateHelperConvexityAdjustment($Y89)),_xll.qlSwapRateHelperSpread($Y89))</f>
        <v/>
      </c>
      <c r="AD89" s="5" t="str">
        <f>IFERROR(_xll.qlRateHelperEarliestDate(Y89,Trigger),"")</f>
        <v/>
      </c>
      <c r="AE89" s="5" t="str">
        <f>IFERROR(_xll.qlRateHelperPillarDate(Y89,Trigger),"")</f>
        <v/>
      </c>
      <c r="AF89" s="70" t="e">
        <v>#N/A</v>
      </c>
      <c r="AG89" s="77" t="e">
        <v>#N/A</v>
      </c>
      <c r="AH89" s="170" t="e">
        <v>#N/A</v>
      </c>
      <c r="AI89" s="171" t="e">
        <v>#N/A</v>
      </c>
      <c r="AJ89" s="173" t="e">
        <f t="shared" si="24"/>
        <v>#N/A</v>
      </c>
      <c r="AK89" s="80" t="e">
        <v>#N/A</v>
      </c>
      <c r="AL89" s="162" t="e">
        <f t="shared" si="25"/>
        <v>#N/A</v>
      </c>
    </row>
    <row r="90" spans="1:38" x14ac:dyDescent="0.2">
      <c r="A90" s="59" t="s">
        <v>118</v>
      </c>
      <c r="B90" s="116" t="s">
        <v>110</v>
      </c>
      <c r="C90" s="61" t="s">
        <v>6</v>
      </c>
      <c r="D90" s="61" t="s">
        <v>8</v>
      </c>
      <c r="E90" s="61" t="s">
        <v>7</v>
      </c>
      <c r="F90" s="61" t="s">
        <v>125</v>
      </c>
      <c r="G90" s="61" t="str">
        <f t="shared" si="21"/>
        <v>Euribor3M</v>
      </c>
      <c r="H90" s="59" t="str">
        <f t="shared" si="22"/>
        <v>EUR3E6E28Y_LCHQuote</v>
      </c>
      <c r="I90" s="127">
        <v>0</v>
      </c>
      <c r="J90" s="64"/>
      <c r="K90" s="64"/>
      <c r="L90" s="46" t="s">
        <v>36</v>
      </c>
      <c r="M90" s="72" t="str">
        <f t="shared" si="20"/>
        <v>BasSw</v>
      </c>
      <c r="N90" s="144" t="str">
        <f t="shared" si="18"/>
        <v>obj_0059c#0005</v>
      </c>
      <c r="O90" s="144" t="str">
        <f t="shared" si="19"/>
        <v>obj_0059a#0005</v>
      </c>
      <c r="P90" s="153" t="str">
        <f>IFERROR(_xll.qlRateHelperQuoteName(N90,Trigger),"--")</f>
        <v>EUR3E6E60Y_LCHQuote</v>
      </c>
      <c r="Q90" s="154">
        <f>IFERROR(_xll.qlRateHelperQuoteValue($N90,Trigger),"--")</f>
        <v>1.5740000000000001E-2</v>
      </c>
      <c r="R90" s="144" t="b">
        <v>1</v>
      </c>
      <c r="S90" s="144">
        <v>10</v>
      </c>
      <c r="T90" s="144">
        <v>1</v>
      </c>
      <c r="U90" s="152">
        <f>IFERROR(_xll.qlRateHelperEarliestDate(N90,Trigger),"--")</f>
        <v>42250</v>
      </c>
      <c r="V90" s="152">
        <f>IFERROR(_xll.qlRateHelperPillarDate(N90,Trigger),"--")</f>
        <v>64165</v>
      </c>
      <c r="X90" s="6" t="str">
        <f t="shared" si="23"/>
        <v/>
      </c>
      <c r="Y90" s="6" t="e">
        <v>#N/A</v>
      </c>
      <c r="Z90" s="6" t="e">
        <v>#N/A</v>
      </c>
      <c r="AA90" s="6" t="str">
        <f>IFERROR(_xll.qlRateHelperQuoteName(Y90,Trigger),"")</f>
        <v/>
      </c>
      <c r="AB90" s="79" t="str">
        <f>IFERROR(_xll.qlRateHelperRate(Y90,Trigger),"")</f>
        <v/>
      </c>
      <c r="AC90" s="105" t="str">
        <f>IF(ISERROR(_xll.qlSwapRateHelperSpread($Y90)),IF(ISERROR(_xll.qlFuturesRateHelperConvexityAdjustment($Y90)),"",_xll.qlFuturesRateHelperConvexityAdjustment($Y90)),_xll.qlSwapRateHelperSpread($Y90))</f>
        <v/>
      </c>
      <c r="AD90" s="12" t="str">
        <f>IFERROR(_xll.qlRateHelperEarliestDate(Y90,Trigger),"")</f>
        <v/>
      </c>
      <c r="AE90" s="12" t="str">
        <f>IFERROR(_xll.qlRateHelperPillarDate(Y90,Trigger),"")</f>
        <v/>
      </c>
      <c r="AF90" s="79" t="e">
        <v>#N/A</v>
      </c>
      <c r="AG90" s="78" t="e">
        <v>#N/A</v>
      </c>
      <c r="AH90" s="170" t="e">
        <v>#N/A</v>
      </c>
      <c r="AI90" s="171" t="e">
        <v>#N/A</v>
      </c>
      <c r="AJ90" s="173" t="e">
        <f t="shared" si="24"/>
        <v>#N/A</v>
      </c>
      <c r="AK90" s="80" t="e">
        <v>#N/A</v>
      </c>
      <c r="AL90" s="162" t="e">
        <f t="shared" si="25"/>
        <v>#N/A</v>
      </c>
    </row>
    <row r="91" spans="1:38" x14ac:dyDescent="0.2">
      <c r="A91" s="59" t="s">
        <v>118</v>
      </c>
      <c r="B91" s="116" t="s">
        <v>111</v>
      </c>
      <c r="C91" s="61" t="s">
        <v>6</v>
      </c>
      <c r="D91" s="61" t="s">
        <v>8</v>
      </c>
      <c r="E91" s="61" t="s">
        <v>7</v>
      </c>
      <c r="F91" s="61" t="s">
        <v>125</v>
      </c>
      <c r="G91" s="61" t="str">
        <f t="shared" si="21"/>
        <v>Euribor3M</v>
      </c>
      <c r="H91" s="59" t="str">
        <f t="shared" si="22"/>
        <v>EUR3E6E29Y_LCHQuote</v>
      </c>
      <c r="I91" s="127">
        <v>0</v>
      </c>
      <c r="J91" s="64"/>
      <c r="K91" s="64"/>
      <c r="M91" s="161"/>
    </row>
    <row r="92" spans="1:38" x14ac:dyDescent="0.2">
      <c r="A92" s="59" t="s">
        <v>118</v>
      </c>
      <c r="B92" s="116" t="s">
        <v>66</v>
      </c>
      <c r="C92" s="61" t="s">
        <v>6</v>
      </c>
      <c r="D92" s="61" t="s">
        <v>8</v>
      </c>
      <c r="E92" s="61" t="s">
        <v>7</v>
      </c>
      <c r="F92" s="61" t="s">
        <v>125</v>
      </c>
      <c r="G92" s="61" t="str">
        <f t="shared" si="21"/>
        <v>Euribor3M</v>
      </c>
      <c r="H92" s="59" t="str">
        <f t="shared" si="22"/>
        <v>EUR3E6E30Y_LCHQuote</v>
      </c>
      <c r="I92" s="127">
        <v>0</v>
      </c>
      <c r="J92" s="64" t="str">
        <f>_xll.qlSwapRateHelper2(,$H92,2,$B92,Calendar,$D92,$E92,$F92,$G92,$I92,$C92,Discounting1,PillarDate,,Permanent,Trigger,ObjectOverwrite)</f>
        <v>obj_005a2#0005</v>
      </c>
      <c r="K92" s="64" t="str">
        <f>_xll.qlSwapRateHelper2(,$H92,2,$B92,Calendar,$D92,$E92,$F92,$G92,$I92,$C92,Discounting2,PillarDate,,Permanent,Trigger,ObjectOverwrite)</f>
        <v>obj_005af#0005</v>
      </c>
      <c r="M92" s="161"/>
    </row>
    <row r="93" spans="1:38" x14ac:dyDescent="0.2">
      <c r="A93" s="59" t="s">
        <v>118</v>
      </c>
      <c r="B93" s="116" t="s">
        <v>67</v>
      </c>
      <c r="C93" s="61" t="s">
        <v>6</v>
      </c>
      <c r="D93" s="61" t="s">
        <v>8</v>
      </c>
      <c r="E93" s="61" t="s">
        <v>7</v>
      </c>
      <c r="F93" s="61" t="s">
        <v>125</v>
      </c>
      <c r="G93" s="61" t="str">
        <f t="shared" si="21"/>
        <v>Euribor3M</v>
      </c>
      <c r="H93" s="59" t="str">
        <f t="shared" si="22"/>
        <v>EUR3E6E35Y_LCHQuote</v>
      </c>
      <c r="I93" s="127">
        <v>0</v>
      </c>
      <c r="J93" s="64"/>
      <c r="K93" s="64"/>
      <c r="M93" s="161"/>
    </row>
    <row r="94" spans="1:38" x14ac:dyDescent="0.2">
      <c r="A94" s="59" t="s">
        <v>118</v>
      </c>
      <c r="B94" s="116" t="s">
        <v>68</v>
      </c>
      <c r="C94" s="61" t="s">
        <v>6</v>
      </c>
      <c r="D94" s="61" t="s">
        <v>8</v>
      </c>
      <c r="E94" s="61" t="s">
        <v>7</v>
      </c>
      <c r="F94" s="61" t="s">
        <v>125</v>
      </c>
      <c r="G94" s="61" t="str">
        <f t="shared" si="21"/>
        <v>Euribor3M</v>
      </c>
      <c r="H94" s="59" t="str">
        <f t="shared" si="22"/>
        <v>EUR3E6E40Y_LCHQuote</v>
      </c>
      <c r="I94" s="127">
        <v>0</v>
      </c>
      <c r="J94" s="64" t="str">
        <f>_xll.qlSwapRateHelper2(,$H94,2,$B94,Calendar,$D94,$E94,$F94,$G94,$I94,$C94,Discounting1,PillarDate,,Permanent,Trigger,ObjectOverwrite)</f>
        <v>obj_005ab#0005</v>
      </c>
      <c r="K94" s="64" t="str">
        <f>_xll.qlSwapRateHelper2(,$H94,2,$B94,Calendar,$D94,$E94,$F94,$G94,$I94,$C94,Discounting2,PillarDate,,Permanent,Trigger,ObjectOverwrite)</f>
        <v>obj_0059d#0005</v>
      </c>
      <c r="M94" s="161"/>
    </row>
    <row r="95" spans="1:38" x14ac:dyDescent="0.2">
      <c r="A95" s="59" t="s">
        <v>118</v>
      </c>
      <c r="B95" s="116" t="s">
        <v>69</v>
      </c>
      <c r="C95" s="61" t="s">
        <v>6</v>
      </c>
      <c r="D95" s="61" t="s">
        <v>8</v>
      </c>
      <c r="E95" s="61" t="s">
        <v>7</v>
      </c>
      <c r="F95" s="61" t="s">
        <v>125</v>
      </c>
      <c r="G95" s="61" t="str">
        <f t="shared" si="21"/>
        <v>Euribor3M</v>
      </c>
      <c r="H95" s="59" t="str">
        <f t="shared" si="22"/>
        <v>EUR3E6E50Y_LCHQuote</v>
      </c>
      <c r="I95" s="127">
        <v>0</v>
      </c>
      <c r="J95" s="64" t="str">
        <f>_xll.qlSwapRateHelper2(,$H95,2,$B95,Calendar,$D95,$E95,$F95,$G95,$I95,$C95,Discounting1,PillarDate,,Permanent,Trigger,ObjectOverwrite)</f>
        <v>obj_005a4#0005</v>
      </c>
      <c r="K95" s="64" t="str">
        <f>_xll.qlSwapRateHelper2(,$H95,2,$B95,Calendar,$D95,$E95,$F95,$G95,$I95,$C95,Discounting2,PillarDate,,Permanent,Trigger,ObjectOverwrite)</f>
        <v>obj_005a1#0005</v>
      </c>
    </row>
    <row r="96" spans="1:38" x14ac:dyDescent="0.2">
      <c r="A96" s="1" t="s">
        <v>118</v>
      </c>
      <c r="B96" s="117" t="s">
        <v>112</v>
      </c>
      <c r="C96" s="7" t="s">
        <v>6</v>
      </c>
      <c r="D96" s="7" t="s">
        <v>8</v>
      </c>
      <c r="E96" s="7" t="s">
        <v>7</v>
      </c>
      <c r="F96" s="7" t="s">
        <v>125</v>
      </c>
      <c r="G96" s="7" t="str">
        <f t="shared" si="21"/>
        <v>Euribor3M</v>
      </c>
      <c r="H96" s="1" t="str">
        <f t="shared" si="22"/>
        <v>EUR3E6E60Y_LCHQuote</v>
      </c>
      <c r="I96" s="130">
        <v>0</v>
      </c>
      <c r="J96" s="3" t="str">
        <f>_xll.qlSwapRateHelper2(,$H96,2,$B96,Calendar,$D96,$E96,$F96,$G96,$I96,$C96,Discounting1,PillarDate,,Permanent,Trigger,ObjectOverwrite)</f>
        <v>obj_0059c#0005</v>
      </c>
      <c r="K96" s="3" t="str">
        <f>_xll.qlSwapRateHelper2(,$H96,2,$B96,Calendar,$D96,$E96,$F96,$G96,$I96,$C96,Discounting2,PillarDate,,Permanent,Trigger,ObjectOverwrite)</f>
        <v>obj_0059a#0005</v>
      </c>
    </row>
  </sheetData>
  <mergeCells count="1">
    <mergeCell ref="AN2:AO2"/>
  </mergeCells>
  <dataValidations disablePrompts="1" count="4">
    <dataValidation type="list" allowBlank="1" showInputMessage="1" showErrorMessage="1" sqref="D20:D57 D60:D96">
      <formula1>"Annual,Semiannual,EveryFourthMonth,Quarterly,Bimonthly,Monthly,Biweekly,Weekly,Daily,Once,NoFrequency"</formula1>
    </dataValidation>
    <dataValidation type="list" allowBlank="1" showInputMessage="1" showErrorMessage="1" sqref="E20:E57 E60:E96">
      <formula1>"Following,Modified Following,Preceding,Modified Preceding,Unadjusted,Half-Month Modified Following"</formula1>
    </dataValidation>
    <dataValidation type="list" allowBlank="1" showInputMessage="1" showErrorMessage="1" sqref="F20:F57 F60:F96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AO6">
      <formula1>"AllDepos,DeposBeforeFirstFuturesStartDate,DeposBeforeFirstFuturesStartDatePlusOne,DeposBeforeFirstFuturesExpiryDate"</formula1>
    </dataValidation>
  </dataValidation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O90"/>
  <sheetViews>
    <sheetView showGridLines="0" topLeftCell="L1" zoomScaleNormal="100" workbookViewId="0">
      <selection activeCell="L1" sqref="L1"/>
    </sheetView>
  </sheetViews>
  <sheetFormatPr defaultRowHeight="11.25" outlineLevelCol="1" x14ac:dyDescent="0.2"/>
  <cols>
    <col min="1" max="1" width="6" style="46" hidden="1" customWidth="1" outlineLevel="1"/>
    <col min="2" max="2" width="6" style="51" hidden="1" customWidth="1" outlineLevel="1"/>
    <col min="3" max="3" width="6.7109375" style="50" hidden="1" customWidth="1" outlineLevel="1"/>
    <col min="4" max="4" width="7" style="50" hidden="1" customWidth="1" outlineLevel="1"/>
    <col min="5" max="5" width="19.28515625" style="50" hidden="1" customWidth="1" outlineLevel="1"/>
    <col min="6" max="6" width="20.28515625" style="50" hidden="1" customWidth="1" outlineLevel="1"/>
    <col min="7" max="7" width="15.140625" style="50" hidden="1" customWidth="1" outlineLevel="1"/>
    <col min="8" max="8" width="23.42578125" style="52" hidden="1" customWidth="1" outlineLevel="1"/>
    <col min="9" max="9" width="9" style="46" hidden="1" customWidth="1" outlineLevel="1"/>
    <col min="10" max="11" width="15.140625" style="46" hidden="1" customWidth="1" outlineLevel="1"/>
    <col min="12" max="12" width="2.7109375" style="46" customWidth="1" collapsed="1"/>
    <col min="13" max="13" width="5" style="46" hidden="1" customWidth="1" outlineLevel="1"/>
    <col min="14" max="15" width="15.140625" style="103" hidden="1" customWidth="1" outlineLevel="1"/>
    <col min="16" max="16" width="22.42578125" style="103" hidden="1" customWidth="1" outlineLevel="1"/>
    <col min="17" max="17" width="9.7109375" style="103" hidden="1" customWidth="1" outlineLevel="1"/>
    <col min="18" max="18" width="7.85546875" style="103" hidden="1" customWidth="1" outlineLevel="1"/>
    <col min="19" max="19" width="9" style="103" hidden="1" customWidth="1" outlineLevel="1"/>
    <col min="20" max="20" width="5.85546875" style="103" hidden="1" customWidth="1" outlineLevel="1"/>
    <col min="21" max="22" width="10.7109375" style="103" hidden="1" customWidth="1" outlineLevel="1"/>
    <col min="23" max="23" width="2.7109375" style="48" hidden="1" customWidth="1" outlineLevel="1"/>
    <col min="24" max="24" width="6" style="46" bestFit="1" customWidth="1" collapsed="1"/>
    <col min="25" max="26" width="10.140625" style="46" hidden="1" customWidth="1" outlineLevel="1"/>
    <col min="27" max="27" width="24.7109375" style="46" customWidth="1" collapsed="1"/>
    <col min="28" max="29" width="9.7109375" style="46" customWidth="1"/>
    <col min="30" max="31" width="17.28515625" style="46" bestFit="1" customWidth="1"/>
    <col min="32" max="32" width="12" style="46" bestFit="1" customWidth="1"/>
    <col min="33" max="33" width="12" style="46" customWidth="1"/>
    <col min="34" max="38" width="11.7109375" style="46" hidden="1" customWidth="1" outlineLevel="1"/>
    <col min="39" max="39" width="2.7109375" style="46" customWidth="1" collapsed="1"/>
    <col min="40" max="40" width="24.42578125" style="46" bestFit="1" customWidth="1"/>
    <col min="41" max="41" width="21.42578125" style="46" bestFit="1" customWidth="1"/>
    <col min="42" max="42" width="11" style="46" bestFit="1" customWidth="1"/>
    <col min="43" max="43" width="9.140625" style="46"/>
    <col min="44" max="44" width="21.42578125" style="46" bestFit="1" customWidth="1"/>
    <col min="45" max="16384" width="9.140625" style="46"/>
  </cols>
  <sheetData>
    <row r="1" spans="1:41" ht="18" customHeight="1" x14ac:dyDescent="0.2">
      <c r="G1" s="50" t="s">
        <v>3</v>
      </c>
      <c r="H1" s="50"/>
      <c r="M1" s="67" t="s">
        <v>24</v>
      </c>
      <c r="N1" s="106"/>
      <c r="O1" s="106"/>
      <c r="P1" s="106"/>
      <c r="Q1" s="106"/>
      <c r="R1" s="106"/>
      <c r="S1" s="106"/>
      <c r="T1" s="106"/>
      <c r="U1" s="106"/>
      <c r="V1" s="96"/>
      <c r="W1" s="93"/>
      <c r="X1" s="74" t="str">
        <f>Currency&amp;$G$1</f>
        <v>EUR6M</v>
      </c>
      <c r="Y1" s="66"/>
      <c r="Z1" s="66"/>
      <c r="AA1" s="66"/>
      <c r="AB1" s="69"/>
      <c r="AC1" s="69"/>
      <c r="AD1" s="66"/>
      <c r="AE1" s="66"/>
      <c r="AF1" s="184" t="s">
        <v>143</v>
      </c>
      <c r="AG1" s="184" t="s">
        <v>154</v>
      </c>
      <c r="AN1" s="46" t="s">
        <v>128</v>
      </c>
    </row>
    <row r="2" spans="1:41" ht="21.75" customHeight="1" x14ac:dyDescent="0.2">
      <c r="A2" s="65" t="s">
        <v>9</v>
      </c>
      <c r="B2" s="65" t="s">
        <v>29</v>
      </c>
      <c r="C2" s="65"/>
      <c r="D2" s="65"/>
      <c r="E2" s="65"/>
      <c r="F2" s="65"/>
      <c r="G2" s="65" t="s">
        <v>4</v>
      </c>
      <c r="H2" s="65" t="s">
        <v>1</v>
      </c>
      <c r="I2" s="65"/>
      <c r="J2" s="65" t="s">
        <v>150</v>
      </c>
      <c r="K2" s="65" t="s">
        <v>152</v>
      </c>
      <c r="M2" s="73" t="s">
        <v>9</v>
      </c>
      <c r="N2" s="73" t="s">
        <v>150</v>
      </c>
      <c r="O2" s="73" t="s">
        <v>151</v>
      </c>
      <c r="P2" s="73" t="s">
        <v>79</v>
      </c>
      <c r="Q2" s="73" t="s">
        <v>82</v>
      </c>
      <c r="R2" s="73" t="s">
        <v>80</v>
      </c>
      <c r="S2" s="73" t="s">
        <v>81</v>
      </c>
      <c r="T2" s="73" t="s">
        <v>83</v>
      </c>
      <c r="U2" s="73" t="s">
        <v>22</v>
      </c>
      <c r="V2" s="73" t="s">
        <v>76</v>
      </c>
      <c r="W2" s="93"/>
      <c r="X2" s="73" t="s">
        <v>9</v>
      </c>
      <c r="Y2" s="73" t="s">
        <v>150</v>
      </c>
      <c r="Z2" s="73" t="s">
        <v>151</v>
      </c>
      <c r="AA2" s="73" t="s">
        <v>79</v>
      </c>
      <c r="AB2" s="75" t="s">
        <v>23</v>
      </c>
      <c r="AC2" s="75" t="s">
        <v>84</v>
      </c>
      <c r="AD2" s="73" t="s">
        <v>22</v>
      </c>
      <c r="AE2" s="73" t="s">
        <v>76</v>
      </c>
      <c r="AF2" s="172">
        <f t="array" ref="AF2:AF47">_xll.qlPiecewiseYieldCurveData(YieldCurve1_6M,Trigger)</f>
        <v>3.9537769042910552E-4</v>
      </c>
      <c r="AG2" s="77">
        <f t="array" ref="AG2:AG47">_xll.qlPiecewiseYieldCurveData(YieldCurve2_6M,Trigger)</f>
        <v>1</v>
      </c>
      <c r="AJ2" s="46" t="s">
        <v>155</v>
      </c>
      <c r="AL2" s="46" t="s">
        <v>156</v>
      </c>
      <c r="AN2" s="182" t="s">
        <v>85</v>
      </c>
      <c r="AO2" s="183"/>
    </row>
    <row r="3" spans="1:41" ht="11.25" customHeight="1" x14ac:dyDescent="0.2">
      <c r="A3" s="1" t="s">
        <v>26</v>
      </c>
      <c r="B3" s="8" t="s">
        <v>3</v>
      </c>
      <c r="C3" s="124"/>
      <c r="D3" s="124"/>
      <c r="E3" s="124"/>
      <c r="F3" s="124"/>
      <c r="G3" s="7" t="str">
        <f>PROPER(Currency)&amp;FamilyName&amp;B3</f>
        <v>Euribor6M</v>
      </c>
      <c r="H3" s="121" t="str">
        <f>IF(LCHQuoteOverwrite,Currency&amp;$B3&amp;"D"&amp;LCHQuoteSuffix,Currency&amp;$B3&amp;"D"&amp;QuoteSuffix)</f>
        <v>EUR6MD_LCHQuote</v>
      </c>
      <c r="I3" s="124"/>
      <c r="J3" s="3" t="str">
        <f>_xll.qlDepositRateHelper(,H3,G3,Permanent,Trigger,ObjectOverwrite)</f>
        <v>obj_00626#0005</v>
      </c>
      <c r="K3" s="3" t="str">
        <f>J3</f>
        <v>obj_00626#0005</v>
      </c>
      <c r="L3" s="49"/>
      <c r="M3" s="11" t="str">
        <f>A3</f>
        <v>Dp</v>
      </c>
      <c r="N3" s="95" t="str">
        <f>IF(ISBLANK(J3),"--",J3)</f>
        <v>obj_00626#0005</v>
      </c>
      <c r="O3" s="95" t="str">
        <f>IF(ISBLANK(K3),"--",K3)</f>
        <v>obj_00626#0005</v>
      </c>
      <c r="P3" s="147" t="str">
        <f>IFERROR(_xll.qlRateHelperQuoteName(N3,Trigger),"--")</f>
        <v>EUR6MD_LCHQuote</v>
      </c>
      <c r="Q3" s="101">
        <f>IFERROR(_xll.qlRateHelperQuoteValue($N3,Trigger),"--")</f>
        <v>3.8999999999999999E-4</v>
      </c>
      <c r="R3" s="144" t="b">
        <v>1</v>
      </c>
      <c r="S3" s="95">
        <v>30</v>
      </c>
      <c r="T3" s="95">
        <v>1</v>
      </c>
      <c r="U3" s="102">
        <f>IFERROR(_xll.qlRateHelperEarliestDate(N3,Trigger),"--")</f>
        <v>42250</v>
      </c>
      <c r="V3" s="102">
        <f>IFERROR(_xll.qlRateHelperPillarDate(N3,Trigger),"--")</f>
        <v>42432</v>
      </c>
      <c r="X3" s="4" t="str">
        <f>IFERROR(INDEX($M$3:$M$47,MATCH(AA3,$P$3:$P$47,0),1),"")</f>
        <v>Dp</v>
      </c>
      <c r="Y3" s="4" t="str">
        <f t="array" ref="Y3:Y47">_xll.qlRateHelperSelection(_xll.ohFilter(RateHelpers1,IncludeFlag),_xll.ohFilter(Priority,IncludeFlag),$AO$3,$AO$4,$AO$5,$AO$6,_xll.ohFilter(MinDistance,IncludeFlag),Trigger)</f>
        <v>obj_00626</v>
      </c>
      <c r="Z3" s="4" t="str">
        <f t="array" ref="Z3:Z47">_xll.qlRateHelperSelection(_xll.ohFilter(RateHelpers1,IncludeFlag),_xll.ohFilter(Priority,IncludeFlag),$AO$3,$AO$4,$AO$5,$AO$6,_xll.ohFilter(MinDistance,IncludeFlag),Trigger)</f>
        <v>obj_00626</v>
      </c>
      <c r="AA3" s="4" t="str">
        <f>IFERROR(_xll.qlRateHelperQuoteName(Y3,Trigger),"")</f>
        <v>EUR6MD_LCHQuote</v>
      </c>
      <c r="AB3" s="70">
        <f>IFERROR(_xll.qlRateHelperRate(Y3,Trigger),"")</f>
        <v>3.8999999999999999E-4</v>
      </c>
      <c r="AC3" s="104" t="str">
        <f>IF(ISERROR(_xll.qlSwapRateHelperSpread($Y3)),IF(ISERROR(_xll.qlFuturesRateHelperConvexityAdjustment($Y3)),"",_xll.qlFuturesRateHelperConvexityAdjustment($Y3)),_xll.qlSwapRateHelperSpread($Y3))</f>
        <v/>
      </c>
      <c r="AD3" s="5">
        <f>IFERROR(_xll.qlRateHelperEarliestDate(Y3,Trigger),"")</f>
        <v>42250</v>
      </c>
      <c r="AE3" s="5">
        <f>IFERROR(_xll.qlRateHelperPillarDate(Y3,Trigger),"")</f>
        <v>42432</v>
      </c>
      <c r="AF3" s="70">
        <v>3.9537769042910552E-4</v>
      </c>
      <c r="AG3" s="77">
        <v>0.99980017597600346</v>
      </c>
      <c r="AH3" s="170">
        <f t="array" ref="AH3:AH47">_xll.ohFilter([1]REP00100!$C$2:$C$1000,([1]REP00100!$A$2:$A$1000="EUR_EURIBOR_6M_EOD"))</f>
        <v>42432</v>
      </c>
      <c r="AI3" s="171">
        <f t="array" ref="AI3:AI47">_xll.ohFilter([1]REP00100!$E$2:$E$1000,([1]REP00100!$A$2:$A$1000="EUR_EURIBOR_6M_EOD"))</f>
        <v>3.9537769029722003E-4</v>
      </c>
      <c r="AJ3" s="173">
        <f>AF3-AI3</f>
        <v>1.3188549644743697E-13</v>
      </c>
      <c r="AK3" s="80">
        <f t="array" ref="AK3:AK47">_xll.ohFilter([1]REP00101!$F$2:$F$1000,([1]REP00101!$A$2:$A$1000="EUR_EURIBOR_6M_EOD"))</f>
        <v>0.99980070617668104</v>
      </c>
      <c r="AL3" s="162">
        <f>AG3-AK3</f>
        <v>-5.3020067758424716E-7</v>
      </c>
      <c r="AN3" s="107" t="s">
        <v>86</v>
      </c>
      <c r="AO3" s="108">
        <v>0</v>
      </c>
    </row>
    <row r="4" spans="1:41" ht="11.25" customHeight="1" x14ac:dyDescent="0.2">
      <c r="B4" s="46"/>
      <c r="C4" s="46"/>
      <c r="D4" s="46"/>
      <c r="E4" s="46"/>
      <c r="F4" s="46"/>
      <c r="G4" s="46"/>
      <c r="H4" s="46"/>
      <c r="L4" s="48"/>
      <c r="M4" s="68" t="str">
        <f t="shared" ref="M4:M10" si="0">A6</f>
        <v>FRA</v>
      </c>
      <c r="N4" s="131" t="str">
        <f t="shared" ref="N4:O10" si="1">IF(ISBLANK(J6),"--",J6)</f>
        <v>obj_00624#0005</v>
      </c>
      <c r="O4" s="131" t="str">
        <f t="shared" si="1"/>
        <v>obj_00624#0005</v>
      </c>
      <c r="P4" s="145" t="str">
        <f>IFERROR(_xll.qlRateHelperQuoteName(N4,Trigger),"--")</f>
        <v>EUR1x7F_LCHQuote</v>
      </c>
      <c r="Q4" s="133">
        <f>IFERROR(_xll.qlRateHelperQuoteValue($N4,Trigger),"--")</f>
        <v>3.6499999999999998E-4</v>
      </c>
      <c r="R4" s="137" t="b">
        <v>1</v>
      </c>
      <c r="S4" s="131">
        <v>20</v>
      </c>
      <c r="T4" s="131">
        <v>1</v>
      </c>
      <c r="U4" s="134">
        <f>IFERROR(_xll.qlRateHelperEarliestDate(N4,Trigger),"--")</f>
        <v>42282</v>
      </c>
      <c r="V4" s="134">
        <f>IFERROR(_xll.qlRateHelperPillarDate(N4,Trigger),"--")</f>
        <v>42464</v>
      </c>
      <c r="X4" s="4" t="str">
        <f t="shared" ref="X4:X47" si="2">IFERROR(INDEX($M$3:$M$47,MATCH(AA4,$P$3:$P$47,0),1),"")</f>
        <v>FRA</v>
      </c>
      <c r="Y4" s="4" t="str">
        <v>obj_00624</v>
      </c>
      <c r="Z4" s="4" t="str">
        <v>obj_00624</v>
      </c>
      <c r="AA4" s="4" t="str">
        <f>IFERROR(_xll.qlRateHelperQuoteName(Y4,Trigger),"")</f>
        <v>EUR1x7F_LCHQuote</v>
      </c>
      <c r="AB4" s="70">
        <f>IFERROR(_xll.qlRateHelperRate(Y4,Trigger),"")</f>
        <v>3.6499999999999998E-4</v>
      </c>
      <c r="AC4" s="104" t="str">
        <f>IF(ISERROR(_xll.qlSwapRateHelperSpread($Y4)),IF(ISERROR(_xll.qlFuturesRateHelperConvexityAdjustment($Y4)),"",_xll.qlFuturesRateHelperConvexityAdjustment($Y4)),_xll.qlSwapRateHelperSpread($Y4))</f>
        <v/>
      </c>
      <c r="AD4" s="5">
        <f>IFERROR(_xll.qlRateHelperEarliestDate(Y4,Trigger),"")</f>
        <v>42282</v>
      </c>
      <c r="AE4" s="5">
        <f>IFERROR(_xll.qlRateHelperPillarDate(Y4,Trigger),"")</f>
        <v>42464</v>
      </c>
      <c r="AF4" s="70">
        <v>3.7243575496090256E-4</v>
      </c>
      <c r="AG4" s="77">
        <v>0.99977077259888081</v>
      </c>
      <c r="AH4" s="170">
        <v>42464</v>
      </c>
      <c r="AI4" s="171">
        <v>3.7243575494109001E-4</v>
      </c>
      <c r="AJ4" s="173">
        <f t="shared" ref="AJ4:AJ47" si="3">AF4-AI4</f>
        <v>1.9812547869674235E-14</v>
      </c>
      <c r="AK4" s="80">
        <v>0.99977926044658005</v>
      </c>
      <c r="AL4" s="162">
        <f t="shared" ref="AL4:AL47" si="4">AG4-AK4</f>
        <v>-8.4878476992455987E-6</v>
      </c>
      <c r="AN4" s="107" t="s">
        <v>87</v>
      </c>
      <c r="AO4" s="108">
        <v>0</v>
      </c>
    </row>
    <row r="5" spans="1:41" ht="11.25" customHeight="1" x14ac:dyDescent="0.2">
      <c r="A5" s="65" t="s">
        <v>9</v>
      </c>
      <c r="B5" s="65" t="s">
        <v>91</v>
      </c>
      <c r="C5" s="65" t="s">
        <v>92</v>
      </c>
      <c r="D5" s="65"/>
      <c r="E5" s="65"/>
      <c r="F5" s="65"/>
      <c r="G5" s="65" t="s">
        <v>4</v>
      </c>
      <c r="H5" s="65" t="s">
        <v>1</v>
      </c>
      <c r="I5" s="65"/>
      <c r="J5" s="65" t="s">
        <v>150</v>
      </c>
      <c r="K5" s="65" t="s">
        <v>152</v>
      </c>
      <c r="L5" s="48"/>
      <c r="M5" s="10" t="str">
        <f t="shared" si="0"/>
        <v>FRA</v>
      </c>
      <c r="N5" s="94" t="str">
        <f t="shared" si="1"/>
        <v>obj_0060a#0005</v>
      </c>
      <c r="O5" s="94" t="str">
        <f t="shared" si="1"/>
        <v>obj_0060a#0005</v>
      </c>
      <c r="P5" s="146" t="str">
        <f>IFERROR(_xll.qlRateHelperQuoteName(N5,Trigger),"--")</f>
        <v>EUR2x8F_LCHQuote</v>
      </c>
      <c r="Q5" s="98">
        <f>IFERROR(_xll.qlRateHelperQuoteValue($N5,Trigger),"--")</f>
        <v>4.2000000000000002E-4</v>
      </c>
      <c r="R5" s="141" t="b">
        <v>1</v>
      </c>
      <c r="S5" s="94">
        <v>20</v>
      </c>
      <c r="T5" s="94">
        <v>1</v>
      </c>
      <c r="U5" s="99">
        <f>IFERROR(_xll.qlRateHelperEarliestDate(N5,Trigger),"--")</f>
        <v>42311</v>
      </c>
      <c r="V5" s="99">
        <f>IFERROR(_xll.qlRateHelperPillarDate(N5,Trigger),"--")</f>
        <v>42493</v>
      </c>
      <c r="X5" s="4" t="str">
        <f t="shared" si="2"/>
        <v>FRA</v>
      </c>
      <c r="Y5" s="4" t="str">
        <v>obj_0060a</v>
      </c>
      <c r="Z5" s="4" t="str">
        <v>obj_0060a</v>
      </c>
      <c r="AA5" s="4" t="str">
        <f>IFERROR(_xll.qlRateHelperQuoteName(Y5,Trigger),"")</f>
        <v>EUR2x8F_LCHQuote</v>
      </c>
      <c r="AB5" s="70">
        <f>IFERROR(_xll.qlRateHelperRate(Y5,Trigger),"")</f>
        <v>4.2000000000000002E-4</v>
      </c>
      <c r="AC5" s="104" t="str">
        <f>IF(ISERROR(_xll.qlSwapRateHelperSpread($Y5)),IF(ISERROR(_xll.qlFuturesRateHelperConvexityAdjustment($Y5)),"",_xll.qlFuturesRateHelperConvexityAdjustment($Y5)),_xll.qlSwapRateHelperSpread($Y5))</f>
        <v/>
      </c>
      <c r="AD5" s="5">
        <f>IFERROR(_xll.qlRateHelperEarliestDate(Y5,Trigger),"")</f>
        <v>42311</v>
      </c>
      <c r="AE5" s="5">
        <f>IFERROR(_xll.qlRateHelperPillarDate(Y5,Trigger),"")</f>
        <v>42493</v>
      </c>
      <c r="AF5" s="70">
        <v>4.1796830299762065E-4</v>
      </c>
      <c r="AG5" s="77">
        <v>0.99970472020276935</v>
      </c>
      <c r="AH5" s="170">
        <v>42493</v>
      </c>
      <c r="AI5" s="171">
        <v>4.1796830296429998E-4</v>
      </c>
      <c r="AJ5" s="173">
        <f t="shared" si="3"/>
        <v>3.3320676946779759E-14</v>
      </c>
      <c r="AK5" s="80">
        <v>0.99971948528523902</v>
      </c>
      <c r="AL5" s="162">
        <f t="shared" si="4"/>
        <v>-1.4765082469669899E-5</v>
      </c>
      <c r="AM5" s="80"/>
      <c r="AN5" s="107" t="s">
        <v>88</v>
      </c>
      <c r="AO5" s="108">
        <v>0</v>
      </c>
    </row>
    <row r="6" spans="1:41" ht="11.25" customHeight="1" x14ac:dyDescent="0.2">
      <c r="A6" s="53" t="s">
        <v>93</v>
      </c>
      <c r="B6" s="115">
        <v>1</v>
      </c>
      <c r="C6" s="56" t="str">
        <f t="shared" ref="C6:C12" si="5">"x"&amp;B6+SUBSTITUTE($G$1,"M","")&amp;"F"</f>
        <v>x7F</v>
      </c>
      <c r="D6" s="129"/>
      <c r="E6" s="129"/>
      <c r="F6" s="129"/>
      <c r="G6" s="55" t="str">
        <f t="shared" ref="G6:G12" si="6">PROPER(Currency)&amp;FamilyName&amp;$G$1</f>
        <v>Euribor6M</v>
      </c>
      <c r="H6" s="118" t="str">
        <f t="shared" ref="H6:H12" si="7">IF(LCHQuoteOverwrite,Currency&amp;B6&amp;C6&amp;LCHQuoteSuffix,Currency&amp;B6&amp;C6&amp;QuoteSuffix)</f>
        <v>EUR1x7F_LCHQuote</v>
      </c>
      <c r="I6" s="129"/>
      <c r="J6" s="58" t="str">
        <f>_xll.qlFraRateHelper(,H6,B6&amp;"M",G6,PillarDate,,Permanent,Trigger,ObjectOverwrite)</f>
        <v>obj_00624#0005</v>
      </c>
      <c r="K6" s="58" t="str">
        <f>J6</f>
        <v>obj_00624#0005</v>
      </c>
      <c r="L6" s="48"/>
      <c r="M6" s="10" t="str">
        <f t="shared" si="0"/>
        <v>FRA</v>
      </c>
      <c r="N6" s="94" t="str">
        <f t="shared" si="1"/>
        <v>obj_00612#0005</v>
      </c>
      <c r="O6" s="94" t="str">
        <f t="shared" si="1"/>
        <v>obj_00612#0005</v>
      </c>
      <c r="P6" s="146" t="str">
        <f>IFERROR(_xll.qlRateHelperQuoteName(N6,Trigger),"--")</f>
        <v>EUR3x9F_LCHQuote</v>
      </c>
      <c r="Q6" s="98">
        <f>IFERROR(_xll.qlRateHelperQuoteValue($N6,Trigger),"--")</f>
        <v>4.3333329999999999E-4</v>
      </c>
      <c r="R6" s="141" t="b">
        <v>1</v>
      </c>
      <c r="S6" s="94">
        <v>20</v>
      </c>
      <c r="T6" s="94">
        <v>1</v>
      </c>
      <c r="U6" s="99">
        <f>IFERROR(_xll.qlRateHelperEarliestDate(N6,Trigger),"--")</f>
        <v>42341</v>
      </c>
      <c r="V6" s="99">
        <f>IFERROR(_xll.qlRateHelperPillarDate(N6,Trigger),"--")</f>
        <v>42524</v>
      </c>
      <c r="X6" s="4" t="str">
        <f t="shared" si="2"/>
        <v>FRA</v>
      </c>
      <c r="Y6" s="4" t="str">
        <v>obj_00612</v>
      </c>
      <c r="Z6" s="4" t="str">
        <v>obj_00612</v>
      </c>
      <c r="AA6" s="4" t="str">
        <f>IFERROR(_xll.qlRateHelperQuoteName(Y6,Trigger),"")</f>
        <v>EUR3x9F_LCHQuote</v>
      </c>
      <c r="AB6" s="70">
        <f>IFERROR(_xll.qlRateHelperRate(Y6,Trigger),"")</f>
        <v>4.3333329999999999E-4</v>
      </c>
      <c r="AC6" s="104" t="str">
        <f>IF(ISERROR(_xll.qlSwapRateHelperSpread($Y6)),IF(ISERROR(_xll.qlFuturesRateHelperConvexityAdjustment($Y6)),"",_xll.qlFuturesRateHelperConvexityAdjustment($Y6)),_xll.qlSwapRateHelperSpread($Y6))</f>
        <v/>
      </c>
      <c r="AD6" s="5">
        <f>IFERROR(_xll.qlRateHelperEarliestDate(Y6,Trigger),"")</f>
        <v>42341</v>
      </c>
      <c r="AE6" s="5">
        <f>IFERROR(_xll.qlRateHelperPillarDate(Y6,Trigger),"")</f>
        <v>42524</v>
      </c>
      <c r="AF6" s="70">
        <v>4.2450236918843682E-4</v>
      </c>
      <c r="AG6" s="77">
        <v>0.99966063372891112</v>
      </c>
      <c r="AH6" s="170">
        <v>42524</v>
      </c>
      <c r="AI6" s="171">
        <v>4.2450239266761999E-4</v>
      </c>
      <c r="AJ6" s="173">
        <f t="shared" si="3"/>
        <v>-2.3479183170176804E-11</v>
      </c>
      <c r="AK6" s="80">
        <v>0.99967905792285905</v>
      </c>
      <c r="AL6" s="162">
        <f t="shared" si="4"/>
        <v>-1.8424193947930156E-5</v>
      </c>
      <c r="AN6" s="107" t="s">
        <v>89</v>
      </c>
      <c r="AO6" s="109" t="s">
        <v>90</v>
      </c>
    </row>
    <row r="7" spans="1:41" ht="11.25" customHeight="1" x14ac:dyDescent="0.2">
      <c r="A7" s="59" t="s">
        <v>93</v>
      </c>
      <c r="B7" s="116">
        <v>2</v>
      </c>
      <c r="C7" s="62" t="str">
        <f t="shared" si="5"/>
        <v>x8F</v>
      </c>
      <c r="D7" s="123"/>
      <c r="E7" s="123"/>
      <c r="F7" s="123"/>
      <c r="G7" s="61" t="str">
        <f t="shared" si="6"/>
        <v>Euribor6M</v>
      </c>
      <c r="H7" s="119" t="str">
        <f t="shared" si="7"/>
        <v>EUR2x8F_LCHQuote</v>
      </c>
      <c r="I7" s="123"/>
      <c r="J7" s="64" t="str">
        <f>_xll.qlFraRateHelper(,H7,B7&amp;"M",G7,PillarDate,,Permanent,Trigger,ObjectOverwrite)</f>
        <v>obj_0060a#0005</v>
      </c>
      <c r="K7" s="64" t="str">
        <f t="shared" ref="K7:K12" si="8">J7</f>
        <v>obj_0060a#0005</v>
      </c>
      <c r="L7" s="48"/>
      <c r="M7" s="10" t="str">
        <f t="shared" si="0"/>
        <v>FRA</v>
      </c>
      <c r="N7" s="94" t="str">
        <f t="shared" si="1"/>
        <v>obj_00607#0005</v>
      </c>
      <c r="O7" s="94" t="str">
        <f t="shared" si="1"/>
        <v>obj_00607#0005</v>
      </c>
      <c r="P7" s="146" t="str">
        <f>IFERROR(_xll.qlRateHelperQuoteName(N7,Trigger),"--")</f>
        <v>EUR4x10F_LCHQuote</v>
      </c>
      <c r="Q7" s="98">
        <f>IFERROR(_xll.qlRateHelperQuoteValue($N7,Trigger),"--")</f>
        <v>4.4000000000000002E-4</v>
      </c>
      <c r="R7" s="141" t="b">
        <v>1</v>
      </c>
      <c r="S7" s="94">
        <v>20</v>
      </c>
      <c r="T7" s="94">
        <v>1</v>
      </c>
      <c r="U7" s="99">
        <f>IFERROR(_xll.qlRateHelperEarliestDate(N7,Trigger),"--")</f>
        <v>42373</v>
      </c>
      <c r="V7" s="99">
        <f>IFERROR(_xll.qlRateHelperPillarDate(N7,Trigger),"--")</f>
        <v>42555</v>
      </c>
      <c r="X7" s="4" t="str">
        <f t="shared" si="2"/>
        <v>FRA</v>
      </c>
      <c r="Y7" s="4" t="str">
        <v>obj_00607</v>
      </c>
      <c r="Z7" s="4" t="str">
        <v>obj_00607</v>
      </c>
      <c r="AA7" s="4" t="str">
        <f>IFERROR(_xll.qlRateHelperQuoteName(Y7,Trigger),"")</f>
        <v>EUR4x10F_LCHQuote</v>
      </c>
      <c r="AB7" s="70">
        <f>IFERROR(_xll.qlRateHelperRate(Y7,Trigger),"")</f>
        <v>4.4000000000000002E-4</v>
      </c>
      <c r="AC7" s="104" t="str">
        <f>IF(ISERROR(_xll.qlSwapRateHelperSpread($Y7)),IF(ISERROR(_xll.qlFuturesRateHelperConvexityAdjustment($Y7)),"",_xll.qlFuturesRateHelperConvexityAdjustment($Y7)),_xll.qlSwapRateHelperSpread($Y7))</f>
        <v/>
      </c>
      <c r="AD7" s="5">
        <f>IFERROR(_xll.qlRateHelperEarliestDate(Y7,Trigger),"")</f>
        <v>42373</v>
      </c>
      <c r="AE7" s="5">
        <f>IFERROR(_xll.qlRateHelperPillarDate(Y7,Trigger),"")</f>
        <v>42555</v>
      </c>
      <c r="AF7" s="70">
        <v>4.2542477031074606E-4</v>
      </c>
      <c r="AG7" s="77">
        <v>0.99962423157446956</v>
      </c>
      <c r="AH7" s="170">
        <v>42555</v>
      </c>
      <c r="AI7" s="171">
        <v>4.2542477025693997E-4</v>
      </c>
      <c r="AJ7" s="173">
        <f t="shared" si="3"/>
        <v>5.3806080684698498E-14</v>
      </c>
      <c r="AK7" s="80">
        <v>0.99964224098508203</v>
      </c>
      <c r="AL7" s="162">
        <f t="shared" si="4"/>
        <v>-1.8009410612473964E-5</v>
      </c>
    </row>
    <row r="8" spans="1:41" ht="11.25" customHeight="1" x14ac:dyDescent="0.2">
      <c r="A8" s="59" t="s">
        <v>93</v>
      </c>
      <c r="B8" s="116">
        <v>3</v>
      </c>
      <c r="C8" s="62" t="str">
        <f t="shared" si="5"/>
        <v>x9F</v>
      </c>
      <c r="D8" s="123"/>
      <c r="E8" s="123"/>
      <c r="F8" s="123"/>
      <c r="G8" s="61" t="str">
        <f t="shared" si="6"/>
        <v>Euribor6M</v>
      </c>
      <c r="H8" s="119" t="str">
        <f t="shared" si="7"/>
        <v>EUR3x9F_LCHQuote</v>
      </c>
      <c r="I8" s="123"/>
      <c r="J8" s="64" t="str">
        <f>_xll.qlFraRateHelper(,H8,B8&amp;"M",G8,PillarDate,,Permanent,Trigger,ObjectOverwrite)</f>
        <v>obj_00612#0005</v>
      </c>
      <c r="K8" s="64" t="str">
        <f t="shared" si="8"/>
        <v>obj_00612#0005</v>
      </c>
      <c r="L8" s="48"/>
      <c r="M8" s="10" t="str">
        <f t="shared" si="0"/>
        <v>FRA</v>
      </c>
      <c r="N8" s="94" t="str">
        <f t="shared" si="1"/>
        <v>obj_00617#0005</v>
      </c>
      <c r="O8" s="94" t="str">
        <f t="shared" si="1"/>
        <v>obj_00617#0005</v>
      </c>
      <c r="P8" s="146" t="str">
        <f>IFERROR(_xll.qlRateHelperQuoteName(N8,Trigger),"--")</f>
        <v>EUR5x11F_LCHQuote</v>
      </c>
      <c r="Q8" s="98">
        <f>IFERROR(_xll.qlRateHelperQuoteValue($N8,Trigger),"--")</f>
        <v>4.6833330000000002E-4</v>
      </c>
      <c r="R8" s="141" t="b">
        <v>1</v>
      </c>
      <c r="S8" s="94">
        <v>20</v>
      </c>
      <c r="T8" s="94">
        <v>1</v>
      </c>
      <c r="U8" s="99">
        <f>IFERROR(_xll.qlRateHelperEarliestDate(N8,Trigger),"--")</f>
        <v>42403</v>
      </c>
      <c r="V8" s="99">
        <f>IFERROR(_xll.qlRateHelperPillarDate(N8,Trigger),"--")</f>
        <v>42585</v>
      </c>
      <c r="X8" s="4" t="str">
        <f t="shared" si="2"/>
        <v>FRA</v>
      </c>
      <c r="Y8" s="4" t="str">
        <v>obj_00617</v>
      </c>
      <c r="Z8" s="4" t="str">
        <v>obj_00617</v>
      </c>
      <c r="AA8" s="4" t="str">
        <f>IFERROR(_xll.qlRateHelperQuoteName(Y8,Trigger),"")</f>
        <v>EUR5x11F_LCHQuote</v>
      </c>
      <c r="AB8" s="70">
        <f>IFERROR(_xll.qlRateHelperRate(Y8,Trigger),"")</f>
        <v>4.6833330000000002E-4</v>
      </c>
      <c r="AC8" s="104" t="str">
        <f>IF(ISERROR(_xll.qlSwapRateHelperSpread($Y8)),IF(ISERROR(_xll.qlFuturesRateHelperConvexityAdjustment($Y8)),"",_xll.qlFuturesRateHelperConvexityAdjustment($Y8)),_xll.qlSwapRateHelperSpread($Y8))</f>
        <v/>
      </c>
      <c r="AD8" s="5">
        <f>IFERROR(_xll.qlRateHelperEarliestDate(Y8,Trigger),"")</f>
        <v>42403</v>
      </c>
      <c r="AE8" s="5">
        <f>IFERROR(_xll.qlRateHelperPillarDate(Y8,Trigger),"")</f>
        <v>42585</v>
      </c>
      <c r="AF8" s="70">
        <v>4.3826058134392498E-4</v>
      </c>
      <c r="AG8" s="77">
        <v>0.99958319377679583</v>
      </c>
      <c r="AH8" s="170">
        <v>42585</v>
      </c>
      <c r="AI8" s="171">
        <v>4.3826060044358E-4</v>
      </c>
      <c r="AJ8" s="173">
        <f t="shared" si="3"/>
        <v>-1.9099655017285055E-11</v>
      </c>
      <c r="AK8" s="80">
        <v>0.999595441246794</v>
      </c>
      <c r="AL8" s="162">
        <f t="shared" si="4"/>
        <v>-1.2247469998172278E-5</v>
      </c>
    </row>
    <row r="9" spans="1:41" ht="11.25" customHeight="1" x14ac:dyDescent="0.2">
      <c r="A9" s="59" t="s">
        <v>93</v>
      </c>
      <c r="B9" s="116">
        <v>4</v>
      </c>
      <c r="C9" s="62" t="str">
        <f t="shared" si="5"/>
        <v>x10F</v>
      </c>
      <c r="D9" s="123"/>
      <c r="E9" s="123"/>
      <c r="F9" s="123"/>
      <c r="G9" s="61" t="str">
        <f t="shared" si="6"/>
        <v>Euribor6M</v>
      </c>
      <c r="H9" s="119" t="str">
        <f t="shared" si="7"/>
        <v>EUR4x10F_LCHQuote</v>
      </c>
      <c r="I9" s="123"/>
      <c r="J9" s="64" t="str">
        <f>_xll.qlFraRateHelper(,H9,B9&amp;"M",G9,PillarDate,,Permanent,Trigger,ObjectOverwrite)</f>
        <v>obj_00607#0005</v>
      </c>
      <c r="K9" s="64" t="str">
        <f t="shared" si="8"/>
        <v>obj_00607#0005</v>
      </c>
      <c r="L9" s="48"/>
      <c r="M9" s="10" t="str">
        <f t="shared" si="0"/>
        <v>FRA</v>
      </c>
      <c r="N9" s="94" t="str">
        <f t="shared" si="1"/>
        <v>obj_00620#0005</v>
      </c>
      <c r="O9" s="94" t="str">
        <f t="shared" si="1"/>
        <v>obj_00620#0005</v>
      </c>
      <c r="P9" s="146" t="str">
        <f>IFERROR(_xll.qlRateHelperQuoteName(N9,Trigger),"--")</f>
        <v>EUR6x12F_LCHQuote</v>
      </c>
      <c r="Q9" s="98">
        <f>IFERROR(_xll.qlRateHelperQuoteValue($N9,Trigger),"--")</f>
        <v>5.0250000000000002E-4</v>
      </c>
      <c r="R9" s="141" t="b">
        <v>1</v>
      </c>
      <c r="S9" s="94">
        <v>20</v>
      </c>
      <c r="T9" s="94">
        <v>1</v>
      </c>
      <c r="U9" s="99">
        <f>IFERROR(_xll.qlRateHelperEarliestDate(N9,Trigger),"--")</f>
        <v>42432</v>
      </c>
      <c r="V9" s="99">
        <f>IFERROR(_xll.qlRateHelperPillarDate(N9,Trigger),"--")</f>
        <v>42618</v>
      </c>
      <c r="X9" s="4" t="str">
        <f t="shared" si="2"/>
        <v>FRA</v>
      </c>
      <c r="Y9" s="4" t="str">
        <v>obj_00620</v>
      </c>
      <c r="Z9" s="4" t="str">
        <v>obj_00620</v>
      </c>
      <c r="AA9" s="4" t="str">
        <f>IFERROR(_xll.qlRateHelperQuoteName(Y9,Trigger),"")</f>
        <v>EUR6x12F_LCHQuote</v>
      </c>
      <c r="AB9" s="70">
        <f>IFERROR(_xll.qlRateHelperRate(Y9,Trigger),"")</f>
        <v>5.0250000000000002E-4</v>
      </c>
      <c r="AC9" s="104" t="str">
        <f>IF(ISERROR(_xll.qlSwapRateHelperSpread($Y9)),IF(ISERROR(_xll.qlFuturesRateHelperConvexityAdjustment($Y9)),"",_xll.qlFuturesRateHelperConvexityAdjustment($Y9)),_xll.qlSwapRateHelperSpread($Y9))</f>
        <v/>
      </c>
      <c r="AD9" s="5">
        <f>IFERROR(_xll.qlRateHelperEarliestDate(Y9,Trigger),"")</f>
        <v>42432</v>
      </c>
      <c r="AE9" s="5">
        <f>IFERROR(_xll.qlRateHelperPillarDate(Y9,Trigger),"")</f>
        <v>42618</v>
      </c>
      <c r="AF9" s="70">
        <v>4.5270356955126416E-4</v>
      </c>
      <c r="AG9" s="77">
        <v>0.99954067022925852</v>
      </c>
      <c r="AH9" s="170">
        <v>42618</v>
      </c>
      <c r="AI9" s="171">
        <v>4.5270356947366998E-4</v>
      </c>
      <c r="AJ9" s="173">
        <f t="shared" si="3"/>
        <v>7.7594181080442581E-14</v>
      </c>
      <c r="AK9" s="80">
        <v>0.999541200292555</v>
      </c>
      <c r="AL9" s="162">
        <f t="shared" si="4"/>
        <v>-5.300632964777563E-7</v>
      </c>
    </row>
    <row r="10" spans="1:41" ht="11.25" customHeight="1" x14ac:dyDescent="0.2">
      <c r="A10" s="59" t="s">
        <v>93</v>
      </c>
      <c r="B10" s="116">
        <v>5</v>
      </c>
      <c r="C10" s="62" t="str">
        <f t="shared" si="5"/>
        <v>x11F</v>
      </c>
      <c r="D10" s="123"/>
      <c r="E10" s="123"/>
      <c r="F10" s="123"/>
      <c r="G10" s="61" t="str">
        <f t="shared" si="6"/>
        <v>Euribor6M</v>
      </c>
      <c r="H10" s="119" t="str">
        <f t="shared" si="7"/>
        <v>EUR5x11F_LCHQuote</v>
      </c>
      <c r="I10" s="123"/>
      <c r="J10" s="64" t="str">
        <f>_xll.qlFraRateHelper(,H10,B10&amp;"M",G10,PillarDate,,Permanent,Trigger,ObjectOverwrite)</f>
        <v>obj_00617#0005</v>
      </c>
      <c r="K10" s="64" t="str">
        <f t="shared" si="8"/>
        <v>obj_00617#0005</v>
      </c>
      <c r="L10" s="48"/>
      <c r="M10" s="10" t="str">
        <f t="shared" si="0"/>
        <v>FRA</v>
      </c>
      <c r="N10" s="94" t="str">
        <f t="shared" si="1"/>
        <v>obj_00614#0005</v>
      </c>
      <c r="O10" s="94" t="str">
        <f t="shared" si="1"/>
        <v>obj_00614#0005</v>
      </c>
      <c r="P10" s="146" t="str">
        <f>IFERROR(_xll.qlRateHelperQuoteName(N10,Trigger),"--")</f>
        <v>EUR12x18F_LCHQuote</v>
      </c>
      <c r="Q10" s="98">
        <f>IFERROR(_xll.qlRateHelperQuoteValue($N10,Trigger),"--")</f>
        <v>9.6500000000000004E-4</v>
      </c>
      <c r="R10" s="141" t="b">
        <v>1</v>
      </c>
      <c r="S10" s="94">
        <v>20</v>
      </c>
      <c r="T10" s="94">
        <v>1</v>
      </c>
      <c r="U10" s="99">
        <f>IFERROR(_xll.qlRateHelperEarliestDate(N10,Trigger),"--")</f>
        <v>42618</v>
      </c>
      <c r="V10" s="99">
        <f>IFERROR(_xll.qlRateHelperPillarDate(N10,Trigger),"--")</f>
        <v>42797</v>
      </c>
      <c r="X10" s="4" t="str">
        <f t="shared" si="2"/>
        <v>FRA</v>
      </c>
      <c r="Y10" s="4" t="str">
        <v>obj_00614</v>
      </c>
      <c r="Z10" s="4" t="str">
        <v>obj_00614</v>
      </c>
      <c r="AA10" s="4" t="str">
        <f>IFERROR(_xll.qlRateHelperQuoteName(Y10,Trigger),"")</f>
        <v>EUR12x18F_LCHQuote</v>
      </c>
      <c r="AB10" s="70">
        <f>IFERROR(_xll.qlRateHelperRate(Y10,Trigger),"")</f>
        <v>9.6500000000000004E-4</v>
      </c>
      <c r="AC10" s="104" t="str">
        <f>IF(ISERROR(_xll.qlSwapRateHelperSpread($Y10)),IF(ISERROR(_xll.qlFuturesRateHelperConvexityAdjustment($Y10)),"",_xll.qlFuturesRateHelperConvexityAdjustment($Y10)),_xll.qlSwapRateHelperSpread($Y10))</f>
        <v/>
      </c>
      <c r="AD10" s="5">
        <f>IFERROR(_xll.qlRateHelperEarliestDate(Y10,Trigger),"")</f>
        <v>42618</v>
      </c>
      <c r="AE10" s="5">
        <f>IFERROR(_xll.qlRateHelperPillarDate(Y10,Trigger),"")</f>
        <v>42797</v>
      </c>
      <c r="AF10" s="70">
        <v>6.2087953456826527E-4</v>
      </c>
      <c r="AG10" s="77">
        <v>0.99906486183351473</v>
      </c>
      <c r="AH10" s="170">
        <v>42797</v>
      </c>
      <c r="AI10" s="171">
        <v>6.2087953401344996E-4</v>
      </c>
      <c r="AJ10" s="173">
        <f t="shared" si="3"/>
        <v>5.5481530827905523E-13</v>
      </c>
      <c r="AK10" s="80">
        <v>0.999065127885297</v>
      </c>
      <c r="AL10" s="162">
        <f t="shared" si="4"/>
        <v>-2.6605178227168125E-7</v>
      </c>
    </row>
    <row r="11" spans="1:41" ht="11.25" customHeight="1" x14ac:dyDescent="0.2">
      <c r="A11" s="59" t="s">
        <v>93</v>
      </c>
      <c r="B11" s="116">
        <v>6</v>
      </c>
      <c r="C11" s="62" t="str">
        <f t="shared" si="5"/>
        <v>x12F</v>
      </c>
      <c r="D11" s="123"/>
      <c r="E11" s="123"/>
      <c r="F11" s="123"/>
      <c r="G11" s="61" t="str">
        <f t="shared" si="6"/>
        <v>Euribor6M</v>
      </c>
      <c r="H11" s="119" t="str">
        <f t="shared" si="7"/>
        <v>EUR6x12F_LCHQuote</v>
      </c>
      <c r="I11" s="123"/>
      <c r="J11" s="64" t="str">
        <f>_xll.qlFraRateHelper(,H11,B11&amp;"M",G11,PillarDate,,Permanent,Trigger,ObjectOverwrite)</f>
        <v>obj_00620#0005</v>
      </c>
      <c r="K11" s="64" t="str">
        <f t="shared" si="8"/>
        <v>obj_00620#0005</v>
      </c>
      <c r="L11" s="48"/>
      <c r="M11" s="68" t="str">
        <f t="shared" ref="M11:M47" si="9">A15</f>
        <v>Sw</v>
      </c>
      <c r="N11" s="131" t="str">
        <f t="shared" ref="N11:N47" si="10">IF(ISBLANK(J15),"--",J15)</f>
        <v>--</v>
      </c>
      <c r="O11" s="131" t="str">
        <f t="shared" ref="O11:O47" si="11">IF(ISBLANK(K15),"--",K15)</f>
        <v>--</v>
      </c>
      <c r="P11" s="145" t="str">
        <f>IFERROR(_xll.qlRateHelperQuoteName(N11,Trigger),"--")</f>
        <v>--</v>
      </c>
      <c r="Q11" s="133" t="str">
        <f>IFERROR(_xll.qlRateHelperQuoteValue($N11,Trigger),"--")</f>
        <v>--</v>
      </c>
      <c r="R11" s="137" t="b">
        <v>0</v>
      </c>
      <c r="S11" s="131">
        <v>10</v>
      </c>
      <c r="T11" s="131">
        <v>1</v>
      </c>
      <c r="U11" s="134" t="str">
        <f>IFERROR(_xll.qlRateHelperEarliestDate(N11,Trigger),"--")</f>
        <v>--</v>
      </c>
      <c r="V11" s="134" t="str">
        <f>IFERROR(_xll.qlRateHelperPillarDate(N11,Trigger),"--")</f>
        <v>--</v>
      </c>
      <c r="X11" s="4" t="str">
        <f t="shared" si="2"/>
        <v>Sw</v>
      </c>
      <c r="Y11" s="4" t="str">
        <v>obj_00585</v>
      </c>
      <c r="Z11" s="4" t="str">
        <v>obj_00585</v>
      </c>
      <c r="AA11" s="4" t="str">
        <f>IFERROR(_xll.qlRateHelperQuoteName(Y11,Trigger),"")</f>
        <v>EURAB6E2Y_LCHQuote</v>
      </c>
      <c r="AB11" s="70">
        <f>IFERROR(_xll.qlRateHelperRate(Y11,Trigger),"")</f>
        <v>9.3924999999999998E-4</v>
      </c>
      <c r="AC11" s="104">
        <f>IF(ISERROR(_xll.qlSwapRateHelperSpread($Y11)),IF(ISERROR(_xll.qlFuturesRateHelperConvexityAdjustment($Y11)),"",_xll.qlFuturesRateHelperConvexityAdjustment($Y11)),_xll.qlSwapRateHelperSpread($Y11))</f>
        <v>0</v>
      </c>
      <c r="AD11" s="5">
        <f>IFERROR(_xll.qlRateHelperEarliestDate(Y11,Trigger),"")</f>
        <v>42250</v>
      </c>
      <c r="AE11" s="5">
        <f>IFERROR(_xll.qlRateHelperPillarDate(Y11,Trigger),"")</f>
        <v>42982</v>
      </c>
      <c r="AF11" s="70">
        <v>9.3375978541669613E-4</v>
      </c>
      <c r="AG11" s="77">
        <v>0.99812230769930899</v>
      </c>
      <c r="AH11" s="170">
        <v>42982</v>
      </c>
      <c r="AI11" s="171">
        <v>9.3375978540345998E-4</v>
      </c>
      <c r="AJ11" s="173">
        <f t="shared" si="3"/>
        <v>1.3236156962137535E-14</v>
      </c>
      <c r="AK11" s="80">
        <v>0.998122573499855</v>
      </c>
      <c r="AL11" s="162">
        <f t="shared" si="4"/>
        <v>-2.6580054601765823E-7</v>
      </c>
    </row>
    <row r="12" spans="1:41" ht="11.25" customHeight="1" x14ac:dyDescent="0.2">
      <c r="A12" s="1" t="s">
        <v>93</v>
      </c>
      <c r="B12" s="117">
        <v>12</v>
      </c>
      <c r="C12" s="9" t="str">
        <f t="shared" si="5"/>
        <v>x18F</v>
      </c>
      <c r="D12" s="124"/>
      <c r="E12" s="124"/>
      <c r="F12" s="124"/>
      <c r="G12" s="7" t="str">
        <f t="shared" si="6"/>
        <v>Euribor6M</v>
      </c>
      <c r="H12" s="120" t="str">
        <f t="shared" si="7"/>
        <v>EUR12x18F_LCHQuote</v>
      </c>
      <c r="I12" s="124"/>
      <c r="J12" s="3" t="str">
        <f>_xll.qlFraRateHelper(,H12,B12&amp;"M",G12,PillarDate,,Permanent,Trigger,ObjectOverwrite)</f>
        <v>obj_00614#0005</v>
      </c>
      <c r="K12" s="3" t="str">
        <f t="shared" si="8"/>
        <v>obj_00614#0005</v>
      </c>
      <c r="L12" s="48" t="s">
        <v>36</v>
      </c>
      <c r="M12" s="10" t="str">
        <f t="shared" si="9"/>
        <v>Sw</v>
      </c>
      <c r="N12" s="94" t="str">
        <f t="shared" si="10"/>
        <v>--</v>
      </c>
      <c r="O12" s="94" t="str">
        <f t="shared" si="11"/>
        <v>--</v>
      </c>
      <c r="P12" s="146" t="str">
        <f>IFERROR(_xll.qlRateHelperQuoteName(N12,Trigger),"--")</f>
        <v>--</v>
      </c>
      <c r="Q12" s="98" t="str">
        <f>IFERROR(_xll.qlRateHelperQuoteValue($N12,Trigger),"--")</f>
        <v>--</v>
      </c>
      <c r="R12" s="141" t="b">
        <v>0</v>
      </c>
      <c r="S12" s="94">
        <v>10</v>
      </c>
      <c r="T12" s="94">
        <v>1</v>
      </c>
      <c r="U12" s="99" t="str">
        <f>IFERROR(_xll.qlRateHelperEarliestDate(N12,Trigger),"--")</f>
        <v>--</v>
      </c>
      <c r="V12" s="99" t="str">
        <f>IFERROR(_xll.qlRateHelperPillarDate(N12,Trigger),"--")</f>
        <v>--</v>
      </c>
      <c r="X12" s="4" t="str">
        <f t="shared" si="2"/>
        <v>Sw</v>
      </c>
      <c r="Y12" s="4" t="str">
        <v>obj_00582</v>
      </c>
      <c r="Z12" s="4" t="str">
        <v>obj_00582</v>
      </c>
      <c r="AA12" s="4" t="str">
        <f>IFERROR(_xll.qlRateHelperQuoteName(Y12,Trigger),"")</f>
        <v>EURAB6E3Y_LCHQuote</v>
      </c>
      <c r="AB12" s="70">
        <f>IFERROR(_xll.qlRateHelperRate(Y12,Trigger),"")</f>
        <v>1.8450000000000001E-3</v>
      </c>
      <c r="AC12" s="104">
        <f>IF(ISERROR(_xll.qlSwapRateHelperSpread($Y12)),IF(ISERROR(_xll.qlFuturesRateHelperConvexityAdjustment($Y12)),"",_xll.qlFuturesRateHelperConvexityAdjustment($Y12)),_xll.qlSwapRateHelperSpread($Y12))</f>
        <v>0</v>
      </c>
      <c r="AD12" s="5">
        <f>IFERROR(_xll.qlRateHelperEarliestDate(Y12,Trigger),"")</f>
        <v>42250</v>
      </c>
      <c r="AE12" s="5">
        <f>IFERROR(_xll.qlRateHelperPillarDate(Y12,Trigger),"")</f>
        <v>43346</v>
      </c>
      <c r="AF12" s="70">
        <v>1.834813234422046E-3</v>
      </c>
      <c r="AG12" s="77">
        <v>0.99449006311033017</v>
      </c>
      <c r="AH12" s="170">
        <v>43346</v>
      </c>
      <c r="AI12" s="171">
        <v>1.8348132339777901E-3</v>
      </c>
      <c r="AJ12" s="173">
        <f t="shared" ref="AJ12:AJ28" si="12">AF12-AI12</f>
        <v>4.4425596014419089E-13</v>
      </c>
      <c r="AK12" s="80">
        <v>0.99449051935313104</v>
      </c>
      <c r="AL12" s="162">
        <f t="shared" si="4"/>
        <v>-4.5624280087253055E-7</v>
      </c>
    </row>
    <row r="13" spans="1:41" ht="11.25" customHeight="1" x14ac:dyDescent="0.2">
      <c r="B13" s="46"/>
      <c r="C13" s="46"/>
      <c r="D13" s="46"/>
      <c r="E13" s="46"/>
      <c r="F13" s="46"/>
      <c r="G13" s="46" t="s">
        <v>126</v>
      </c>
      <c r="H13" s="46" t="s">
        <v>129</v>
      </c>
      <c r="L13" s="48"/>
      <c r="M13" s="10" t="str">
        <f t="shared" si="9"/>
        <v>Sw</v>
      </c>
      <c r="N13" s="94" t="str">
        <f t="shared" si="10"/>
        <v>--</v>
      </c>
      <c r="O13" s="94" t="str">
        <f t="shared" si="11"/>
        <v>--</v>
      </c>
      <c r="P13" s="146" t="str">
        <f>IFERROR(_xll.qlRateHelperQuoteName(N13,Trigger),"--")</f>
        <v>--</v>
      </c>
      <c r="Q13" s="98" t="str">
        <f>IFERROR(_xll.qlRateHelperQuoteValue($N13,Trigger),"--")</f>
        <v>--</v>
      </c>
      <c r="R13" s="141" t="b">
        <v>0</v>
      </c>
      <c r="S13" s="94">
        <v>10</v>
      </c>
      <c r="T13" s="94">
        <v>1</v>
      </c>
      <c r="U13" s="99" t="str">
        <f>IFERROR(_xll.qlRateHelperEarliestDate(N13,Trigger),"--")</f>
        <v>--</v>
      </c>
      <c r="V13" s="99" t="str">
        <f>IFERROR(_xll.qlRateHelperPillarDate(N13,Trigger),"--")</f>
        <v>--</v>
      </c>
      <c r="X13" s="4" t="str">
        <f t="shared" si="2"/>
        <v>Sw</v>
      </c>
      <c r="Y13" s="4" t="str">
        <v>obj_00586</v>
      </c>
      <c r="Z13" s="4" t="str">
        <v>obj_00586</v>
      </c>
      <c r="AA13" s="4" t="str">
        <f>IFERROR(_xll.qlRateHelperQuoteName(Y13,Trigger),"")</f>
        <v>EURAB6E4Y_LCHQuote</v>
      </c>
      <c r="AB13" s="70">
        <f>IFERROR(_xll.qlRateHelperRate(Y13,Trigger),"")</f>
        <v>3.1212499999999999E-3</v>
      </c>
      <c r="AC13" s="104">
        <f>IF(ISERROR(_xll.qlSwapRateHelperSpread($Y13)),IF(ISERROR(_xll.qlFuturesRateHelperConvexityAdjustment($Y13)),"",_xll.qlFuturesRateHelperConvexityAdjustment($Y13)),_xll.qlSwapRateHelperSpread($Y13))</f>
        <v>0</v>
      </c>
      <c r="AD13" s="5">
        <f>IFERROR(_xll.qlRateHelperEarliestDate(Y13,Trigger),"")</f>
        <v>42250</v>
      </c>
      <c r="AE13" s="5">
        <f>IFERROR(_xll.qlRateHelperPillarDate(Y13,Trigger),"")</f>
        <v>43711</v>
      </c>
      <c r="AF13" s="70">
        <v>3.1095423077572991E-3</v>
      </c>
      <c r="AG13" s="77">
        <v>0.98760675502435336</v>
      </c>
      <c r="AH13" s="170">
        <v>43711</v>
      </c>
      <c r="AI13" s="171">
        <v>3.1095423074679399E-3</v>
      </c>
      <c r="AJ13" s="173">
        <f t="shared" si="12"/>
        <v>2.8935924836770432E-13</v>
      </c>
      <c r="AK13" s="80">
        <v>0.98760765380078297</v>
      </c>
      <c r="AL13" s="162">
        <f t="shared" si="4"/>
        <v>-8.987764296142231E-7</v>
      </c>
    </row>
    <row r="14" spans="1:41" ht="11.25" customHeight="1" x14ac:dyDescent="0.2">
      <c r="A14" s="65" t="s">
        <v>9</v>
      </c>
      <c r="B14" s="65" t="s">
        <v>29</v>
      </c>
      <c r="C14" s="65" t="s">
        <v>114</v>
      </c>
      <c r="D14" s="65" t="s">
        <v>5</v>
      </c>
      <c r="E14" s="65" t="s">
        <v>34</v>
      </c>
      <c r="F14" s="65" t="s">
        <v>115</v>
      </c>
      <c r="G14" s="65" t="s">
        <v>4</v>
      </c>
      <c r="H14" s="65" t="s">
        <v>1</v>
      </c>
      <c r="I14" s="65" t="s">
        <v>113</v>
      </c>
      <c r="J14" s="65" t="s">
        <v>150</v>
      </c>
      <c r="K14" s="65" t="s">
        <v>152</v>
      </c>
      <c r="L14" s="48"/>
      <c r="M14" s="10" t="str">
        <f t="shared" si="9"/>
        <v>Sw</v>
      </c>
      <c r="N14" s="94" t="str">
        <f t="shared" si="10"/>
        <v>--</v>
      </c>
      <c r="O14" s="94" t="str">
        <f t="shared" si="11"/>
        <v>--</v>
      </c>
      <c r="P14" s="146" t="str">
        <f>IFERROR(_xll.qlRateHelperQuoteName(N14,Trigger),"--")</f>
        <v>--</v>
      </c>
      <c r="Q14" s="98" t="str">
        <f>IFERROR(_xll.qlRateHelperQuoteValue($N14,Trigger),"--")</f>
        <v>--</v>
      </c>
      <c r="R14" s="141" t="b">
        <v>0</v>
      </c>
      <c r="S14" s="94">
        <v>10</v>
      </c>
      <c r="T14" s="94">
        <v>1</v>
      </c>
      <c r="U14" s="99" t="str">
        <f>IFERROR(_xll.qlRateHelperEarliestDate(N14,Trigger),"--")</f>
        <v>--</v>
      </c>
      <c r="V14" s="99" t="str">
        <f>IFERROR(_xll.qlRateHelperPillarDate(N14,Trigger),"--")</f>
        <v>--</v>
      </c>
      <c r="X14" s="4" t="str">
        <f t="shared" si="2"/>
        <v>Sw</v>
      </c>
      <c r="Y14" s="4" t="str">
        <v>obj_00580</v>
      </c>
      <c r="Z14" s="4" t="str">
        <v>obj_00580</v>
      </c>
      <c r="AA14" s="4" t="str">
        <f>IFERROR(_xll.qlRateHelperQuoteName(Y14,Trigger),"")</f>
        <v>EURAB6E5Y_LCHQuote</v>
      </c>
      <c r="AB14" s="70">
        <f>IFERROR(_xll.qlRateHelperRate(Y14,Trigger),"")</f>
        <v>4.5490000000000001E-3</v>
      </c>
      <c r="AC14" s="104">
        <f>IF(ISERROR(_xll.qlSwapRateHelperSpread($Y14)),IF(ISERROR(_xll.qlFuturesRateHelperConvexityAdjustment($Y14)),"",_xll.qlFuturesRateHelperConvexityAdjustment($Y14)),_xll.qlSwapRateHelperSpread($Y14))</f>
        <v>0</v>
      </c>
      <c r="AD14" s="5">
        <f>IFERROR(_xll.qlRateHelperEarliestDate(Y14,Trigger),"")</f>
        <v>42250</v>
      </c>
      <c r="AE14" s="5">
        <f>IFERROR(_xll.qlRateHelperPillarDate(Y14,Trigger),"")</f>
        <v>44077</v>
      </c>
      <c r="AF14" s="70">
        <v>4.5381720932673245E-3</v>
      </c>
      <c r="AG14" s="77">
        <v>0.97750906566518059</v>
      </c>
      <c r="AH14" s="170">
        <v>44077</v>
      </c>
      <c r="AI14" s="171">
        <v>4.5381720931710404E-3</v>
      </c>
      <c r="AJ14" s="173">
        <f t="shared" si="12"/>
        <v>9.6284091810616701E-14</v>
      </c>
      <c r="AK14" s="80">
        <v>0.97751031252635601</v>
      </c>
      <c r="AL14" s="162">
        <f t="shared" si="4"/>
        <v>-1.2468611754190562E-6</v>
      </c>
    </row>
    <row r="15" spans="1:41" ht="11.25" customHeight="1" x14ac:dyDescent="0.2">
      <c r="A15" s="53" t="s">
        <v>25</v>
      </c>
      <c r="B15" s="54" t="s">
        <v>28</v>
      </c>
      <c r="C15" s="55" t="s">
        <v>6</v>
      </c>
      <c r="D15" s="55" t="s">
        <v>8</v>
      </c>
      <c r="E15" s="55" t="s">
        <v>7</v>
      </c>
      <c r="F15" s="55" t="s">
        <v>125</v>
      </c>
      <c r="G15" s="55" t="str">
        <f t="shared" ref="G15:G51" si="13">PROPER(Currency)&amp;FamilyName&amp;$G$1</f>
        <v>Euribor6M</v>
      </c>
      <c r="H15" s="53" t="str">
        <f t="shared" ref="H15:H51" si="14">IF(LCHQuoteOverwrite,Currency&amp;$G$13&amp;$H$13&amp;$B15&amp;LCHQuoteSuffix,Currency&amp;$G$13&amp;$H$13&amp;$B15&amp;QuoteSuffix)</f>
        <v>EURAB6E1Y_LCHQuote</v>
      </c>
      <c r="I15" s="126">
        <v>0</v>
      </c>
      <c r="J15" s="64"/>
      <c r="K15" s="64"/>
      <c r="L15" s="48"/>
      <c r="M15" s="10" t="str">
        <f t="shared" si="9"/>
        <v>Sw</v>
      </c>
      <c r="N15" s="94" t="str">
        <f t="shared" si="10"/>
        <v>obj_00585#0005</v>
      </c>
      <c r="O15" s="94" t="str">
        <f t="shared" si="11"/>
        <v>obj_00610#0005</v>
      </c>
      <c r="P15" s="146" t="str">
        <f>IFERROR(_xll.qlRateHelperQuoteName(N15,Trigger),"--")</f>
        <v>EURAB6E2Y_LCHQuote</v>
      </c>
      <c r="Q15" s="98">
        <f>IFERROR(_xll.qlRateHelperQuoteValue($N15,Trigger),"--")</f>
        <v>9.3924999999999998E-4</v>
      </c>
      <c r="R15" s="141" t="b">
        <v>1</v>
      </c>
      <c r="S15" s="94">
        <v>10</v>
      </c>
      <c r="T15" s="94">
        <v>1</v>
      </c>
      <c r="U15" s="99">
        <f>IFERROR(_xll.qlRateHelperEarliestDate(N15,Trigger),"--")</f>
        <v>42250</v>
      </c>
      <c r="V15" s="99">
        <f>IFERROR(_xll.qlRateHelperPillarDate(N15,Trigger),"--")</f>
        <v>42982</v>
      </c>
      <c r="X15" s="4" t="str">
        <f t="shared" si="2"/>
        <v>Sw</v>
      </c>
      <c r="Y15" s="4" t="str">
        <v>obj_00578</v>
      </c>
      <c r="Z15" s="4" t="str">
        <v>obj_00578</v>
      </c>
      <c r="AA15" s="4" t="str">
        <f>IFERROR(_xll.qlRateHelperQuoteName(Y15,Trigger),"")</f>
        <v>EURAB6E6Y_LCHQuote</v>
      </c>
      <c r="AB15" s="70">
        <f>IFERROR(_xll.qlRateHelperRate(Y15,Trigger),"")</f>
        <v>6.0192500000000003E-3</v>
      </c>
      <c r="AC15" s="104">
        <f>IF(ISERROR(_xll.qlSwapRateHelperSpread($Y15)),IF(ISERROR(_xll.qlFuturesRateHelperConvexityAdjustment($Y15)),"",_xll.qlFuturesRateHelperConvexityAdjustment($Y15)),_xll.qlSwapRateHelperSpread($Y15))</f>
        <v>0</v>
      </c>
      <c r="AD15" s="5">
        <f>IFERROR(_xll.qlRateHelperEarliestDate(Y15,Trigger),"")</f>
        <v>42250</v>
      </c>
      <c r="AE15" s="5">
        <f>IFERROR(_xll.qlRateHelperPillarDate(Y15,Trigger),"")</f>
        <v>44442</v>
      </c>
      <c r="AF15" s="70">
        <v>6.0183204837974628E-3</v>
      </c>
      <c r="AG15" s="77">
        <v>0.96446371839995859</v>
      </c>
      <c r="AH15" s="170">
        <v>44442</v>
      </c>
      <c r="AI15" s="171">
        <v>6.0183204836731898E-3</v>
      </c>
      <c r="AJ15" s="173">
        <f t="shared" si="12"/>
        <v>1.242729877337645E-13</v>
      </c>
      <c r="AK15" s="80">
        <v>0.96446524329740202</v>
      </c>
      <c r="AL15" s="162">
        <f t="shared" si="4"/>
        <v>-1.524897443427875E-6</v>
      </c>
    </row>
    <row r="16" spans="1:41" ht="11.25" customHeight="1" x14ac:dyDescent="0.2">
      <c r="A16" s="59" t="s">
        <v>25</v>
      </c>
      <c r="B16" s="60" t="s">
        <v>49</v>
      </c>
      <c r="C16" s="61" t="s">
        <v>6</v>
      </c>
      <c r="D16" s="61" t="s">
        <v>8</v>
      </c>
      <c r="E16" s="61" t="s">
        <v>7</v>
      </c>
      <c r="F16" s="61" t="s">
        <v>125</v>
      </c>
      <c r="G16" s="61" t="str">
        <f t="shared" si="13"/>
        <v>Euribor6M</v>
      </c>
      <c r="H16" s="59" t="str">
        <f t="shared" si="14"/>
        <v>EURAB6E15M_LCHQuote</v>
      </c>
      <c r="I16" s="127">
        <v>0</v>
      </c>
      <c r="J16" s="64"/>
      <c r="K16" s="64"/>
      <c r="L16" s="48"/>
      <c r="M16" s="10" t="str">
        <f t="shared" si="9"/>
        <v>Sw</v>
      </c>
      <c r="N16" s="94" t="str">
        <f t="shared" si="10"/>
        <v>obj_00582#0005</v>
      </c>
      <c r="O16" s="94" t="str">
        <f t="shared" si="11"/>
        <v>obj_00618#0005</v>
      </c>
      <c r="P16" s="146" t="str">
        <f>IFERROR(_xll.qlRateHelperQuoteName(N16,Trigger),"--")</f>
        <v>EURAB6E3Y_LCHQuote</v>
      </c>
      <c r="Q16" s="98">
        <f>IFERROR(_xll.qlRateHelperQuoteValue($N16,Trigger),"--")</f>
        <v>1.8450000000000001E-3</v>
      </c>
      <c r="R16" s="141" t="b">
        <v>1</v>
      </c>
      <c r="S16" s="94">
        <v>10</v>
      </c>
      <c r="T16" s="94">
        <v>1</v>
      </c>
      <c r="U16" s="99">
        <f>IFERROR(_xll.qlRateHelperEarliestDate(N16,Trigger),"--")</f>
        <v>42250</v>
      </c>
      <c r="V16" s="99">
        <f>IFERROR(_xll.qlRateHelperPillarDate(N16,Trigger),"--")</f>
        <v>43346</v>
      </c>
      <c r="X16" s="4" t="str">
        <f t="shared" si="2"/>
        <v>Sw</v>
      </c>
      <c r="Y16" s="4" t="str">
        <v>obj_00587</v>
      </c>
      <c r="Z16" s="4" t="str">
        <v>obj_00587</v>
      </c>
      <c r="AA16" s="4" t="str">
        <f>IFERROR(_xll.qlRateHelperQuoteName(Y16,Trigger),"")</f>
        <v>EURAB6E7Y_LCHQuote</v>
      </c>
      <c r="AB16" s="70">
        <f>IFERROR(_xll.qlRateHelperRate(Y16,Trigger),"")</f>
        <v>7.4780000000000003E-3</v>
      </c>
      <c r="AC16" s="104">
        <f>IF(ISERROR(_xll.qlSwapRateHelperSpread($Y16)),IF(ISERROR(_xll.qlFuturesRateHelperConvexityAdjustment($Y16)),"",_xll.qlFuturesRateHelperConvexityAdjustment($Y16)),_xll.qlSwapRateHelperSpread($Y16))</f>
        <v>0</v>
      </c>
      <c r="AD16" s="5">
        <f>IFERROR(_xll.qlRateHelperEarliestDate(Y16,Trigger),"")</f>
        <v>42250</v>
      </c>
      <c r="AE16" s="5">
        <f>IFERROR(_xll.qlRateHelperPillarDate(Y16,Trigger),"")</f>
        <v>44809</v>
      </c>
      <c r="AF16" s="70">
        <v>7.496053316121333E-3</v>
      </c>
      <c r="AG16" s="77">
        <v>0.94875699084503062</v>
      </c>
      <c r="AH16" s="170">
        <v>44809</v>
      </c>
      <c r="AI16" s="171">
        <v>7.4960533159714902E-3</v>
      </c>
      <c r="AJ16" s="173">
        <f t="shared" si="12"/>
        <v>1.4984281176966263E-13</v>
      </c>
      <c r="AK16" s="80">
        <v>0.94875835050330803</v>
      </c>
      <c r="AL16" s="162">
        <f t="shared" si="4"/>
        <v>-1.3596582774111354E-6</v>
      </c>
    </row>
    <row r="17" spans="1:38" ht="11.25" customHeight="1" x14ac:dyDescent="0.2">
      <c r="A17" s="59" t="s">
        <v>25</v>
      </c>
      <c r="B17" s="60" t="s">
        <v>50</v>
      </c>
      <c r="C17" s="61" t="s">
        <v>6</v>
      </c>
      <c r="D17" s="61" t="s">
        <v>8</v>
      </c>
      <c r="E17" s="61" t="s">
        <v>7</v>
      </c>
      <c r="F17" s="61" t="s">
        <v>125</v>
      </c>
      <c r="G17" s="61" t="str">
        <f t="shared" si="13"/>
        <v>Euribor6M</v>
      </c>
      <c r="H17" s="59" t="str">
        <f t="shared" si="14"/>
        <v>EURAB6E18M_LCHQuote</v>
      </c>
      <c r="I17" s="127">
        <v>0</v>
      </c>
      <c r="J17" s="64"/>
      <c r="K17" s="64"/>
      <c r="L17" s="48"/>
      <c r="M17" s="10" t="str">
        <f t="shared" si="9"/>
        <v>Sw</v>
      </c>
      <c r="N17" s="94" t="str">
        <f t="shared" si="10"/>
        <v>obj_00586#0005</v>
      </c>
      <c r="O17" s="94" t="str">
        <f t="shared" si="11"/>
        <v>obj_00623#0005</v>
      </c>
      <c r="P17" s="146" t="str">
        <f>IFERROR(_xll.qlRateHelperQuoteName(N17,Trigger),"--")</f>
        <v>EURAB6E4Y_LCHQuote</v>
      </c>
      <c r="Q17" s="98">
        <f>IFERROR(_xll.qlRateHelperQuoteValue($N17,Trigger),"--")</f>
        <v>3.1212499999999999E-3</v>
      </c>
      <c r="R17" s="141" t="b">
        <v>1</v>
      </c>
      <c r="S17" s="94">
        <v>10</v>
      </c>
      <c r="T17" s="94">
        <v>1</v>
      </c>
      <c r="U17" s="99">
        <f>IFERROR(_xll.qlRateHelperEarliestDate(N17,Trigger),"--")</f>
        <v>42250</v>
      </c>
      <c r="V17" s="99">
        <f>IFERROR(_xll.qlRateHelperPillarDate(N17,Trigger),"--")</f>
        <v>43711</v>
      </c>
      <c r="X17" s="4" t="str">
        <f t="shared" si="2"/>
        <v>Sw</v>
      </c>
      <c r="Y17" s="4" t="str">
        <v>obj_00579</v>
      </c>
      <c r="Z17" s="4" t="str">
        <v>obj_00579</v>
      </c>
      <c r="AA17" s="4" t="str">
        <f>IFERROR(_xll.qlRateHelperQuoteName(Y17,Trigger),"")</f>
        <v>EURAB6E8Y_LCHQuote</v>
      </c>
      <c r="AB17" s="70">
        <f>IFERROR(_xll.qlRateHelperRate(Y17,Trigger),"")</f>
        <v>8.8542499999999993E-3</v>
      </c>
      <c r="AC17" s="104">
        <f>IF(ISERROR(_xll.qlSwapRateHelperSpread($Y17)),IF(ISERROR(_xll.qlFuturesRateHelperConvexityAdjustment($Y17)),"",_xll.qlFuturesRateHelperConvexityAdjustment($Y17)),_xll.qlSwapRateHelperSpread($Y17))</f>
        <v>0</v>
      </c>
      <c r="AD17" s="5">
        <f>IFERROR(_xll.qlRateHelperEarliestDate(Y17,Trigger),"")</f>
        <v>42250</v>
      </c>
      <c r="AE17" s="5">
        <f>IFERROR(_xll.qlRateHelperPillarDate(Y17,Trigger),"")</f>
        <v>45173</v>
      </c>
      <c r="AF17" s="70">
        <v>8.8997000524710292E-3</v>
      </c>
      <c r="AG17" s="77">
        <v>0.93115740808458092</v>
      </c>
      <c r="AH17" s="170">
        <v>45173</v>
      </c>
      <c r="AI17" s="171">
        <v>8.8997000522963304E-3</v>
      </c>
      <c r="AJ17" s="173">
        <f t="shared" si="12"/>
        <v>1.7469879709519631E-13</v>
      </c>
      <c r="AK17" s="80">
        <v>0.93115813190540497</v>
      </c>
      <c r="AL17" s="162">
        <f t="shared" si="4"/>
        <v>-7.2382082405564319E-7</v>
      </c>
    </row>
    <row r="18" spans="1:38" ht="11.25" customHeight="1" x14ac:dyDescent="0.2">
      <c r="A18" s="59" t="s">
        <v>25</v>
      </c>
      <c r="B18" s="60" t="s">
        <v>51</v>
      </c>
      <c r="C18" s="61" t="s">
        <v>6</v>
      </c>
      <c r="D18" s="61" t="s">
        <v>8</v>
      </c>
      <c r="E18" s="61" t="s">
        <v>7</v>
      </c>
      <c r="F18" s="61" t="s">
        <v>125</v>
      </c>
      <c r="G18" s="61" t="str">
        <f t="shared" si="13"/>
        <v>Euribor6M</v>
      </c>
      <c r="H18" s="59" t="str">
        <f t="shared" si="14"/>
        <v>EURAB6E21M_LCHQuote</v>
      </c>
      <c r="I18" s="127">
        <v>0</v>
      </c>
      <c r="J18" s="64"/>
      <c r="K18" s="64"/>
      <c r="L18" s="48"/>
      <c r="M18" s="10" t="str">
        <f t="shared" si="9"/>
        <v>Sw</v>
      </c>
      <c r="N18" s="94" t="str">
        <f t="shared" si="10"/>
        <v>obj_00580#0005</v>
      </c>
      <c r="O18" s="94" t="str">
        <f t="shared" si="11"/>
        <v>obj_0061e#0005</v>
      </c>
      <c r="P18" s="146" t="str">
        <f>IFERROR(_xll.qlRateHelperQuoteName(N18,Trigger),"--")</f>
        <v>EURAB6E5Y_LCHQuote</v>
      </c>
      <c r="Q18" s="98">
        <f>IFERROR(_xll.qlRateHelperQuoteValue($N18,Trigger),"--")</f>
        <v>4.5490000000000001E-3</v>
      </c>
      <c r="R18" s="141" t="b">
        <v>1</v>
      </c>
      <c r="S18" s="94">
        <v>10</v>
      </c>
      <c r="T18" s="94">
        <v>1</v>
      </c>
      <c r="U18" s="99">
        <f>IFERROR(_xll.qlRateHelperEarliestDate(N18,Trigger),"--")</f>
        <v>42250</v>
      </c>
      <c r="V18" s="99">
        <f>IFERROR(_xll.qlRateHelperPillarDate(N18,Trigger),"--")</f>
        <v>44077</v>
      </c>
      <c r="X18" s="4" t="str">
        <f t="shared" si="2"/>
        <v>Sw</v>
      </c>
      <c r="Y18" s="4" t="str">
        <v>obj_00583</v>
      </c>
      <c r="Z18" s="4" t="str">
        <v>obj_00583</v>
      </c>
      <c r="AA18" s="4" t="str">
        <f>IFERROR(_xll.qlRateHelperQuoteName(Y18,Trigger),"")</f>
        <v>EURAB6E9Y_LCHQuote</v>
      </c>
      <c r="AB18" s="70">
        <f>IFERROR(_xll.qlRateHelperRate(Y18,Trigger),"")</f>
        <v>1.0107E-2</v>
      </c>
      <c r="AC18" s="104">
        <f>IF(ISERROR(_xll.qlSwapRateHelperSpread($Y18)),IF(ISERROR(_xll.qlFuturesRateHelperConvexityAdjustment($Y18)),"",_xll.qlFuturesRateHelperConvexityAdjustment($Y18)),_xll.qlSwapRateHelperSpread($Y18))</f>
        <v>0</v>
      </c>
      <c r="AD18" s="5">
        <f>IFERROR(_xll.qlRateHelperEarliestDate(Y18,Trigger),"")</f>
        <v>42250</v>
      </c>
      <c r="AE18" s="5">
        <f>IFERROR(_xll.qlRateHelperPillarDate(Y18,Trigger),"")</f>
        <v>45538</v>
      </c>
      <c r="AF18" s="70">
        <v>1.0185526127384621E-2</v>
      </c>
      <c r="AG18" s="77">
        <v>0.91227629214920158</v>
      </c>
      <c r="AH18" s="170">
        <v>45538</v>
      </c>
      <c r="AI18" s="171">
        <v>1.01855261273415E-2</v>
      </c>
      <c r="AJ18" s="173">
        <f t="shared" si="12"/>
        <v>4.3120021442355494E-14</v>
      </c>
      <c r="AK18" s="80">
        <v>0.912275704623703</v>
      </c>
      <c r="AL18" s="162">
        <f t="shared" si="4"/>
        <v>5.8752549858542835E-7</v>
      </c>
    </row>
    <row r="19" spans="1:38" ht="11.25" customHeight="1" x14ac:dyDescent="0.2">
      <c r="A19" s="59" t="s">
        <v>25</v>
      </c>
      <c r="B19" s="60" t="s">
        <v>52</v>
      </c>
      <c r="C19" s="61" t="s">
        <v>6</v>
      </c>
      <c r="D19" s="61" t="s">
        <v>8</v>
      </c>
      <c r="E19" s="61" t="s">
        <v>7</v>
      </c>
      <c r="F19" s="61" t="s">
        <v>125</v>
      </c>
      <c r="G19" s="61" t="str">
        <f t="shared" si="13"/>
        <v>Euribor6M</v>
      </c>
      <c r="H19" s="59" t="str">
        <f t="shared" si="14"/>
        <v>EURAB6E2Y_LCHQuote</v>
      </c>
      <c r="I19" s="127">
        <v>0</v>
      </c>
      <c r="J19" s="64" t="str">
        <f>_xll.qlSwapRateHelper2(,$H19,2,$B19,Calendar,$D19,$E19,$F19,$G19,$I19,$C19,Discounting1,PillarDate,,Permanent,Trigger,ObjectOverwrite)</f>
        <v>obj_00585#0005</v>
      </c>
      <c r="K19" s="64" t="str">
        <f>_xll.qlSwapRateHelper2(,$H19,2,$B19,Calendar,$D19,$E19,$F19,$G19,$I19,$C19,Discounting2,PillarDate,,Permanent,Trigger,ObjectOverwrite)</f>
        <v>obj_00610#0005</v>
      </c>
      <c r="L19" s="48"/>
      <c r="M19" s="10" t="str">
        <f t="shared" si="9"/>
        <v>Sw</v>
      </c>
      <c r="N19" s="94" t="str">
        <f t="shared" si="10"/>
        <v>obj_00578#0005</v>
      </c>
      <c r="O19" s="94" t="str">
        <f t="shared" si="11"/>
        <v>obj_0060c#0005</v>
      </c>
      <c r="P19" s="146" t="str">
        <f>IFERROR(_xll.qlRateHelperQuoteName(N19,Trigger),"--")</f>
        <v>EURAB6E6Y_LCHQuote</v>
      </c>
      <c r="Q19" s="98">
        <f>IFERROR(_xll.qlRateHelperQuoteValue($N19,Trigger),"--")</f>
        <v>6.0192500000000003E-3</v>
      </c>
      <c r="R19" s="141" t="b">
        <v>1</v>
      </c>
      <c r="S19" s="94">
        <v>10</v>
      </c>
      <c r="T19" s="94">
        <v>1</v>
      </c>
      <c r="U19" s="99">
        <f>IFERROR(_xll.qlRateHelperEarliestDate(N19,Trigger),"--")</f>
        <v>42250</v>
      </c>
      <c r="V19" s="99">
        <f>IFERROR(_xll.qlRateHelperPillarDate(N19,Trigger),"--")</f>
        <v>44442</v>
      </c>
      <c r="X19" s="4" t="str">
        <f t="shared" si="2"/>
        <v>Sw</v>
      </c>
      <c r="Y19" s="4" t="str">
        <v>obj_0057a</v>
      </c>
      <c r="Z19" s="4" t="str">
        <v>obj_0057a</v>
      </c>
      <c r="AA19" s="4" t="str">
        <f>IFERROR(_xll.qlRateHelperQuoteName(Y19,Trigger),"")</f>
        <v>EURAB6E10Y_LCHQuote</v>
      </c>
      <c r="AB19" s="70">
        <f>IFERROR(_xll.qlRateHelperRate(Y19,Trigger),"")</f>
        <v>1.1193E-2</v>
      </c>
      <c r="AC19" s="104">
        <f>IF(ISERROR(_xll.qlSwapRateHelperSpread($Y19)),IF(ISERROR(_xll.qlFuturesRateHelperConvexityAdjustment($Y19)),"",_xll.qlFuturesRateHelperConvexityAdjustment($Y19)),_xll.qlSwapRateHelperSpread($Y19))</f>
        <v>0</v>
      </c>
      <c r="AD19" s="5">
        <f>IFERROR(_xll.qlRateHelperEarliestDate(Y19,Trigger),"")</f>
        <v>42250</v>
      </c>
      <c r="AE19" s="5">
        <f>IFERROR(_xll.qlRateHelperPillarDate(Y19,Trigger),"")</f>
        <v>45903</v>
      </c>
      <c r="AF19" s="70">
        <v>1.1311343675949135E-2</v>
      </c>
      <c r="AG19" s="77">
        <v>0.89290982124220153</v>
      </c>
      <c r="AH19" s="170">
        <v>45903</v>
      </c>
      <c r="AI19" s="171">
        <v>1.1311343675751101E-2</v>
      </c>
      <c r="AJ19" s="173">
        <f t="shared" si="12"/>
        <v>1.9803429729403632E-13</v>
      </c>
      <c r="AK19" s="80">
        <v>0.892907479837734</v>
      </c>
      <c r="AL19" s="162">
        <f t="shared" si="4"/>
        <v>2.341404467531838E-6</v>
      </c>
    </row>
    <row r="20" spans="1:38" ht="11.25" customHeight="1" x14ac:dyDescent="0.2">
      <c r="A20" s="59" t="s">
        <v>25</v>
      </c>
      <c r="B20" s="60" t="s">
        <v>53</v>
      </c>
      <c r="C20" s="61" t="s">
        <v>6</v>
      </c>
      <c r="D20" s="61" t="s">
        <v>8</v>
      </c>
      <c r="E20" s="61" t="s">
        <v>7</v>
      </c>
      <c r="F20" s="61" t="s">
        <v>125</v>
      </c>
      <c r="G20" s="61" t="str">
        <f t="shared" si="13"/>
        <v>Euribor6M</v>
      </c>
      <c r="H20" s="59" t="str">
        <f t="shared" si="14"/>
        <v>EURAB6E3Y_LCHQuote</v>
      </c>
      <c r="I20" s="127">
        <v>0</v>
      </c>
      <c r="J20" s="64" t="str">
        <f>_xll.qlSwapRateHelper2(,$H20,2,$B20,Calendar,$D20,$E20,$F20,$G20,$I20,$C20,Discounting1,PillarDate,,Permanent,Trigger,ObjectOverwrite)</f>
        <v>obj_00582#0005</v>
      </c>
      <c r="K20" s="64" t="str">
        <f>_xll.qlSwapRateHelper2(,$H20,2,$B20,Calendar,$D20,$E20,$F20,$G20,$I20,$C20,Discounting2,PillarDate,,Permanent,Trigger,ObjectOverwrite)</f>
        <v>obj_00618#0005</v>
      </c>
      <c r="L20" s="48"/>
      <c r="M20" s="10" t="str">
        <f t="shared" si="9"/>
        <v>Sw</v>
      </c>
      <c r="N20" s="94" t="str">
        <f t="shared" si="10"/>
        <v>obj_00587#0005</v>
      </c>
      <c r="O20" s="94" t="str">
        <f t="shared" si="11"/>
        <v>obj_00619#0005</v>
      </c>
      <c r="P20" s="146" t="str">
        <f>IFERROR(_xll.qlRateHelperQuoteName(N20,Trigger),"--")</f>
        <v>EURAB6E7Y_LCHQuote</v>
      </c>
      <c r="Q20" s="98">
        <f>IFERROR(_xll.qlRateHelperQuoteValue($N20,Trigger),"--")</f>
        <v>7.4780000000000003E-3</v>
      </c>
      <c r="R20" s="141" t="b">
        <v>1</v>
      </c>
      <c r="S20" s="94">
        <v>10</v>
      </c>
      <c r="T20" s="94">
        <v>1</v>
      </c>
      <c r="U20" s="99">
        <f>IFERROR(_xll.qlRateHelperEarliestDate(N20,Trigger),"--")</f>
        <v>42250</v>
      </c>
      <c r="V20" s="99">
        <f>IFERROR(_xll.qlRateHelperPillarDate(N20,Trigger),"--")</f>
        <v>44809</v>
      </c>
      <c r="X20" s="4" t="str">
        <f t="shared" si="2"/>
        <v>Sw</v>
      </c>
      <c r="Y20" s="4" t="str">
        <v>obj_0057b</v>
      </c>
      <c r="Z20" s="4" t="str">
        <v>obj_0057b</v>
      </c>
      <c r="AA20" s="4" t="str">
        <f>IFERROR(_xll.qlRateHelperQuoteName(Y20,Trigger),"")</f>
        <v>EURAB6E12Y_LCHQuote</v>
      </c>
      <c r="AB20" s="70">
        <f>IFERROR(_xll.qlRateHelperRate(Y20,Trigger),"")</f>
        <v>1.29455E-2</v>
      </c>
      <c r="AC20" s="104">
        <f>IF(ISERROR(_xll.qlSwapRateHelperSpread($Y20)),IF(ISERROR(_xll.qlFuturesRateHelperConvexityAdjustment($Y20)),"",_xll.qlFuturesRateHelperConvexityAdjustment($Y20)),_xll.qlSwapRateHelperSpread($Y20))</f>
        <v>0</v>
      </c>
      <c r="AD20" s="5">
        <f>IFERROR(_xll.qlRateHelperEarliestDate(Y20,Trigger),"")</f>
        <v>42250</v>
      </c>
      <c r="AE20" s="5">
        <f>IFERROR(_xll.qlRateHelperPillarDate(Y20,Trigger),"")</f>
        <v>46633</v>
      </c>
      <c r="AF20" s="70">
        <v>1.3148397921726148E-2</v>
      </c>
      <c r="AG20" s="77">
        <v>0.85389805350333514</v>
      </c>
      <c r="AH20" s="170">
        <v>46633</v>
      </c>
      <c r="AI20" s="171">
        <v>1.31483979216017E-2</v>
      </c>
      <c r="AJ20" s="173">
        <f t="shared" si="12"/>
        <v>1.2444732744310016E-13</v>
      </c>
      <c r="AK20" s="80">
        <v>0.85388676864364299</v>
      </c>
      <c r="AL20" s="162">
        <f t="shared" si="4"/>
        <v>1.1284859692151095E-5</v>
      </c>
    </row>
    <row r="21" spans="1:38" ht="11.25" customHeight="1" x14ac:dyDescent="0.2">
      <c r="A21" s="59" t="s">
        <v>25</v>
      </c>
      <c r="B21" s="60" t="s">
        <v>54</v>
      </c>
      <c r="C21" s="61" t="s">
        <v>6</v>
      </c>
      <c r="D21" s="61" t="s">
        <v>8</v>
      </c>
      <c r="E21" s="61" t="s">
        <v>7</v>
      </c>
      <c r="F21" s="61" t="s">
        <v>125</v>
      </c>
      <c r="G21" s="61" t="str">
        <f t="shared" si="13"/>
        <v>Euribor6M</v>
      </c>
      <c r="H21" s="59" t="str">
        <f t="shared" si="14"/>
        <v>EURAB6E4Y_LCHQuote</v>
      </c>
      <c r="I21" s="127">
        <v>0</v>
      </c>
      <c r="J21" s="64" t="str">
        <f>_xll.qlSwapRateHelper2(,$H21,2,$B21,Calendar,$D21,$E21,$F21,$G21,$I21,$C21,Discounting1,PillarDate,,Permanent,Trigger,ObjectOverwrite)</f>
        <v>obj_00586#0005</v>
      </c>
      <c r="K21" s="64" t="str">
        <f>_xll.qlSwapRateHelper2(,$H21,2,$B21,Calendar,$D21,$E21,$F21,$G21,$I21,$C21,Discounting2,PillarDate,,Permanent,Trigger,ObjectOverwrite)</f>
        <v>obj_00623#0005</v>
      </c>
      <c r="L21" s="48"/>
      <c r="M21" s="10" t="str">
        <f t="shared" si="9"/>
        <v>Sw</v>
      </c>
      <c r="N21" s="94" t="str">
        <f t="shared" si="10"/>
        <v>obj_00579#0005</v>
      </c>
      <c r="O21" s="94" t="str">
        <f t="shared" si="11"/>
        <v>obj_00613#0005</v>
      </c>
      <c r="P21" s="146" t="str">
        <f>IFERROR(_xll.qlRateHelperQuoteName(N21,Trigger),"--")</f>
        <v>EURAB6E8Y_LCHQuote</v>
      </c>
      <c r="Q21" s="98">
        <f>IFERROR(_xll.qlRateHelperQuoteValue($N21,Trigger),"--")</f>
        <v>8.8542499999999993E-3</v>
      </c>
      <c r="R21" s="141" t="b">
        <v>1</v>
      </c>
      <c r="S21" s="94">
        <v>10</v>
      </c>
      <c r="T21" s="94">
        <v>1</v>
      </c>
      <c r="U21" s="99">
        <f>IFERROR(_xll.qlRateHelperEarliestDate(N21,Trigger),"--")</f>
        <v>42250</v>
      </c>
      <c r="V21" s="99">
        <f>IFERROR(_xll.qlRateHelperPillarDate(N21,Trigger),"--")</f>
        <v>45173</v>
      </c>
      <c r="X21" s="4" t="str">
        <f t="shared" si="2"/>
        <v>Sw</v>
      </c>
      <c r="Y21" s="4" t="str">
        <v>obj_00581</v>
      </c>
      <c r="Z21" s="4" t="str">
        <v>obj_00581</v>
      </c>
      <c r="AA21" s="4" t="str">
        <f>IFERROR(_xll.qlRateHelperQuoteName(Y21,Trigger),"")</f>
        <v>EURAB6E15Y_LCHQuote</v>
      </c>
      <c r="AB21" s="70">
        <f>IFERROR(_xll.qlRateHelperRate(Y21,Trigger),"")</f>
        <v>1.4725500000000001E-2</v>
      </c>
      <c r="AC21" s="104">
        <f>IF(ISERROR(_xll.qlSwapRateHelperSpread($Y21)),IF(ISERROR(_xll.qlFuturesRateHelperConvexityAdjustment($Y21)),"",_xll.qlFuturesRateHelperConvexityAdjustment($Y21)),_xll.qlSwapRateHelperSpread($Y21))</f>
        <v>0</v>
      </c>
      <c r="AD21" s="5">
        <f>IFERROR(_xll.qlRateHelperEarliestDate(Y21,Trigger),"")</f>
        <v>42250</v>
      </c>
      <c r="AE21" s="5">
        <f>IFERROR(_xll.qlRateHelperPillarDate(Y21,Trigger),"")</f>
        <v>47729</v>
      </c>
      <c r="AF21" s="70">
        <v>1.5040220004346556E-2</v>
      </c>
      <c r="AG21" s="77">
        <v>0.79791259239448697</v>
      </c>
      <c r="AH21" s="170">
        <v>47729</v>
      </c>
      <c r="AI21" s="171">
        <v>1.5040220004364E-2</v>
      </c>
      <c r="AJ21" s="173">
        <f t="shared" si="12"/>
        <v>-1.7444379274422772E-14</v>
      </c>
      <c r="AK21" s="80">
        <v>0.79788071122957005</v>
      </c>
      <c r="AL21" s="162">
        <f t="shared" si="4"/>
        <v>3.1881164916924831E-5</v>
      </c>
    </row>
    <row r="22" spans="1:38" ht="11.25" customHeight="1" x14ac:dyDescent="0.2">
      <c r="A22" s="59" t="s">
        <v>25</v>
      </c>
      <c r="B22" s="60" t="s">
        <v>55</v>
      </c>
      <c r="C22" s="61" t="s">
        <v>6</v>
      </c>
      <c r="D22" s="61" t="s">
        <v>8</v>
      </c>
      <c r="E22" s="61" t="s">
        <v>7</v>
      </c>
      <c r="F22" s="61" t="s">
        <v>125</v>
      </c>
      <c r="G22" s="61" t="str">
        <f t="shared" si="13"/>
        <v>Euribor6M</v>
      </c>
      <c r="H22" s="59" t="str">
        <f t="shared" si="14"/>
        <v>EURAB6E5Y_LCHQuote</v>
      </c>
      <c r="I22" s="127">
        <v>0</v>
      </c>
      <c r="J22" s="64" t="str">
        <f>_xll.qlSwapRateHelper2(,$H22,2,$B22,Calendar,$D22,$E22,$F22,$G22,$I22,$C22,Discounting1,PillarDate,,Permanent,Trigger,ObjectOverwrite)</f>
        <v>obj_00580#0005</v>
      </c>
      <c r="K22" s="64" t="str">
        <f>_xll.qlSwapRateHelper2(,$H22,2,$B22,Calendar,$D22,$E22,$F22,$G22,$I22,$C22,Discounting2,PillarDate,,Permanent,Trigger,ObjectOverwrite)</f>
        <v>obj_0061e#0005</v>
      </c>
      <c r="L22" s="48"/>
      <c r="M22" s="10" t="str">
        <f t="shared" si="9"/>
        <v>Sw</v>
      </c>
      <c r="N22" s="94" t="str">
        <f t="shared" si="10"/>
        <v>obj_00583#0005</v>
      </c>
      <c r="O22" s="94" t="str">
        <f t="shared" si="11"/>
        <v>obj_00604#0005</v>
      </c>
      <c r="P22" s="146" t="str">
        <f>IFERROR(_xll.qlRateHelperQuoteName(N22,Trigger),"--")</f>
        <v>EURAB6E9Y_LCHQuote</v>
      </c>
      <c r="Q22" s="98">
        <f>IFERROR(_xll.qlRateHelperQuoteValue($N22,Trigger),"--")</f>
        <v>1.0107E-2</v>
      </c>
      <c r="R22" s="141" t="b">
        <v>1</v>
      </c>
      <c r="S22" s="94">
        <v>10</v>
      </c>
      <c r="T22" s="94">
        <v>1</v>
      </c>
      <c r="U22" s="99">
        <f>IFERROR(_xll.qlRateHelperEarliestDate(N22,Trigger),"--")</f>
        <v>42250</v>
      </c>
      <c r="V22" s="99">
        <f>IFERROR(_xll.qlRateHelperPillarDate(N22,Trigger),"--")</f>
        <v>45538</v>
      </c>
      <c r="X22" s="4" t="str">
        <f t="shared" si="2"/>
        <v>Sw</v>
      </c>
      <c r="Y22" s="4" t="str">
        <v>obj_00588</v>
      </c>
      <c r="Z22" s="4" t="str">
        <v>obj_00588</v>
      </c>
      <c r="AA22" s="4" t="str">
        <f>IFERROR(_xll.qlRateHelperQuoteName(Y22,Trigger),"")</f>
        <v>EURAB6E20Y_LCHQuote</v>
      </c>
      <c r="AB22" s="70">
        <f>IFERROR(_xll.qlRateHelperRate(Y22,Trigger),"")</f>
        <v>1.6125500000000001E-2</v>
      </c>
      <c r="AC22" s="104">
        <f>IF(ISERROR(_xll.qlSwapRateHelperSpread($Y22)),IF(ISERROR(_xll.qlFuturesRateHelperConvexityAdjustment($Y22)),"",_xll.qlFuturesRateHelperConvexityAdjustment($Y22)),_xll.qlSwapRateHelperSpread($Y22))</f>
        <v>0</v>
      </c>
      <c r="AD22" s="5">
        <f>IFERROR(_xll.qlRateHelperEarliestDate(Y22,Trigger),"")</f>
        <v>42250</v>
      </c>
      <c r="AE22" s="5">
        <f>IFERROR(_xll.qlRateHelperPillarDate(Y22,Trigger),"")</f>
        <v>49555</v>
      </c>
      <c r="AF22" s="70">
        <v>1.6530995676454566E-2</v>
      </c>
      <c r="AG22" s="77">
        <v>0.71851570513987628</v>
      </c>
      <c r="AH22" s="170">
        <v>49555</v>
      </c>
      <c r="AI22" s="171">
        <v>1.6530995676220499E-2</v>
      </c>
      <c r="AJ22" s="173">
        <f t="shared" si="12"/>
        <v>2.3406623861355058E-13</v>
      </c>
      <c r="AK22" s="80">
        <v>0.71844036231389996</v>
      </c>
      <c r="AL22" s="162">
        <f t="shared" si="4"/>
        <v>7.5342825976321137E-5</v>
      </c>
    </row>
    <row r="23" spans="1:38" ht="11.25" customHeight="1" x14ac:dyDescent="0.2">
      <c r="A23" s="59" t="s">
        <v>25</v>
      </c>
      <c r="B23" s="60" t="s">
        <v>56</v>
      </c>
      <c r="C23" s="61" t="s">
        <v>6</v>
      </c>
      <c r="D23" s="61" t="s">
        <v>8</v>
      </c>
      <c r="E23" s="61" t="s">
        <v>7</v>
      </c>
      <c r="F23" s="61" t="s">
        <v>125</v>
      </c>
      <c r="G23" s="61" t="str">
        <f t="shared" si="13"/>
        <v>Euribor6M</v>
      </c>
      <c r="H23" s="59" t="str">
        <f t="shared" si="14"/>
        <v>EURAB6E6Y_LCHQuote</v>
      </c>
      <c r="I23" s="127">
        <v>0</v>
      </c>
      <c r="J23" s="64" t="str">
        <f>_xll.qlSwapRateHelper2(,$H23,2,$B23,Calendar,$D23,$E23,$F23,$G23,$I23,$C23,Discounting1,PillarDate,,Permanent,Trigger,ObjectOverwrite)</f>
        <v>obj_00578#0005</v>
      </c>
      <c r="K23" s="64" t="str">
        <f>_xll.qlSwapRateHelper2(,$H23,2,$B23,Calendar,$D23,$E23,$F23,$G23,$I23,$C23,Discounting2,PillarDate,,Permanent,Trigger,ObjectOverwrite)</f>
        <v>obj_0060c#0005</v>
      </c>
      <c r="L23" s="48"/>
      <c r="M23" s="10" t="str">
        <f t="shared" si="9"/>
        <v>Sw</v>
      </c>
      <c r="N23" s="94" t="str">
        <f t="shared" si="10"/>
        <v>obj_0057a#0005</v>
      </c>
      <c r="O23" s="94" t="str">
        <f t="shared" si="11"/>
        <v>obj_0060d#0005</v>
      </c>
      <c r="P23" s="146" t="str">
        <f>IFERROR(_xll.qlRateHelperQuoteName(N23,Trigger),"--")</f>
        <v>EURAB6E10Y_LCHQuote</v>
      </c>
      <c r="Q23" s="98">
        <f>IFERROR(_xll.qlRateHelperQuoteValue($N23,Trigger),"--")</f>
        <v>1.1193E-2</v>
      </c>
      <c r="R23" s="141" t="b">
        <v>1</v>
      </c>
      <c r="S23" s="94">
        <v>10</v>
      </c>
      <c r="T23" s="94">
        <v>1</v>
      </c>
      <c r="U23" s="99">
        <f>IFERROR(_xll.qlRateHelperEarliestDate(N23,Trigger),"--")</f>
        <v>42250</v>
      </c>
      <c r="V23" s="99">
        <f>IFERROR(_xll.qlRateHelperPillarDate(N23,Trigger),"--")</f>
        <v>45903</v>
      </c>
      <c r="X23" s="4" t="str">
        <f t="shared" si="2"/>
        <v>Sw</v>
      </c>
      <c r="Y23" s="4" t="str">
        <v>obj_0057e</v>
      </c>
      <c r="Z23" s="4" t="str">
        <v>obj_0057e</v>
      </c>
      <c r="AA23" s="4" t="str">
        <f>IFERROR(_xll.qlRateHelperQuoteName(Y23,Trigger),"")</f>
        <v>EURAB6E25Y_LCHQuote</v>
      </c>
      <c r="AB23" s="70">
        <f>IFERROR(_xll.qlRateHelperRate(Y23,Trigger),"")</f>
        <v>1.6433E-2</v>
      </c>
      <c r="AC23" s="104">
        <f>IF(ISERROR(_xll.qlSwapRateHelperSpread($Y23)),IF(ISERROR(_xll.qlFuturesRateHelperConvexityAdjustment($Y23)),"",_xll.qlFuturesRateHelperConvexityAdjustment($Y23)),_xll.qlSwapRateHelperSpread($Y23))</f>
        <v>0</v>
      </c>
      <c r="AD23" s="5">
        <f>IFERROR(_xll.qlRateHelperEarliestDate(Y23,Trigger),"")</f>
        <v>42250</v>
      </c>
      <c r="AE23" s="5">
        <f>IFERROR(_xll.qlRateHelperPillarDate(Y23,Trigger),"")</f>
        <v>51382</v>
      </c>
      <c r="AF23" s="70">
        <v>1.6789787480744313E-2</v>
      </c>
      <c r="AG23" s="77">
        <v>0.65726039347358634</v>
      </c>
      <c r="AH23" s="170">
        <v>51382</v>
      </c>
      <c r="AI23" s="171">
        <v>1.67897874807151E-2</v>
      </c>
      <c r="AJ23" s="173">
        <f t="shared" si="12"/>
        <v>2.9212743335449431E-14</v>
      </c>
      <c r="AK23" s="80">
        <v>0.657187384509894</v>
      </c>
      <c r="AL23" s="162">
        <f t="shared" si="4"/>
        <v>7.3008963692333673E-5</v>
      </c>
    </row>
    <row r="24" spans="1:38" ht="11.25" customHeight="1" x14ac:dyDescent="0.2">
      <c r="A24" s="59" t="s">
        <v>25</v>
      </c>
      <c r="B24" s="60" t="s">
        <v>57</v>
      </c>
      <c r="C24" s="61" t="s">
        <v>6</v>
      </c>
      <c r="D24" s="61" t="s">
        <v>8</v>
      </c>
      <c r="E24" s="61" t="s">
        <v>7</v>
      </c>
      <c r="F24" s="61" t="s">
        <v>125</v>
      </c>
      <c r="G24" s="61" t="str">
        <f t="shared" si="13"/>
        <v>Euribor6M</v>
      </c>
      <c r="H24" s="59" t="str">
        <f t="shared" si="14"/>
        <v>EURAB6E7Y_LCHQuote</v>
      </c>
      <c r="I24" s="127">
        <v>0</v>
      </c>
      <c r="J24" s="64" t="str">
        <f>_xll.qlSwapRateHelper2(,$H24,2,$B24,Calendar,$D24,$E24,$F24,$G24,$I24,$C24,Discounting1,PillarDate,,Permanent,Trigger,ObjectOverwrite)</f>
        <v>obj_00587#0005</v>
      </c>
      <c r="K24" s="64" t="str">
        <f>_xll.qlSwapRateHelper2(,$H24,2,$B24,Calendar,$D24,$E24,$F24,$G24,$I24,$C24,Discounting2,PillarDate,,Permanent,Trigger,ObjectOverwrite)</f>
        <v>obj_00619#0005</v>
      </c>
      <c r="L24" s="48"/>
      <c r="M24" s="10" t="str">
        <f t="shared" si="9"/>
        <v>Sw</v>
      </c>
      <c r="N24" s="94" t="e">
        <f t="shared" si="10"/>
        <v>#NUM!</v>
      </c>
      <c r="O24" s="94" t="str">
        <f t="shared" si="11"/>
        <v>--</v>
      </c>
      <c r="P24" s="146" t="str">
        <f>IFERROR(_xll.qlRateHelperQuoteName(N24,Trigger),"--")</f>
        <v>--</v>
      </c>
      <c r="Q24" s="98" t="str">
        <f>IFERROR(_xll.qlRateHelperQuoteValue($N24,Trigger),"--")</f>
        <v>--</v>
      </c>
      <c r="R24" s="141" t="b">
        <v>0</v>
      </c>
      <c r="S24" s="94">
        <v>10</v>
      </c>
      <c r="T24" s="94">
        <v>1</v>
      </c>
      <c r="U24" s="99" t="str">
        <f>IFERROR(_xll.qlRateHelperEarliestDate(N24,Trigger),"--")</f>
        <v>--</v>
      </c>
      <c r="V24" s="99" t="str">
        <f>IFERROR(_xll.qlRateHelperPillarDate(N24,Trigger),"--")</f>
        <v>--</v>
      </c>
      <c r="X24" s="4" t="str">
        <f t="shared" si="2"/>
        <v>Sw</v>
      </c>
      <c r="Y24" s="4" t="str">
        <v>obj_0057f</v>
      </c>
      <c r="Z24" s="4" t="str">
        <v>obj_0057f</v>
      </c>
      <c r="AA24" s="4" t="str">
        <f>IFERROR(_xll.qlRateHelperQuoteName(Y24,Trigger),"")</f>
        <v>EURAB6E30Y_LCHQuote</v>
      </c>
      <c r="AB24" s="70">
        <f>IFERROR(_xll.qlRateHelperRate(Y24,Trigger),"")</f>
        <v>1.6500500000000001E-2</v>
      </c>
      <c r="AC24" s="104">
        <f>IF(ISERROR(_xll.qlSwapRateHelperSpread($Y24)),IF(ISERROR(_xll.qlFuturesRateHelperConvexityAdjustment($Y24)),"",_xll.qlFuturesRateHelperConvexityAdjustment($Y24)),_xll.qlSwapRateHelperSpread($Y24))</f>
        <v>0</v>
      </c>
      <c r="AD24" s="5">
        <f>IFERROR(_xll.qlRateHelperEarliestDate(Y24,Trigger),"")</f>
        <v>42250</v>
      </c>
      <c r="AE24" s="5">
        <f>IFERROR(_xll.qlRateHelperPillarDate(Y24,Trigger),"")</f>
        <v>53209</v>
      </c>
      <c r="AF24" s="70">
        <v>1.6791044991221856E-2</v>
      </c>
      <c r="AG24" s="77">
        <v>0.60425358162947151</v>
      </c>
      <c r="AH24" s="170">
        <v>53209</v>
      </c>
      <c r="AI24" s="171">
        <v>1.6791044990530399E-2</v>
      </c>
      <c r="AJ24" s="173">
        <f t="shared" si="12"/>
        <v>6.9145730807740335E-13</v>
      </c>
      <c r="AK24" s="80">
        <v>0.60418773197378695</v>
      </c>
      <c r="AL24" s="162">
        <f t="shared" si="4"/>
        <v>6.5849655684568908E-5</v>
      </c>
    </row>
    <row r="25" spans="1:38" ht="11.25" customHeight="1" x14ac:dyDescent="0.2">
      <c r="A25" s="59" t="s">
        <v>25</v>
      </c>
      <c r="B25" s="60" t="s">
        <v>58</v>
      </c>
      <c r="C25" s="61" t="s">
        <v>6</v>
      </c>
      <c r="D25" s="61" t="s">
        <v>8</v>
      </c>
      <c r="E25" s="61" t="s">
        <v>7</v>
      </c>
      <c r="F25" s="61" t="s">
        <v>125</v>
      </c>
      <c r="G25" s="61" t="str">
        <f t="shared" si="13"/>
        <v>Euribor6M</v>
      </c>
      <c r="H25" s="59" t="str">
        <f t="shared" si="14"/>
        <v>EURAB6E8Y_LCHQuote</v>
      </c>
      <c r="I25" s="127">
        <v>0</v>
      </c>
      <c r="J25" s="64" t="str">
        <f>_xll.qlSwapRateHelper2(,$H25,2,$B25,Calendar,$D25,$E25,$F25,$G25,$I25,$C25,Discounting1,PillarDate,,Permanent,Trigger,ObjectOverwrite)</f>
        <v>obj_00579#0005</v>
      </c>
      <c r="K25" s="64" t="str">
        <f>_xll.qlSwapRateHelper2(,$H25,2,$B25,Calendar,$D25,$E25,$F25,$G25,$I25,$C25,Discounting2,PillarDate,,Permanent,Trigger,ObjectOverwrite)</f>
        <v>obj_00613#0005</v>
      </c>
      <c r="L25" s="48"/>
      <c r="M25" s="10" t="str">
        <f t="shared" si="9"/>
        <v>Sw</v>
      </c>
      <c r="N25" s="94" t="str">
        <f t="shared" si="10"/>
        <v>obj_0057b#0005</v>
      </c>
      <c r="O25" s="94" t="str">
        <f t="shared" si="11"/>
        <v>obj_00606#0005</v>
      </c>
      <c r="P25" s="146" t="str">
        <f>IFERROR(_xll.qlRateHelperQuoteName(N25,Trigger),"--")</f>
        <v>EURAB6E12Y_LCHQuote</v>
      </c>
      <c r="Q25" s="98">
        <f>IFERROR(_xll.qlRateHelperQuoteValue($N25,Trigger),"--")</f>
        <v>1.29455E-2</v>
      </c>
      <c r="R25" s="141" t="b">
        <v>1</v>
      </c>
      <c r="S25" s="94">
        <v>10</v>
      </c>
      <c r="T25" s="94">
        <v>1</v>
      </c>
      <c r="U25" s="99">
        <f>IFERROR(_xll.qlRateHelperEarliestDate(N25,Trigger),"--")</f>
        <v>42250</v>
      </c>
      <c r="V25" s="99">
        <f>IFERROR(_xll.qlRateHelperPillarDate(N25,Trigger),"--")</f>
        <v>46633</v>
      </c>
      <c r="X25" s="4" t="str">
        <f t="shared" si="2"/>
        <v>Sw</v>
      </c>
      <c r="Y25" s="4" t="str">
        <v>obj_0057d</v>
      </c>
      <c r="Z25" s="4" t="str">
        <v>obj_0057d</v>
      </c>
      <c r="AA25" s="4" t="str">
        <f>IFERROR(_xll.qlRateHelperQuoteName(Y25,Trigger),"")</f>
        <v>EURAB6E40Y_LCHQuote</v>
      </c>
      <c r="AB25" s="70">
        <f>IFERROR(_xll.qlRateHelperRate(Y25,Trigger),"")</f>
        <v>1.6621E-2</v>
      </c>
      <c r="AC25" s="104">
        <f>IF(ISERROR(_xll.qlSwapRateHelperSpread($Y25)),IF(ISERROR(_xll.qlFuturesRateHelperConvexityAdjustment($Y25)),"",_xll.qlFuturesRateHelperConvexityAdjustment($Y25)),_xll.qlSwapRateHelperSpread($Y25))</f>
        <v>0</v>
      </c>
      <c r="AD25" s="5">
        <f>IFERROR(_xll.qlRateHelperEarliestDate(Y25,Trigger),"")</f>
        <v>42250</v>
      </c>
      <c r="AE25" s="5">
        <f>IFERROR(_xll.qlRateHelperPillarDate(Y25,Trigger),"")</f>
        <v>56860</v>
      </c>
      <c r="AF25" s="70">
        <v>1.6840616413351168E-2</v>
      </c>
      <c r="AG25" s="77">
        <v>0.50994391295609287</v>
      </c>
      <c r="AH25" s="170">
        <v>56860</v>
      </c>
      <c r="AI25" s="171">
        <v>1.68406164130794E-2</v>
      </c>
      <c r="AJ25" s="173">
        <f t="shared" si="12"/>
        <v>2.7176871864043051E-13</v>
      </c>
      <c r="AK25" s="80">
        <v>0.50988506683717105</v>
      </c>
      <c r="AL25" s="162">
        <f t="shared" si="4"/>
        <v>5.8846118921818125E-5</v>
      </c>
    </row>
    <row r="26" spans="1:38" ht="11.25" customHeight="1" x14ac:dyDescent="0.2">
      <c r="A26" s="59" t="s">
        <v>25</v>
      </c>
      <c r="B26" s="60" t="s">
        <v>59</v>
      </c>
      <c r="C26" s="61" t="s">
        <v>6</v>
      </c>
      <c r="D26" s="61" t="s">
        <v>8</v>
      </c>
      <c r="E26" s="61" t="s">
        <v>7</v>
      </c>
      <c r="F26" s="61" t="s">
        <v>125</v>
      </c>
      <c r="G26" s="61" t="str">
        <f t="shared" si="13"/>
        <v>Euribor6M</v>
      </c>
      <c r="H26" s="59" t="str">
        <f t="shared" si="14"/>
        <v>EURAB6E9Y_LCHQuote</v>
      </c>
      <c r="I26" s="127">
        <v>0</v>
      </c>
      <c r="J26" s="64" t="str">
        <f>_xll.qlSwapRateHelper2(,$H26,2,$B26,Calendar,$D26,$E26,$F26,$G26,$I26,$C26,Discounting1,PillarDate,,Permanent,Trigger,ObjectOverwrite)</f>
        <v>obj_00583#0005</v>
      </c>
      <c r="K26" s="64" t="str">
        <f>_xll.qlSwapRateHelper2(,$H26,2,$B26,Calendar,$D26,$E26,$F26,$G26,$I26,$C26,Discounting2,PillarDate,,Permanent,Trigger,ObjectOverwrite)</f>
        <v>obj_00604#0005</v>
      </c>
      <c r="L26" s="48"/>
      <c r="M26" s="10" t="str">
        <f t="shared" si="9"/>
        <v>Sw</v>
      </c>
      <c r="N26" s="94" t="e">
        <f t="shared" si="10"/>
        <v>#NUM!</v>
      </c>
      <c r="O26" s="94" t="str">
        <f t="shared" si="11"/>
        <v>--</v>
      </c>
      <c r="P26" s="146" t="str">
        <f>IFERROR(_xll.qlRateHelperQuoteName(N26,Trigger),"--")</f>
        <v>--</v>
      </c>
      <c r="Q26" s="98" t="str">
        <f>IFERROR(_xll.qlRateHelperQuoteValue($N26,Trigger),"--")</f>
        <v>--</v>
      </c>
      <c r="R26" s="141" t="b">
        <v>0</v>
      </c>
      <c r="S26" s="94">
        <v>10</v>
      </c>
      <c r="T26" s="94">
        <v>1</v>
      </c>
      <c r="U26" s="99" t="str">
        <f>IFERROR(_xll.qlRateHelperEarliestDate(N26,Trigger),"--")</f>
        <v>--</v>
      </c>
      <c r="V26" s="99" t="str">
        <f>IFERROR(_xll.qlRateHelperPillarDate(N26,Trigger),"--")</f>
        <v>--</v>
      </c>
      <c r="X26" s="4" t="str">
        <f t="shared" si="2"/>
        <v>Sw</v>
      </c>
      <c r="Y26" s="4" t="str">
        <v>obj_00584</v>
      </c>
      <c r="Z26" s="4" t="str">
        <v>obj_00584</v>
      </c>
      <c r="AA26" s="4" t="str">
        <f>IFERROR(_xll.qlRateHelperQuoteName(Y26,Trigger),"")</f>
        <v>EURAB6E50Y_LCHQuote</v>
      </c>
      <c r="AB26" s="70">
        <f>IFERROR(_xll.qlRateHelperRate(Y26,Trigger),"")</f>
        <v>1.6251000000000002E-2</v>
      </c>
      <c r="AC26" s="104">
        <f>IF(ISERROR(_xll.qlSwapRateHelperSpread($Y26)),IF(ISERROR(_xll.qlFuturesRateHelperConvexityAdjustment($Y26)),"",_xll.qlFuturesRateHelperConvexityAdjustment($Y26)),_xll.qlSwapRateHelperSpread($Y26))</f>
        <v>0</v>
      </c>
      <c r="AD26" s="5">
        <f>IFERROR(_xll.qlRateHelperEarliestDate(Y26,Trigger),"")</f>
        <v>42250</v>
      </c>
      <c r="AE26" s="5">
        <f>IFERROR(_xll.qlRateHelperPillarDate(Y26,Trigger),"")</f>
        <v>60513</v>
      </c>
      <c r="AF26" s="70">
        <v>1.6237301181757854E-2</v>
      </c>
      <c r="AG26" s="77">
        <v>0.44409059682065621</v>
      </c>
      <c r="AH26" s="170">
        <v>60513</v>
      </c>
      <c r="AI26" s="171">
        <v>1.6237301181535602E-2</v>
      </c>
      <c r="AJ26" s="173">
        <f t="shared" si="12"/>
        <v>2.2225277174214852E-13</v>
      </c>
      <c r="AK26" s="80">
        <v>0.44403646454817303</v>
      </c>
      <c r="AL26" s="162">
        <f t="shared" si="4"/>
        <v>5.4132272483187194E-5</v>
      </c>
    </row>
    <row r="27" spans="1:38" ht="11.25" customHeight="1" x14ac:dyDescent="0.2">
      <c r="A27" s="59" t="s">
        <v>25</v>
      </c>
      <c r="B27" s="60" t="s">
        <v>60</v>
      </c>
      <c r="C27" s="61" t="s">
        <v>6</v>
      </c>
      <c r="D27" s="61" t="s">
        <v>8</v>
      </c>
      <c r="E27" s="61" t="s">
        <v>7</v>
      </c>
      <c r="F27" s="61" t="s">
        <v>125</v>
      </c>
      <c r="G27" s="61" t="str">
        <f t="shared" si="13"/>
        <v>Euribor6M</v>
      </c>
      <c r="H27" s="59" t="str">
        <f t="shared" si="14"/>
        <v>EURAB6E10Y_LCHQuote</v>
      </c>
      <c r="I27" s="127">
        <v>0</v>
      </c>
      <c r="J27" s="64" t="str">
        <f>_xll.qlSwapRateHelper2(,$H27,2,$B27,Calendar,$D27,$E27,$F27,$G27,$I27,$C27,Discounting1,PillarDate,,Permanent,Trigger,ObjectOverwrite)</f>
        <v>obj_0057a#0005</v>
      </c>
      <c r="K27" s="64" t="str">
        <f>_xll.qlSwapRateHelper2(,$H27,2,$B27,Calendar,$D27,$E27,$F27,$G27,$I27,$C27,Discounting2,PillarDate,,Permanent,Trigger,ObjectOverwrite)</f>
        <v>obj_0060d#0005</v>
      </c>
      <c r="L27" s="48"/>
      <c r="M27" s="10" t="str">
        <f t="shared" si="9"/>
        <v>Sw</v>
      </c>
      <c r="N27" s="94" t="e">
        <f t="shared" si="10"/>
        <v>#NUM!</v>
      </c>
      <c r="O27" s="94" t="str">
        <f t="shared" si="11"/>
        <v>--</v>
      </c>
      <c r="P27" s="146" t="str">
        <f>IFERROR(_xll.qlRateHelperQuoteName(N27,Trigger),"--")</f>
        <v>--</v>
      </c>
      <c r="Q27" s="98" t="str">
        <f>IFERROR(_xll.qlRateHelperQuoteValue($N27,Trigger),"--")</f>
        <v>--</v>
      </c>
      <c r="R27" s="141" t="b">
        <v>0</v>
      </c>
      <c r="S27" s="94">
        <v>10</v>
      </c>
      <c r="T27" s="94">
        <v>1</v>
      </c>
      <c r="U27" s="99" t="str">
        <f>IFERROR(_xll.qlRateHelperEarliestDate(N27,Trigger),"--")</f>
        <v>--</v>
      </c>
      <c r="V27" s="99" t="str">
        <f>IFERROR(_xll.qlRateHelperPillarDate(N27,Trigger),"--")</f>
        <v>--</v>
      </c>
      <c r="X27" s="4" t="str">
        <f t="shared" si="2"/>
        <v>Sw</v>
      </c>
      <c r="Y27" s="4" t="str">
        <v>obj_0057c</v>
      </c>
      <c r="Z27" s="4" t="str">
        <v>obj_0057c</v>
      </c>
      <c r="AA27" s="4" t="str">
        <f>IFERROR(_xll.qlRateHelperQuoteName(Y27,Trigger),"")</f>
        <v>EURAB6E60Y_LCHQuote</v>
      </c>
      <c r="AB27" s="70">
        <f>IFERROR(_xll.qlRateHelperRate(Y27,Trigger),"")</f>
        <v>1.6047499999999999E-2</v>
      </c>
      <c r="AC27" s="104">
        <f>IF(ISERROR(_xll.qlSwapRateHelperSpread($Y27)),IF(ISERROR(_xll.qlFuturesRateHelperConvexityAdjustment($Y27)),"",_xll.qlFuturesRateHelperConvexityAdjustment($Y27)),_xll.qlSwapRateHelperSpread($Y27))</f>
        <v>0</v>
      </c>
      <c r="AD27" s="5">
        <f>IFERROR(_xll.qlRateHelperEarliestDate(Y27,Trigger),"")</f>
        <v>42250</v>
      </c>
      <c r="AE27" s="5">
        <f>IFERROR(_xll.qlRateHelperPillarDate(Y27,Trigger),"")</f>
        <v>64165</v>
      </c>
      <c r="AF27" s="70">
        <v>1.5905107038665538E-2</v>
      </c>
      <c r="AG27" s="77">
        <v>0.38502861709387459</v>
      </c>
      <c r="AH27" s="170">
        <v>64165</v>
      </c>
      <c r="AI27" s="171">
        <v>1.59050219179405E-2</v>
      </c>
      <c r="AJ27" s="173">
        <f t="shared" si="12"/>
        <v>8.5120725037968192E-8</v>
      </c>
      <c r="AK27" s="80">
        <v>0.38496876662451401</v>
      </c>
      <c r="AL27" s="162">
        <f t="shared" si="4"/>
        <v>5.9850469360578362E-5</v>
      </c>
    </row>
    <row r="28" spans="1:38" ht="11.25" customHeight="1" x14ac:dyDescent="0.2">
      <c r="A28" s="59" t="s">
        <v>25</v>
      </c>
      <c r="B28" s="60" t="s">
        <v>98</v>
      </c>
      <c r="C28" s="61" t="s">
        <v>6</v>
      </c>
      <c r="D28" s="61" t="s">
        <v>8</v>
      </c>
      <c r="E28" s="61" t="s">
        <v>7</v>
      </c>
      <c r="F28" s="61" t="s">
        <v>125</v>
      </c>
      <c r="G28" s="61" t="str">
        <f t="shared" si="13"/>
        <v>Euribor6M</v>
      </c>
      <c r="H28" s="59" t="str">
        <f t="shared" si="14"/>
        <v>EURAB6E11Y_LCHQuote</v>
      </c>
      <c r="I28" s="127">
        <v>0</v>
      </c>
      <c r="J28" s="64" t="e">
        <f>_xll.qlSwapRateHelper2(,$H28,2,$B28,Calendar,$D28,$E28,$F28,$G28,$I28,$C28,Discounting1,PillarDate,,Permanent,Trigger,ObjectOverwrite)</f>
        <v>#NUM!</v>
      </c>
      <c r="K28" s="64"/>
      <c r="L28" s="48"/>
      <c r="M28" s="10" t="str">
        <f t="shared" si="9"/>
        <v>Sw</v>
      </c>
      <c r="N28" s="94" t="str">
        <f t="shared" si="10"/>
        <v>obj_00581#0005</v>
      </c>
      <c r="O28" s="94" t="str">
        <f t="shared" si="11"/>
        <v>obj_00615#0005</v>
      </c>
      <c r="P28" s="146" t="str">
        <f>IFERROR(_xll.qlRateHelperQuoteName(N28,Trigger),"--")</f>
        <v>EURAB6E15Y_LCHQuote</v>
      </c>
      <c r="Q28" s="98">
        <f>IFERROR(_xll.qlRateHelperQuoteValue($N28,Trigger),"--")</f>
        <v>1.4725500000000001E-2</v>
      </c>
      <c r="R28" s="141" t="b">
        <v>1</v>
      </c>
      <c r="S28" s="94">
        <v>10</v>
      </c>
      <c r="T28" s="94">
        <v>1</v>
      </c>
      <c r="U28" s="99">
        <f>IFERROR(_xll.qlRateHelperEarliestDate(N28,Trigger),"--")</f>
        <v>42250</v>
      </c>
      <c r="V28" s="99">
        <f>IFERROR(_xll.qlRateHelperPillarDate(N28,Trigger),"--")</f>
        <v>47729</v>
      </c>
      <c r="X28" s="4" t="str">
        <f t="shared" si="2"/>
        <v/>
      </c>
      <c r="Y28" s="4" t="e">
        <v>#N/A</v>
      </c>
      <c r="Z28" s="4" t="e">
        <v>#N/A</v>
      </c>
      <c r="AA28" s="4" t="str">
        <f>IFERROR(_xll.qlRateHelperQuoteName(Y28,Trigger),"")</f>
        <v/>
      </c>
      <c r="AB28" s="70" t="str">
        <f>IFERROR(_xll.qlRateHelperRate(Y28,Trigger),"")</f>
        <v/>
      </c>
      <c r="AC28" s="104" t="str">
        <f>IF(ISERROR(_xll.qlSwapRateHelperSpread($Y28)),IF(ISERROR(_xll.qlFuturesRateHelperConvexityAdjustment($Y28)),"",_xll.qlFuturesRateHelperConvexityAdjustment($Y28)),_xll.qlSwapRateHelperSpread($Y28))</f>
        <v/>
      </c>
      <c r="AD28" s="5" t="str">
        <f>IFERROR(_xll.qlRateHelperEarliestDate(Y28,Trigger),"")</f>
        <v/>
      </c>
      <c r="AE28" s="5" t="str">
        <f>IFERROR(_xll.qlRateHelperPillarDate(Y28,Trigger),"")</f>
        <v/>
      </c>
      <c r="AF28" s="70" t="e">
        <v>#N/A</v>
      </c>
      <c r="AG28" s="77" t="e">
        <v>#N/A</v>
      </c>
      <c r="AH28" s="170" t="e">
        <v>#N/A</v>
      </c>
      <c r="AI28" s="171" t="e">
        <v>#N/A</v>
      </c>
      <c r="AJ28" s="179" t="e">
        <f t="shared" si="12"/>
        <v>#N/A</v>
      </c>
      <c r="AK28" s="80" t="e">
        <v>#N/A</v>
      </c>
      <c r="AL28" s="162" t="e">
        <f t="shared" si="4"/>
        <v>#N/A</v>
      </c>
    </row>
    <row r="29" spans="1:38" ht="11.25" customHeight="1" x14ac:dyDescent="0.2">
      <c r="A29" s="59" t="s">
        <v>25</v>
      </c>
      <c r="B29" s="60" t="s">
        <v>61</v>
      </c>
      <c r="C29" s="61" t="s">
        <v>6</v>
      </c>
      <c r="D29" s="61" t="s">
        <v>8</v>
      </c>
      <c r="E29" s="61" t="s">
        <v>7</v>
      </c>
      <c r="F29" s="61" t="s">
        <v>125</v>
      </c>
      <c r="G29" s="61" t="str">
        <f t="shared" si="13"/>
        <v>Euribor6M</v>
      </c>
      <c r="H29" s="59" t="str">
        <f t="shared" si="14"/>
        <v>EURAB6E12Y_LCHQuote</v>
      </c>
      <c r="I29" s="127">
        <v>0</v>
      </c>
      <c r="J29" s="64" t="str">
        <f>_xll.qlSwapRateHelper2(,$H29,2,$B29,Calendar,$D29,$E29,$F29,$G29,$I29,$C29,Discounting1,PillarDate,,Permanent,Trigger,ObjectOverwrite)</f>
        <v>obj_0057b#0005</v>
      </c>
      <c r="K29" s="64" t="str">
        <f>_xll.qlSwapRateHelper2(,$H29,2,$B29,Calendar,$D29,$E29,$F29,$G29,$I29,$C29,Discounting2,PillarDate,,Permanent,Trigger,ObjectOverwrite)</f>
        <v>obj_00606#0005</v>
      </c>
      <c r="L29" s="48"/>
      <c r="M29" s="10" t="str">
        <f t="shared" si="9"/>
        <v>Sw</v>
      </c>
      <c r="N29" s="94" t="e">
        <f t="shared" si="10"/>
        <v>#NUM!</v>
      </c>
      <c r="O29" s="94" t="str">
        <f t="shared" si="11"/>
        <v>--</v>
      </c>
      <c r="P29" s="146" t="str">
        <f>IFERROR(_xll.qlRateHelperQuoteName(N29,Trigger),"--")</f>
        <v>--</v>
      </c>
      <c r="Q29" s="98" t="str">
        <f>IFERROR(_xll.qlRateHelperQuoteValue($N29,Trigger),"--")</f>
        <v>--</v>
      </c>
      <c r="R29" s="141" t="b">
        <v>0</v>
      </c>
      <c r="S29" s="94">
        <v>10</v>
      </c>
      <c r="T29" s="94">
        <v>1</v>
      </c>
      <c r="U29" s="99" t="str">
        <f>IFERROR(_xll.qlRateHelperEarliestDate(N29,Trigger),"--")</f>
        <v>--</v>
      </c>
      <c r="V29" s="99" t="str">
        <f>IFERROR(_xll.qlRateHelperPillarDate(N29,Trigger),"--")</f>
        <v>--</v>
      </c>
      <c r="X29" s="4" t="str">
        <f t="shared" si="2"/>
        <v/>
      </c>
      <c r="Y29" s="4" t="e">
        <v>#N/A</v>
      </c>
      <c r="Z29" s="4" t="e">
        <v>#N/A</v>
      </c>
      <c r="AA29" s="4" t="str">
        <f>IFERROR(_xll.qlRateHelperQuoteName(Y29,Trigger),"")</f>
        <v/>
      </c>
      <c r="AB29" s="70" t="str">
        <f>IFERROR(_xll.qlRateHelperRate(Y29,Trigger),"")</f>
        <v/>
      </c>
      <c r="AC29" s="104" t="str">
        <f>IF(ISERROR(_xll.qlSwapRateHelperSpread($Y29)),IF(ISERROR(_xll.qlFuturesRateHelperConvexityAdjustment($Y29)),"",_xll.qlFuturesRateHelperConvexityAdjustment($Y29)),_xll.qlSwapRateHelperSpread($Y29))</f>
        <v/>
      </c>
      <c r="AD29" s="5" t="str">
        <f>IFERROR(_xll.qlRateHelperEarliestDate(Y29,Trigger),"")</f>
        <v/>
      </c>
      <c r="AE29" s="5" t="str">
        <f>IFERROR(_xll.qlRateHelperPillarDate(Y29,Trigger),"")</f>
        <v/>
      </c>
      <c r="AF29" s="70" t="e">
        <v>#N/A</v>
      </c>
      <c r="AG29" s="77" t="e">
        <v>#N/A</v>
      </c>
      <c r="AH29" s="170" t="e">
        <v>#N/A</v>
      </c>
      <c r="AI29" s="171" t="e">
        <v>#N/A</v>
      </c>
      <c r="AJ29" s="173" t="e">
        <f t="shared" si="3"/>
        <v>#N/A</v>
      </c>
      <c r="AK29" s="80" t="e">
        <v>#N/A</v>
      </c>
      <c r="AL29" s="162" t="e">
        <f t="shared" si="4"/>
        <v>#N/A</v>
      </c>
    </row>
    <row r="30" spans="1:38" ht="11.25" customHeight="1" x14ac:dyDescent="0.2">
      <c r="A30" s="59" t="s">
        <v>25</v>
      </c>
      <c r="B30" s="60" t="s">
        <v>99</v>
      </c>
      <c r="C30" s="61" t="s">
        <v>6</v>
      </c>
      <c r="D30" s="61" t="s">
        <v>8</v>
      </c>
      <c r="E30" s="61" t="s">
        <v>7</v>
      </c>
      <c r="F30" s="61" t="s">
        <v>125</v>
      </c>
      <c r="G30" s="61" t="str">
        <f t="shared" si="13"/>
        <v>Euribor6M</v>
      </c>
      <c r="H30" s="59" t="str">
        <f t="shared" si="14"/>
        <v>EURAB6E13Y_LCHQuote</v>
      </c>
      <c r="I30" s="127">
        <v>0</v>
      </c>
      <c r="J30" s="64" t="e">
        <f>_xll.qlSwapRateHelper2(,$H30,2,$B30,Calendar,$D30,$E30,$F30,$G30,$I30,$C30,Discounting1,PillarDate,,Permanent,Trigger,ObjectOverwrite)</f>
        <v>#NUM!</v>
      </c>
      <c r="K30" s="64"/>
      <c r="L30" s="48"/>
      <c r="M30" s="10" t="str">
        <f t="shared" si="9"/>
        <v>Sw</v>
      </c>
      <c r="N30" s="94" t="e">
        <f t="shared" si="10"/>
        <v>#NUM!</v>
      </c>
      <c r="O30" s="94" t="str">
        <f t="shared" si="11"/>
        <v>--</v>
      </c>
      <c r="P30" s="146" t="str">
        <f>IFERROR(_xll.qlRateHelperQuoteName(N30,Trigger),"--")</f>
        <v>--</v>
      </c>
      <c r="Q30" s="98" t="str">
        <f>IFERROR(_xll.qlRateHelperQuoteValue($N30,Trigger),"--")</f>
        <v>--</v>
      </c>
      <c r="R30" s="141" t="b">
        <v>0</v>
      </c>
      <c r="S30" s="94">
        <v>10</v>
      </c>
      <c r="T30" s="94">
        <v>1</v>
      </c>
      <c r="U30" s="99" t="str">
        <f>IFERROR(_xll.qlRateHelperEarliestDate(N30,Trigger),"--")</f>
        <v>--</v>
      </c>
      <c r="V30" s="99" t="str">
        <f>IFERROR(_xll.qlRateHelperPillarDate(N30,Trigger),"--")</f>
        <v>--</v>
      </c>
      <c r="X30" s="4" t="str">
        <f t="shared" si="2"/>
        <v/>
      </c>
      <c r="Y30" s="4" t="e">
        <v>#N/A</v>
      </c>
      <c r="Z30" s="4" t="e">
        <v>#N/A</v>
      </c>
      <c r="AA30" s="4" t="str">
        <f>IFERROR(_xll.qlRateHelperQuoteName(Y30,Trigger),"")</f>
        <v/>
      </c>
      <c r="AB30" s="70" t="str">
        <f>IFERROR(_xll.qlRateHelperRate(Y30,Trigger),"")</f>
        <v/>
      </c>
      <c r="AC30" s="104" t="str">
        <f>IF(ISERROR(_xll.qlSwapRateHelperSpread($Y30)),IF(ISERROR(_xll.qlFuturesRateHelperConvexityAdjustment($Y30)),"",_xll.qlFuturesRateHelperConvexityAdjustment($Y30)),_xll.qlSwapRateHelperSpread($Y30))</f>
        <v/>
      </c>
      <c r="AD30" s="5" t="str">
        <f>IFERROR(_xll.qlRateHelperEarliestDate(Y30,Trigger),"")</f>
        <v/>
      </c>
      <c r="AE30" s="5" t="str">
        <f>IFERROR(_xll.qlRateHelperPillarDate(Y30,Trigger),"")</f>
        <v/>
      </c>
      <c r="AF30" s="70" t="e">
        <v>#N/A</v>
      </c>
      <c r="AG30" s="77" t="e">
        <v>#N/A</v>
      </c>
      <c r="AH30" s="170" t="e">
        <v>#N/A</v>
      </c>
      <c r="AI30" s="171" t="e">
        <v>#N/A</v>
      </c>
      <c r="AJ30" s="173" t="e">
        <f t="shared" si="3"/>
        <v>#N/A</v>
      </c>
      <c r="AK30" s="80" t="e">
        <v>#N/A</v>
      </c>
      <c r="AL30" s="162" t="e">
        <f t="shared" si="4"/>
        <v>#N/A</v>
      </c>
    </row>
    <row r="31" spans="1:38" ht="11.25" customHeight="1" x14ac:dyDescent="0.2">
      <c r="A31" s="59" t="s">
        <v>25</v>
      </c>
      <c r="B31" s="60" t="s">
        <v>100</v>
      </c>
      <c r="C31" s="61" t="s">
        <v>6</v>
      </c>
      <c r="D31" s="61" t="s">
        <v>8</v>
      </c>
      <c r="E31" s="61" t="s">
        <v>7</v>
      </c>
      <c r="F31" s="61" t="s">
        <v>125</v>
      </c>
      <c r="G31" s="61" t="str">
        <f t="shared" si="13"/>
        <v>Euribor6M</v>
      </c>
      <c r="H31" s="59" t="str">
        <f t="shared" si="14"/>
        <v>EURAB6E14Y_LCHQuote</v>
      </c>
      <c r="I31" s="127">
        <v>0</v>
      </c>
      <c r="J31" s="64" t="e">
        <f>_xll.qlSwapRateHelper2(,$H31,2,$B31,Calendar,$D31,$E31,$F31,$G31,$I31,$C31,Discounting1,PillarDate,,Permanent,Trigger,ObjectOverwrite)</f>
        <v>#NUM!</v>
      </c>
      <c r="K31" s="64"/>
      <c r="L31" s="48"/>
      <c r="M31" s="10" t="str">
        <f t="shared" si="9"/>
        <v>Sw</v>
      </c>
      <c r="N31" s="94" t="e">
        <f t="shared" si="10"/>
        <v>#NUM!</v>
      </c>
      <c r="O31" s="94" t="str">
        <f t="shared" si="11"/>
        <v>--</v>
      </c>
      <c r="P31" s="146" t="str">
        <f>IFERROR(_xll.qlRateHelperQuoteName(N31,Trigger),"--")</f>
        <v>--</v>
      </c>
      <c r="Q31" s="98" t="str">
        <f>IFERROR(_xll.qlRateHelperQuoteValue($N31,Trigger),"--")</f>
        <v>--</v>
      </c>
      <c r="R31" s="141" t="b">
        <v>0</v>
      </c>
      <c r="S31" s="94">
        <v>10</v>
      </c>
      <c r="T31" s="94">
        <v>1</v>
      </c>
      <c r="U31" s="99" t="str">
        <f>IFERROR(_xll.qlRateHelperEarliestDate(N31,Trigger),"--")</f>
        <v>--</v>
      </c>
      <c r="V31" s="99" t="str">
        <f>IFERROR(_xll.qlRateHelperPillarDate(N31,Trigger),"--")</f>
        <v>--</v>
      </c>
      <c r="X31" s="4" t="str">
        <f t="shared" si="2"/>
        <v/>
      </c>
      <c r="Y31" s="4" t="e">
        <v>#N/A</v>
      </c>
      <c r="Z31" s="4" t="e">
        <v>#N/A</v>
      </c>
      <c r="AA31" s="4" t="str">
        <f>IFERROR(_xll.qlRateHelperQuoteName(Y31,Trigger),"")</f>
        <v/>
      </c>
      <c r="AB31" s="70" t="str">
        <f>IFERROR(_xll.qlRateHelperRate(Y31,Trigger),"")</f>
        <v/>
      </c>
      <c r="AC31" s="104" t="str">
        <f>IF(ISERROR(_xll.qlSwapRateHelperSpread($Y31)),IF(ISERROR(_xll.qlFuturesRateHelperConvexityAdjustment($Y31)),"",_xll.qlFuturesRateHelperConvexityAdjustment($Y31)),_xll.qlSwapRateHelperSpread($Y31))</f>
        <v/>
      </c>
      <c r="AD31" s="5" t="str">
        <f>IFERROR(_xll.qlRateHelperEarliestDate(Y31,Trigger),"")</f>
        <v/>
      </c>
      <c r="AE31" s="5" t="str">
        <f>IFERROR(_xll.qlRateHelperPillarDate(Y31,Trigger),"")</f>
        <v/>
      </c>
      <c r="AF31" s="70" t="e">
        <v>#N/A</v>
      </c>
      <c r="AG31" s="77" t="e">
        <v>#N/A</v>
      </c>
      <c r="AH31" s="170" t="e">
        <v>#N/A</v>
      </c>
      <c r="AI31" s="171" t="e">
        <v>#N/A</v>
      </c>
      <c r="AJ31" s="173" t="e">
        <f t="shared" si="3"/>
        <v>#N/A</v>
      </c>
      <c r="AK31" s="80" t="e">
        <v>#N/A</v>
      </c>
      <c r="AL31" s="162" t="e">
        <f t="shared" si="4"/>
        <v>#N/A</v>
      </c>
    </row>
    <row r="32" spans="1:38" ht="11.25" customHeight="1" x14ac:dyDescent="0.2">
      <c r="A32" s="59" t="s">
        <v>25</v>
      </c>
      <c r="B32" s="60" t="s">
        <v>62</v>
      </c>
      <c r="C32" s="61" t="s">
        <v>6</v>
      </c>
      <c r="D32" s="61" t="s">
        <v>8</v>
      </c>
      <c r="E32" s="61" t="s">
        <v>7</v>
      </c>
      <c r="F32" s="61" t="s">
        <v>125</v>
      </c>
      <c r="G32" s="61" t="str">
        <f t="shared" si="13"/>
        <v>Euribor6M</v>
      </c>
      <c r="H32" s="59" t="str">
        <f t="shared" si="14"/>
        <v>EURAB6E15Y_LCHQuote</v>
      </c>
      <c r="I32" s="127">
        <v>0</v>
      </c>
      <c r="J32" s="64" t="str">
        <f>_xll.qlSwapRateHelper2(,$H32,2,$B32,Calendar,$D32,$E32,$F32,$G32,$I32,$C32,Discounting1,PillarDate,,Permanent,Trigger,ObjectOverwrite)</f>
        <v>obj_00581#0005</v>
      </c>
      <c r="K32" s="64" t="str">
        <f>_xll.qlSwapRateHelper2(,$H32,2,$B32,Calendar,$D32,$E32,$F32,$G32,$I32,$C32,Discounting2,PillarDate,,Permanent,Trigger,ObjectOverwrite)</f>
        <v>obj_00615#0005</v>
      </c>
      <c r="L32" s="48"/>
      <c r="M32" s="10" t="str">
        <f t="shared" si="9"/>
        <v>Sw</v>
      </c>
      <c r="N32" s="94" t="e">
        <f t="shared" si="10"/>
        <v>#NUM!</v>
      </c>
      <c r="O32" s="94" t="str">
        <f t="shared" si="11"/>
        <v>--</v>
      </c>
      <c r="P32" s="146" t="str">
        <f>IFERROR(_xll.qlRateHelperQuoteName(N32,Trigger),"--")</f>
        <v>--</v>
      </c>
      <c r="Q32" s="98" t="str">
        <f>IFERROR(_xll.qlRateHelperQuoteValue($N32,Trigger),"--")</f>
        <v>--</v>
      </c>
      <c r="R32" s="141" t="b">
        <v>0</v>
      </c>
      <c r="S32" s="94">
        <v>10</v>
      </c>
      <c r="T32" s="94">
        <v>1</v>
      </c>
      <c r="U32" s="99" t="str">
        <f>IFERROR(_xll.qlRateHelperEarliestDate(N32,Trigger),"--")</f>
        <v>--</v>
      </c>
      <c r="V32" s="99" t="str">
        <f>IFERROR(_xll.qlRateHelperPillarDate(N32,Trigger),"--")</f>
        <v>--</v>
      </c>
      <c r="X32" s="4" t="str">
        <f t="shared" si="2"/>
        <v/>
      </c>
      <c r="Y32" s="4" t="e">
        <v>#N/A</v>
      </c>
      <c r="Z32" s="4" t="e">
        <v>#N/A</v>
      </c>
      <c r="AA32" s="4" t="str">
        <f>IFERROR(_xll.qlRateHelperQuoteName(Y32,Trigger),"")</f>
        <v/>
      </c>
      <c r="AB32" s="70" t="str">
        <f>IFERROR(_xll.qlRateHelperRate(Y32,Trigger),"")</f>
        <v/>
      </c>
      <c r="AC32" s="104" t="str">
        <f>IF(ISERROR(_xll.qlSwapRateHelperSpread($Y32)),IF(ISERROR(_xll.qlFuturesRateHelperConvexityAdjustment($Y32)),"",_xll.qlFuturesRateHelperConvexityAdjustment($Y32)),_xll.qlSwapRateHelperSpread($Y32))</f>
        <v/>
      </c>
      <c r="AD32" s="5" t="str">
        <f>IFERROR(_xll.qlRateHelperEarliestDate(Y32,Trigger),"")</f>
        <v/>
      </c>
      <c r="AE32" s="5" t="str">
        <f>IFERROR(_xll.qlRateHelperPillarDate(Y32,Trigger),"")</f>
        <v/>
      </c>
      <c r="AF32" s="70" t="e">
        <v>#N/A</v>
      </c>
      <c r="AG32" s="77" t="e">
        <v>#N/A</v>
      </c>
      <c r="AH32" s="170" t="e">
        <v>#N/A</v>
      </c>
      <c r="AI32" s="171" t="e">
        <v>#N/A</v>
      </c>
      <c r="AJ32" s="173" t="e">
        <f t="shared" si="3"/>
        <v>#N/A</v>
      </c>
      <c r="AK32" s="80" t="e">
        <v>#N/A</v>
      </c>
      <c r="AL32" s="162" t="e">
        <f t="shared" si="4"/>
        <v>#N/A</v>
      </c>
    </row>
    <row r="33" spans="1:38" ht="11.25" customHeight="1" x14ac:dyDescent="0.2">
      <c r="A33" s="59" t="s">
        <v>25</v>
      </c>
      <c r="B33" s="60" t="s">
        <v>101</v>
      </c>
      <c r="C33" s="61" t="s">
        <v>6</v>
      </c>
      <c r="D33" s="61" t="s">
        <v>8</v>
      </c>
      <c r="E33" s="61" t="s">
        <v>7</v>
      </c>
      <c r="F33" s="61" t="s">
        <v>125</v>
      </c>
      <c r="G33" s="61" t="str">
        <f t="shared" si="13"/>
        <v>Euribor6M</v>
      </c>
      <c r="H33" s="59" t="str">
        <f t="shared" si="14"/>
        <v>EURAB6E16Y_LCHQuote</v>
      </c>
      <c r="I33" s="127">
        <v>0</v>
      </c>
      <c r="J33" s="64" t="e">
        <f>_xll.qlSwapRateHelper2(,$H33,2,$B33,Calendar,$D33,$E33,$F33,$G33,$I33,$C33,Discounting1,PillarDate,,Permanent,Trigger,ObjectOverwrite)</f>
        <v>#NUM!</v>
      </c>
      <c r="K33" s="64"/>
      <c r="L33" s="48"/>
      <c r="M33" s="10" t="str">
        <f t="shared" si="9"/>
        <v>Sw</v>
      </c>
      <c r="N33" s="94" t="str">
        <f t="shared" si="10"/>
        <v>obj_00588#0005</v>
      </c>
      <c r="O33" s="94" t="str">
        <f t="shared" si="11"/>
        <v>obj_00621#0005</v>
      </c>
      <c r="P33" s="146" t="str">
        <f>IFERROR(_xll.qlRateHelperQuoteName(N33,Trigger),"--")</f>
        <v>EURAB6E20Y_LCHQuote</v>
      </c>
      <c r="Q33" s="98">
        <f>IFERROR(_xll.qlRateHelperQuoteValue($N33,Trigger),"--")</f>
        <v>1.6125500000000001E-2</v>
      </c>
      <c r="R33" s="141" t="b">
        <v>1</v>
      </c>
      <c r="S33" s="94">
        <v>10</v>
      </c>
      <c r="T33" s="94">
        <v>1</v>
      </c>
      <c r="U33" s="99">
        <f>IFERROR(_xll.qlRateHelperEarliestDate(N33,Trigger),"--")</f>
        <v>42250</v>
      </c>
      <c r="V33" s="99">
        <f>IFERROR(_xll.qlRateHelperPillarDate(N33,Trigger),"--")</f>
        <v>49555</v>
      </c>
      <c r="X33" s="4" t="str">
        <f t="shared" si="2"/>
        <v/>
      </c>
      <c r="Y33" s="4" t="e">
        <v>#N/A</v>
      </c>
      <c r="Z33" s="4" t="e">
        <v>#N/A</v>
      </c>
      <c r="AA33" s="4" t="str">
        <f>IFERROR(_xll.qlRateHelperQuoteName(Y33,Trigger),"")</f>
        <v/>
      </c>
      <c r="AB33" s="70" t="str">
        <f>IFERROR(_xll.qlRateHelperRate(Y33,Trigger),"")</f>
        <v/>
      </c>
      <c r="AC33" s="104" t="str">
        <f>IF(ISERROR(_xll.qlSwapRateHelperSpread($Y33)),IF(ISERROR(_xll.qlFuturesRateHelperConvexityAdjustment($Y33)),"",_xll.qlFuturesRateHelperConvexityAdjustment($Y33)),_xll.qlSwapRateHelperSpread($Y33))</f>
        <v/>
      </c>
      <c r="AD33" s="5" t="str">
        <f>IFERROR(_xll.qlRateHelperEarliestDate(Y33,Trigger),"")</f>
        <v/>
      </c>
      <c r="AE33" s="5" t="str">
        <f>IFERROR(_xll.qlRateHelperPillarDate(Y33,Trigger),"")</f>
        <v/>
      </c>
      <c r="AF33" s="70" t="e">
        <v>#N/A</v>
      </c>
      <c r="AG33" s="77" t="e">
        <v>#N/A</v>
      </c>
      <c r="AH33" s="170" t="e">
        <v>#N/A</v>
      </c>
      <c r="AI33" s="171" t="e">
        <v>#N/A</v>
      </c>
      <c r="AJ33" s="173" t="e">
        <f t="shared" si="3"/>
        <v>#N/A</v>
      </c>
      <c r="AK33" s="80" t="e">
        <v>#N/A</v>
      </c>
      <c r="AL33" s="162" t="e">
        <f t="shared" si="4"/>
        <v>#N/A</v>
      </c>
    </row>
    <row r="34" spans="1:38" ht="11.25" customHeight="1" x14ac:dyDescent="0.2">
      <c r="A34" s="59" t="s">
        <v>25</v>
      </c>
      <c r="B34" s="60" t="s">
        <v>102</v>
      </c>
      <c r="C34" s="61" t="s">
        <v>6</v>
      </c>
      <c r="D34" s="61" t="s">
        <v>8</v>
      </c>
      <c r="E34" s="61" t="s">
        <v>7</v>
      </c>
      <c r="F34" s="61" t="s">
        <v>125</v>
      </c>
      <c r="G34" s="61" t="str">
        <f t="shared" si="13"/>
        <v>Euribor6M</v>
      </c>
      <c r="H34" s="59" t="str">
        <f t="shared" si="14"/>
        <v>EURAB6E17Y_LCHQuote</v>
      </c>
      <c r="I34" s="127">
        <v>0</v>
      </c>
      <c r="J34" s="64" t="e">
        <f>_xll.qlSwapRateHelper2(,$H34,2,$B34,Calendar,$D34,$E34,$F34,$G34,$I34,$C34,Discounting1,PillarDate,,Permanent,Trigger,ObjectOverwrite)</f>
        <v>#NUM!</v>
      </c>
      <c r="K34" s="64"/>
      <c r="L34" s="48"/>
      <c r="M34" s="10" t="str">
        <f t="shared" si="9"/>
        <v>Sw</v>
      </c>
      <c r="N34" s="94" t="e">
        <f t="shared" si="10"/>
        <v>#NUM!</v>
      </c>
      <c r="O34" s="94" t="str">
        <f t="shared" si="11"/>
        <v>--</v>
      </c>
      <c r="P34" s="146" t="str">
        <f>IFERROR(_xll.qlRateHelperQuoteName(N34,Trigger),"--")</f>
        <v>--</v>
      </c>
      <c r="Q34" s="98" t="str">
        <f>IFERROR(_xll.qlRateHelperQuoteValue($N34,Trigger),"--")</f>
        <v>--</v>
      </c>
      <c r="R34" s="141" t="b">
        <v>0</v>
      </c>
      <c r="S34" s="94">
        <v>10</v>
      </c>
      <c r="T34" s="94">
        <v>1</v>
      </c>
      <c r="U34" s="99" t="str">
        <f>IFERROR(_xll.qlRateHelperEarliestDate(N34,Trigger),"--")</f>
        <v>--</v>
      </c>
      <c r="V34" s="99" t="str">
        <f>IFERROR(_xll.qlRateHelperPillarDate(N34,Trigger),"--")</f>
        <v>--</v>
      </c>
      <c r="X34" s="4" t="str">
        <f t="shared" si="2"/>
        <v/>
      </c>
      <c r="Y34" s="4" t="e">
        <v>#N/A</v>
      </c>
      <c r="Z34" s="4" t="e">
        <v>#N/A</v>
      </c>
      <c r="AA34" s="4" t="str">
        <f>IFERROR(_xll.qlRateHelperQuoteName(Y34,Trigger),"")</f>
        <v/>
      </c>
      <c r="AB34" s="70" t="str">
        <f>IFERROR(_xll.qlRateHelperRate(Y34,Trigger),"")</f>
        <v/>
      </c>
      <c r="AC34" s="104" t="str">
        <f>IF(ISERROR(_xll.qlSwapRateHelperSpread($Y34)),IF(ISERROR(_xll.qlFuturesRateHelperConvexityAdjustment($Y34)),"",_xll.qlFuturesRateHelperConvexityAdjustment($Y34)),_xll.qlSwapRateHelperSpread($Y34))</f>
        <v/>
      </c>
      <c r="AD34" s="5" t="str">
        <f>IFERROR(_xll.qlRateHelperEarliestDate(Y34,Trigger),"")</f>
        <v/>
      </c>
      <c r="AE34" s="5" t="str">
        <f>IFERROR(_xll.qlRateHelperPillarDate(Y34,Trigger),"")</f>
        <v/>
      </c>
      <c r="AF34" s="70" t="e">
        <v>#N/A</v>
      </c>
      <c r="AG34" s="77" t="e">
        <v>#N/A</v>
      </c>
      <c r="AH34" s="170" t="e">
        <v>#N/A</v>
      </c>
      <c r="AI34" s="171" t="e">
        <v>#N/A</v>
      </c>
      <c r="AJ34" s="173" t="e">
        <f t="shared" si="3"/>
        <v>#N/A</v>
      </c>
      <c r="AK34" s="80" t="e">
        <v>#N/A</v>
      </c>
      <c r="AL34" s="162" t="e">
        <f t="shared" si="4"/>
        <v>#N/A</v>
      </c>
    </row>
    <row r="35" spans="1:38" ht="11.25" customHeight="1" x14ac:dyDescent="0.2">
      <c r="A35" s="59" t="s">
        <v>25</v>
      </c>
      <c r="B35" s="60" t="s">
        <v>103</v>
      </c>
      <c r="C35" s="61" t="s">
        <v>6</v>
      </c>
      <c r="D35" s="61" t="s">
        <v>8</v>
      </c>
      <c r="E35" s="61" t="s">
        <v>7</v>
      </c>
      <c r="F35" s="61" t="s">
        <v>125</v>
      </c>
      <c r="G35" s="61" t="str">
        <f t="shared" si="13"/>
        <v>Euribor6M</v>
      </c>
      <c r="H35" s="59" t="str">
        <f t="shared" si="14"/>
        <v>EURAB6E18Y_LCHQuote</v>
      </c>
      <c r="I35" s="127">
        <v>0</v>
      </c>
      <c r="J35" s="64" t="e">
        <f>_xll.qlSwapRateHelper2(,$H35,2,$B35,Calendar,$D35,$E35,$F35,$G35,$I35,$C35,Discounting1,PillarDate,,Permanent,Trigger,ObjectOverwrite)</f>
        <v>#NUM!</v>
      </c>
      <c r="K35" s="64"/>
      <c r="L35" s="48"/>
      <c r="M35" s="10" t="str">
        <f t="shared" si="9"/>
        <v>Sw</v>
      </c>
      <c r="N35" s="94" t="e">
        <f t="shared" si="10"/>
        <v>#NUM!</v>
      </c>
      <c r="O35" s="94" t="str">
        <f t="shared" si="11"/>
        <v>--</v>
      </c>
      <c r="P35" s="146" t="str">
        <f>IFERROR(_xll.qlRateHelperQuoteName(N35,Trigger),"--")</f>
        <v>--</v>
      </c>
      <c r="Q35" s="98" t="str">
        <f>IFERROR(_xll.qlRateHelperQuoteValue($N35,Trigger),"--")</f>
        <v>--</v>
      </c>
      <c r="R35" s="141" t="b">
        <v>0</v>
      </c>
      <c r="S35" s="94">
        <v>10</v>
      </c>
      <c r="T35" s="94">
        <v>1</v>
      </c>
      <c r="U35" s="99" t="str">
        <f>IFERROR(_xll.qlRateHelperEarliestDate(N35,Trigger),"--")</f>
        <v>--</v>
      </c>
      <c r="V35" s="99" t="str">
        <f>IFERROR(_xll.qlRateHelperPillarDate(N35,Trigger),"--")</f>
        <v>--</v>
      </c>
      <c r="X35" s="4" t="str">
        <f t="shared" si="2"/>
        <v/>
      </c>
      <c r="Y35" s="4" t="e">
        <v>#N/A</v>
      </c>
      <c r="Z35" s="4" t="e">
        <v>#N/A</v>
      </c>
      <c r="AA35" s="4" t="str">
        <f>IFERROR(_xll.qlRateHelperQuoteName(Y35,Trigger),"")</f>
        <v/>
      </c>
      <c r="AB35" s="70" t="str">
        <f>IFERROR(_xll.qlRateHelperRate(Y35,Trigger),"")</f>
        <v/>
      </c>
      <c r="AC35" s="104" t="str">
        <f>IF(ISERROR(_xll.qlSwapRateHelperSpread($Y35)),IF(ISERROR(_xll.qlFuturesRateHelperConvexityAdjustment($Y35)),"",_xll.qlFuturesRateHelperConvexityAdjustment($Y35)),_xll.qlSwapRateHelperSpread($Y35))</f>
        <v/>
      </c>
      <c r="AD35" s="5" t="str">
        <f>IFERROR(_xll.qlRateHelperEarliestDate(Y35,Trigger),"")</f>
        <v/>
      </c>
      <c r="AE35" s="5" t="str">
        <f>IFERROR(_xll.qlRateHelperPillarDate(Y35,Trigger),"")</f>
        <v/>
      </c>
      <c r="AF35" s="70" t="e">
        <v>#N/A</v>
      </c>
      <c r="AG35" s="77" t="e">
        <v>#N/A</v>
      </c>
      <c r="AH35" s="170" t="e">
        <v>#N/A</v>
      </c>
      <c r="AI35" s="171" t="e">
        <v>#N/A</v>
      </c>
      <c r="AJ35" s="173" t="e">
        <f t="shared" si="3"/>
        <v>#N/A</v>
      </c>
      <c r="AK35" s="80" t="e">
        <v>#N/A</v>
      </c>
      <c r="AL35" s="162" t="e">
        <f t="shared" si="4"/>
        <v>#N/A</v>
      </c>
    </row>
    <row r="36" spans="1:38" ht="11.25" customHeight="1" x14ac:dyDescent="0.2">
      <c r="A36" s="59" t="s">
        <v>25</v>
      </c>
      <c r="B36" s="60" t="s">
        <v>104</v>
      </c>
      <c r="C36" s="61" t="s">
        <v>6</v>
      </c>
      <c r="D36" s="61" t="s">
        <v>8</v>
      </c>
      <c r="E36" s="61" t="s">
        <v>7</v>
      </c>
      <c r="F36" s="61" t="s">
        <v>125</v>
      </c>
      <c r="G36" s="61" t="str">
        <f t="shared" si="13"/>
        <v>Euribor6M</v>
      </c>
      <c r="H36" s="59" t="str">
        <f t="shared" si="14"/>
        <v>EURAB6E19Y_LCHQuote</v>
      </c>
      <c r="I36" s="127">
        <v>0</v>
      </c>
      <c r="J36" s="64" t="e">
        <f>_xll.qlSwapRateHelper2(,$H36,2,$B36,Calendar,$D36,$E36,$F36,$G36,$I36,$C36,Discounting1,PillarDate,,Permanent,Trigger,ObjectOverwrite)</f>
        <v>#NUM!</v>
      </c>
      <c r="K36" s="64"/>
      <c r="L36" s="48"/>
      <c r="M36" s="10" t="str">
        <f t="shared" si="9"/>
        <v>Sw</v>
      </c>
      <c r="N36" s="94" t="e">
        <f t="shared" si="10"/>
        <v>#NUM!</v>
      </c>
      <c r="O36" s="94" t="str">
        <f t="shared" si="11"/>
        <v>--</v>
      </c>
      <c r="P36" s="146" t="str">
        <f>IFERROR(_xll.qlRateHelperQuoteName(N36,Trigger),"--")</f>
        <v>--</v>
      </c>
      <c r="Q36" s="98" t="str">
        <f>IFERROR(_xll.qlRateHelperQuoteValue($N36,Trigger),"--")</f>
        <v>--</v>
      </c>
      <c r="R36" s="141" t="b">
        <v>0</v>
      </c>
      <c r="S36" s="94">
        <v>10</v>
      </c>
      <c r="T36" s="94">
        <v>1</v>
      </c>
      <c r="U36" s="99" t="str">
        <f>IFERROR(_xll.qlRateHelperEarliestDate(N36,Trigger),"--")</f>
        <v>--</v>
      </c>
      <c r="V36" s="99" t="str">
        <f>IFERROR(_xll.qlRateHelperPillarDate(N36,Trigger),"--")</f>
        <v>--</v>
      </c>
      <c r="X36" s="4" t="str">
        <f t="shared" si="2"/>
        <v/>
      </c>
      <c r="Y36" s="4" t="e">
        <v>#N/A</v>
      </c>
      <c r="Z36" s="4" t="e">
        <v>#N/A</v>
      </c>
      <c r="AA36" s="4" t="str">
        <f>IFERROR(_xll.qlRateHelperQuoteName(Y36,Trigger),"")</f>
        <v/>
      </c>
      <c r="AB36" s="70" t="str">
        <f>IFERROR(_xll.qlRateHelperRate(Y36,Trigger),"")</f>
        <v/>
      </c>
      <c r="AC36" s="104" t="str">
        <f>IF(ISERROR(_xll.qlSwapRateHelperSpread($Y36)),IF(ISERROR(_xll.qlFuturesRateHelperConvexityAdjustment($Y36)),"",_xll.qlFuturesRateHelperConvexityAdjustment($Y36)),_xll.qlSwapRateHelperSpread($Y36))</f>
        <v/>
      </c>
      <c r="AD36" s="5" t="str">
        <f>IFERROR(_xll.qlRateHelperEarliestDate(Y36,Trigger),"")</f>
        <v/>
      </c>
      <c r="AE36" s="5" t="str">
        <f>IFERROR(_xll.qlRateHelperPillarDate(Y36,Trigger),"")</f>
        <v/>
      </c>
      <c r="AF36" s="70" t="e">
        <v>#N/A</v>
      </c>
      <c r="AG36" s="77" t="e">
        <v>#N/A</v>
      </c>
      <c r="AH36" s="170" t="e">
        <v>#N/A</v>
      </c>
      <c r="AI36" s="171" t="e">
        <v>#N/A</v>
      </c>
      <c r="AJ36" s="173" t="e">
        <f t="shared" si="3"/>
        <v>#N/A</v>
      </c>
      <c r="AK36" s="80" t="e">
        <v>#N/A</v>
      </c>
      <c r="AL36" s="162" t="e">
        <f t="shared" si="4"/>
        <v>#N/A</v>
      </c>
    </row>
    <row r="37" spans="1:38" ht="11.25" customHeight="1" x14ac:dyDescent="0.2">
      <c r="A37" s="59" t="s">
        <v>25</v>
      </c>
      <c r="B37" s="60" t="s">
        <v>63</v>
      </c>
      <c r="C37" s="61" t="s">
        <v>6</v>
      </c>
      <c r="D37" s="61" t="s">
        <v>8</v>
      </c>
      <c r="E37" s="61" t="s">
        <v>7</v>
      </c>
      <c r="F37" s="61" t="s">
        <v>125</v>
      </c>
      <c r="G37" s="61" t="str">
        <f t="shared" si="13"/>
        <v>Euribor6M</v>
      </c>
      <c r="H37" s="59" t="str">
        <f t="shared" si="14"/>
        <v>EURAB6E20Y_LCHQuote</v>
      </c>
      <c r="I37" s="127">
        <v>0</v>
      </c>
      <c r="J37" s="64" t="str">
        <f>_xll.qlSwapRateHelper2(,$H37,2,$B37,Calendar,$D37,$E37,$F37,$G37,$I37,$C37,Discounting1,PillarDate,,Permanent,Trigger,ObjectOverwrite)</f>
        <v>obj_00588#0005</v>
      </c>
      <c r="K37" s="64" t="str">
        <f>_xll.qlSwapRateHelper2(,$H37,2,$B37,Calendar,$D37,$E37,$F37,$G37,$I37,$C37,Discounting2,PillarDate,,Permanent,Trigger,ObjectOverwrite)</f>
        <v>obj_00621#0005</v>
      </c>
      <c r="L37" s="48"/>
      <c r="M37" s="10" t="str">
        <f t="shared" si="9"/>
        <v>Sw</v>
      </c>
      <c r="N37" s="94" t="e">
        <f t="shared" si="10"/>
        <v>#NUM!</v>
      </c>
      <c r="O37" s="94" t="str">
        <f t="shared" si="11"/>
        <v>--</v>
      </c>
      <c r="P37" s="146" t="str">
        <f>IFERROR(_xll.qlRateHelperQuoteName(N37,Trigger),"--")</f>
        <v>--</v>
      </c>
      <c r="Q37" s="98" t="str">
        <f>IFERROR(_xll.qlRateHelperQuoteValue($N37,Trigger),"--")</f>
        <v>--</v>
      </c>
      <c r="R37" s="141" t="b">
        <v>0</v>
      </c>
      <c r="S37" s="94">
        <v>10</v>
      </c>
      <c r="T37" s="94">
        <v>1</v>
      </c>
      <c r="U37" s="99" t="str">
        <f>IFERROR(_xll.qlRateHelperEarliestDate(N37,Trigger),"--")</f>
        <v>--</v>
      </c>
      <c r="V37" s="99" t="str">
        <f>IFERROR(_xll.qlRateHelperPillarDate(N37,Trigger),"--")</f>
        <v>--</v>
      </c>
      <c r="X37" s="4" t="str">
        <f t="shared" si="2"/>
        <v/>
      </c>
      <c r="Y37" s="4" t="e">
        <v>#N/A</v>
      </c>
      <c r="Z37" s="4" t="e">
        <v>#N/A</v>
      </c>
      <c r="AA37" s="4" t="str">
        <f>IFERROR(_xll.qlRateHelperQuoteName(Y37,Trigger),"")</f>
        <v/>
      </c>
      <c r="AB37" s="70" t="str">
        <f>IFERROR(_xll.qlRateHelperRate(Y37,Trigger),"")</f>
        <v/>
      </c>
      <c r="AC37" s="104" t="str">
        <f>IF(ISERROR(_xll.qlSwapRateHelperSpread($Y37)),IF(ISERROR(_xll.qlFuturesRateHelperConvexityAdjustment($Y37)),"",_xll.qlFuturesRateHelperConvexityAdjustment($Y37)),_xll.qlSwapRateHelperSpread($Y37))</f>
        <v/>
      </c>
      <c r="AD37" s="5" t="str">
        <f>IFERROR(_xll.qlRateHelperEarliestDate(Y37,Trigger),"")</f>
        <v/>
      </c>
      <c r="AE37" s="5" t="str">
        <f>IFERROR(_xll.qlRateHelperPillarDate(Y37,Trigger),"")</f>
        <v/>
      </c>
      <c r="AF37" s="70" t="e">
        <v>#N/A</v>
      </c>
      <c r="AG37" s="77" t="e">
        <v>#N/A</v>
      </c>
      <c r="AH37" s="170" t="e">
        <v>#N/A</v>
      </c>
      <c r="AI37" s="171" t="e">
        <v>#N/A</v>
      </c>
      <c r="AJ37" s="173" t="e">
        <f t="shared" si="3"/>
        <v>#N/A</v>
      </c>
      <c r="AK37" s="80" t="e">
        <v>#N/A</v>
      </c>
      <c r="AL37" s="162" t="e">
        <f t="shared" si="4"/>
        <v>#N/A</v>
      </c>
    </row>
    <row r="38" spans="1:38" ht="11.25" customHeight="1" x14ac:dyDescent="0.2">
      <c r="A38" s="59" t="s">
        <v>25</v>
      </c>
      <c r="B38" s="60" t="s">
        <v>105</v>
      </c>
      <c r="C38" s="61" t="s">
        <v>6</v>
      </c>
      <c r="D38" s="61" t="s">
        <v>8</v>
      </c>
      <c r="E38" s="61" t="s">
        <v>7</v>
      </c>
      <c r="F38" s="61" t="s">
        <v>125</v>
      </c>
      <c r="G38" s="61" t="str">
        <f t="shared" si="13"/>
        <v>Euribor6M</v>
      </c>
      <c r="H38" s="59" t="str">
        <f t="shared" si="14"/>
        <v>EURAB6E21Y_LCHQuote</v>
      </c>
      <c r="I38" s="127">
        <v>0</v>
      </c>
      <c r="J38" s="64" t="e">
        <f>_xll.qlSwapRateHelper2(,$H38,2,$B38,Calendar,$D38,$E38,$F38,$G38,$I38,$C38,Discounting1,PillarDate,,Permanent,Trigger,ObjectOverwrite)</f>
        <v>#NUM!</v>
      </c>
      <c r="K38" s="64"/>
      <c r="L38" s="48"/>
      <c r="M38" s="10" t="str">
        <f t="shared" si="9"/>
        <v>Sw</v>
      </c>
      <c r="N38" s="94" t="str">
        <f t="shared" si="10"/>
        <v>obj_0057e#0005</v>
      </c>
      <c r="O38" s="94" t="str">
        <f t="shared" si="11"/>
        <v>obj_0061b#0005</v>
      </c>
      <c r="P38" s="146" t="str">
        <f>IFERROR(_xll.qlRateHelperQuoteName(N38,Trigger),"--")</f>
        <v>EURAB6E25Y_LCHQuote</v>
      </c>
      <c r="Q38" s="98">
        <f>IFERROR(_xll.qlRateHelperQuoteValue($N38,Trigger),"--")</f>
        <v>1.6433E-2</v>
      </c>
      <c r="R38" s="141" t="b">
        <v>1</v>
      </c>
      <c r="S38" s="94">
        <v>10</v>
      </c>
      <c r="T38" s="94">
        <v>1</v>
      </c>
      <c r="U38" s="99">
        <f>IFERROR(_xll.qlRateHelperEarliestDate(N38,Trigger),"--")</f>
        <v>42250</v>
      </c>
      <c r="V38" s="99">
        <f>IFERROR(_xll.qlRateHelperPillarDate(N38,Trigger),"--")</f>
        <v>51382</v>
      </c>
      <c r="X38" s="4" t="str">
        <f t="shared" si="2"/>
        <v/>
      </c>
      <c r="Y38" s="4" t="e">
        <v>#N/A</v>
      </c>
      <c r="Z38" s="4" t="e">
        <v>#N/A</v>
      </c>
      <c r="AA38" s="4" t="str">
        <f>IFERROR(_xll.qlRateHelperQuoteName(Y38,Trigger),"")</f>
        <v/>
      </c>
      <c r="AB38" s="70" t="str">
        <f>IFERROR(_xll.qlRateHelperRate(Y38,Trigger),"")</f>
        <v/>
      </c>
      <c r="AC38" s="104" t="str">
        <f>IF(ISERROR(_xll.qlSwapRateHelperSpread($Y38)),IF(ISERROR(_xll.qlFuturesRateHelperConvexityAdjustment($Y38)),"",_xll.qlFuturesRateHelperConvexityAdjustment($Y38)),_xll.qlSwapRateHelperSpread($Y38))</f>
        <v/>
      </c>
      <c r="AD38" s="5" t="str">
        <f>IFERROR(_xll.qlRateHelperEarliestDate(Y38,Trigger),"")</f>
        <v/>
      </c>
      <c r="AE38" s="5" t="str">
        <f>IFERROR(_xll.qlRateHelperPillarDate(Y38,Trigger),"")</f>
        <v/>
      </c>
      <c r="AF38" s="70" t="e">
        <v>#N/A</v>
      </c>
      <c r="AG38" s="77" t="e">
        <v>#N/A</v>
      </c>
      <c r="AH38" s="170" t="e">
        <v>#N/A</v>
      </c>
      <c r="AI38" s="171" t="e">
        <v>#N/A</v>
      </c>
      <c r="AJ38" s="173" t="e">
        <f t="shared" si="3"/>
        <v>#N/A</v>
      </c>
      <c r="AK38" s="80" t="e">
        <v>#N/A</v>
      </c>
      <c r="AL38" s="162" t="e">
        <f t="shared" si="4"/>
        <v>#N/A</v>
      </c>
    </row>
    <row r="39" spans="1:38" ht="11.25" customHeight="1" x14ac:dyDescent="0.2">
      <c r="A39" s="59" t="s">
        <v>25</v>
      </c>
      <c r="B39" s="60" t="s">
        <v>106</v>
      </c>
      <c r="C39" s="61" t="s">
        <v>6</v>
      </c>
      <c r="D39" s="61" t="s">
        <v>8</v>
      </c>
      <c r="E39" s="61" t="s">
        <v>7</v>
      </c>
      <c r="F39" s="61" t="s">
        <v>125</v>
      </c>
      <c r="G39" s="61" t="str">
        <f t="shared" si="13"/>
        <v>Euribor6M</v>
      </c>
      <c r="H39" s="59" t="str">
        <f t="shared" si="14"/>
        <v>EURAB6E22Y_LCHQuote</v>
      </c>
      <c r="I39" s="127">
        <v>0</v>
      </c>
      <c r="J39" s="64" t="e">
        <f>_xll.qlSwapRateHelper2(,$H39,2,$B39,Calendar,$D39,$E39,$F39,$G39,$I39,$C39,Discounting1,PillarDate,,Permanent,Trigger,ObjectOverwrite)</f>
        <v>#NUM!</v>
      </c>
      <c r="K39" s="64"/>
      <c r="L39" s="48"/>
      <c r="M39" s="10" t="str">
        <f t="shared" si="9"/>
        <v>Sw</v>
      </c>
      <c r="N39" s="94" t="e">
        <f t="shared" si="10"/>
        <v>#NUM!</v>
      </c>
      <c r="O39" s="94" t="str">
        <f t="shared" si="11"/>
        <v>--</v>
      </c>
      <c r="P39" s="146" t="str">
        <f>IFERROR(_xll.qlRateHelperQuoteName(N39,Trigger),"--")</f>
        <v>--</v>
      </c>
      <c r="Q39" s="98" t="str">
        <f>IFERROR(_xll.qlRateHelperQuoteValue($N39,Trigger),"--")</f>
        <v>--</v>
      </c>
      <c r="R39" s="141" t="b">
        <v>0</v>
      </c>
      <c r="S39" s="94">
        <v>10</v>
      </c>
      <c r="T39" s="94">
        <v>1</v>
      </c>
      <c r="U39" s="99" t="str">
        <f>IFERROR(_xll.qlRateHelperEarliestDate(N39,Trigger),"--")</f>
        <v>--</v>
      </c>
      <c r="V39" s="99" t="str">
        <f>IFERROR(_xll.qlRateHelperPillarDate(N39,Trigger),"--")</f>
        <v>--</v>
      </c>
      <c r="X39" s="4" t="str">
        <f t="shared" si="2"/>
        <v/>
      </c>
      <c r="Y39" s="4" t="e">
        <v>#N/A</v>
      </c>
      <c r="Z39" s="4" t="e">
        <v>#N/A</v>
      </c>
      <c r="AA39" s="4" t="str">
        <f>IFERROR(_xll.qlRateHelperQuoteName(Y39,Trigger),"")</f>
        <v/>
      </c>
      <c r="AB39" s="70" t="str">
        <f>IFERROR(_xll.qlRateHelperRate(Y39,Trigger),"")</f>
        <v/>
      </c>
      <c r="AC39" s="104" t="str">
        <f>IF(ISERROR(_xll.qlSwapRateHelperSpread($Y39)),IF(ISERROR(_xll.qlFuturesRateHelperConvexityAdjustment($Y39)),"",_xll.qlFuturesRateHelperConvexityAdjustment($Y39)),_xll.qlSwapRateHelperSpread($Y39))</f>
        <v/>
      </c>
      <c r="AD39" s="5" t="str">
        <f>IFERROR(_xll.qlRateHelperEarliestDate(Y39,Trigger),"")</f>
        <v/>
      </c>
      <c r="AE39" s="5" t="str">
        <f>IFERROR(_xll.qlRateHelperPillarDate(Y39,Trigger),"")</f>
        <v/>
      </c>
      <c r="AF39" s="70" t="e">
        <v>#N/A</v>
      </c>
      <c r="AG39" s="77" t="e">
        <v>#N/A</v>
      </c>
      <c r="AH39" s="170" t="e">
        <v>#N/A</v>
      </c>
      <c r="AI39" s="171" t="e">
        <v>#N/A</v>
      </c>
      <c r="AJ39" s="173" t="e">
        <f t="shared" si="3"/>
        <v>#N/A</v>
      </c>
      <c r="AK39" s="80" t="e">
        <v>#N/A</v>
      </c>
      <c r="AL39" s="162" t="e">
        <f t="shared" si="4"/>
        <v>#N/A</v>
      </c>
    </row>
    <row r="40" spans="1:38" ht="11.25" customHeight="1" x14ac:dyDescent="0.2">
      <c r="A40" s="59" t="s">
        <v>25</v>
      </c>
      <c r="B40" s="60" t="s">
        <v>107</v>
      </c>
      <c r="C40" s="61" t="s">
        <v>6</v>
      </c>
      <c r="D40" s="61" t="s">
        <v>8</v>
      </c>
      <c r="E40" s="61" t="s">
        <v>7</v>
      </c>
      <c r="F40" s="61" t="s">
        <v>125</v>
      </c>
      <c r="G40" s="61" t="str">
        <f t="shared" si="13"/>
        <v>Euribor6M</v>
      </c>
      <c r="H40" s="59" t="str">
        <f t="shared" si="14"/>
        <v>EURAB6E23Y_LCHQuote</v>
      </c>
      <c r="I40" s="127">
        <v>0</v>
      </c>
      <c r="J40" s="64" t="e">
        <f>_xll.qlSwapRateHelper2(,$H40,2,$B40,Calendar,$D40,$E40,$F40,$G40,$I40,$C40,Discounting1,PillarDate,,Permanent,Trigger,ObjectOverwrite)</f>
        <v>#NUM!</v>
      </c>
      <c r="K40" s="64"/>
      <c r="L40" s="48"/>
      <c r="M40" s="10" t="str">
        <f t="shared" si="9"/>
        <v>Sw</v>
      </c>
      <c r="N40" s="94" t="e">
        <f t="shared" si="10"/>
        <v>#NUM!</v>
      </c>
      <c r="O40" s="94" t="str">
        <f t="shared" si="11"/>
        <v>--</v>
      </c>
      <c r="P40" s="146" t="str">
        <f>IFERROR(_xll.qlRateHelperQuoteName(N40,Trigger),"--")</f>
        <v>--</v>
      </c>
      <c r="Q40" s="98" t="str">
        <f>IFERROR(_xll.qlRateHelperQuoteValue($N40,Trigger),"--")</f>
        <v>--</v>
      </c>
      <c r="R40" s="141" t="b">
        <v>0</v>
      </c>
      <c r="S40" s="94">
        <v>10</v>
      </c>
      <c r="T40" s="94">
        <v>1</v>
      </c>
      <c r="U40" s="99" t="str">
        <f>IFERROR(_xll.qlRateHelperEarliestDate(N40,Trigger),"--")</f>
        <v>--</v>
      </c>
      <c r="V40" s="99" t="str">
        <f>IFERROR(_xll.qlRateHelperPillarDate(N40,Trigger),"--")</f>
        <v>--</v>
      </c>
      <c r="X40" s="4" t="str">
        <f t="shared" si="2"/>
        <v/>
      </c>
      <c r="Y40" s="4" t="e">
        <v>#N/A</v>
      </c>
      <c r="Z40" s="4" t="e">
        <v>#N/A</v>
      </c>
      <c r="AA40" s="4" t="str">
        <f>IFERROR(_xll.qlRateHelperQuoteName(Y40,Trigger),"")</f>
        <v/>
      </c>
      <c r="AB40" s="70" t="str">
        <f>IFERROR(_xll.qlRateHelperRate(Y40,Trigger),"")</f>
        <v/>
      </c>
      <c r="AC40" s="104" t="str">
        <f>IF(ISERROR(_xll.qlSwapRateHelperSpread($Y40)),IF(ISERROR(_xll.qlFuturesRateHelperConvexityAdjustment($Y40)),"",_xll.qlFuturesRateHelperConvexityAdjustment($Y40)),_xll.qlSwapRateHelperSpread($Y40))</f>
        <v/>
      </c>
      <c r="AD40" s="5" t="str">
        <f>IFERROR(_xll.qlRateHelperEarliestDate(Y40,Trigger),"")</f>
        <v/>
      </c>
      <c r="AE40" s="5" t="str">
        <f>IFERROR(_xll.qlRateHelperPillarDate(Y40,Trigger),"")</f>
        <v/>
      </c>
      <c r="AF40" s="70" t="e">
        <v>#N/A</v>
      </c>
      <c r="AG40" s="77" t="e">
        <v>#N/A</v>
      </c>
      <c r="AH40" s="170" t="e">
        <v>#N/A</v>
      </c>
      <c r="AI40" s="171" t="e">
        <v>#N/A</v>
      </c>
      <c r="AJ40" s="173" t="e">
        <f t="shared" si="3"/>
        <v>#N/A</v>
      </c>
      <c r="AK40" s="80" t="e">
        <v>#N/A</v>
      </c>
      <c r="AL40" s="162" t="e">
        <f t="shared" si="4"/>
        <v>#N/A</v>
      </c>
    </row>
    <row r="41" spans="1:38" ht="11.25" customHeight="1" x14ac:dyDescent="0.2">
      <c r="A41" s="59" t="s">
        <v>25</v>
      </c>
      <c r="B41" s="60" t="s">
        <v>108</v>
      </c>
      <c r="C41" s="61" t="s">
        <v>6</v>
      </c>
      <c r="D41" s="61" t="s">
        <v>8</v>
      </c>
      <c r="E41" s="61" t="s">
        <v>7</v>
      </c>
      <c r="F41" s="61" t="s">
        <v>125</v>
      </c>
      <c r="G41" s="61" t="str">
        <f t="shared" si="13"/>
        <v>Euribor6M</v>
      </c>
      <c r="H41" s="59" t="str">
        <f t="shared" si="14"/>
        <v>EURAB6E24Y_LCHQuote</v>
      </c>
      <c r="I41" s="127">
        <v>0</v>
      </c>
      <c r="J41" s="64" t="e">
        <f>_xll.qlSwapRateHelper2(,$H41,2,$B41,Calendar,$D41,$E41,$F41,$G41,$I41,$C41,Discounting1,PillarDate,,Permanent,Trigger,ObjectOverwrite)</f>
        <v>#NUM!</v>
      </c>
      <c r="K41" s="64"/>
      <c r="M41" s="10" t="str">
        <f t="shared" si="9"/>
        <v>Sw</v>
      </c>
      <c r="N41" s="94" t="e">
        <f t="shared" si="10"/>
        <v>#NUM!</v>
      </c>
      <c r="O41" s="94" t="str">
        <f t="shared" si="11"/>
        <v>--</v>
      </c>
      <c r="P41" s="146" t="str">
        <f>IFERROR(_xll.qlRateHelperQuoteName(N41,Trigger),"--")</f>
        <v>--</v>
      </c>
      <c r="Q41" s="98" t="str">
        <f>IFERROR(_xll.qlRateHelperQuoteValue($N41,Trigger),"--")</f>
        <v>--</v>
      </c>
      <c r="R41" s="141" t="b">
        <v>0</v>
      </c>
      <c r="S41" s="94">
        <v>10</v>
      </c>
      <c r="T41" s="94">
        <v>1</v>
      </c>
      <c r="U41" s="99" t="str">
        <f>IFERROR(_xll.qlRateHelperEarliestDate(N41,Trigger),"--")</f>
        <v>--</v>
      </c>
      <c r="V41" s="99" t="str">
        <f>IFERROR(_xll.qlRateHelperPillarDate(N41,Trigger),"--")</f>
        <v>--</v>
      </c>
      <c r="X41" s="4" t="str">
        <f t="shared" si="2"/>
        <v/>
      </c>
      <c r="Y41" s="4" t="e">
        <v>#N/A</v>
      </c>
      <c r="Z41" s="4" t="e">
        <v>#N/A</v>
      </c>
      <c r="AA41" s="4" t="str">
        <f>IFERROR(_xll.qlRateHelperQuoteName(Y41,Trigger),"")</f>
        <v/>
      </c>
      <c r="AB41" s="70" t="str">
        <f>IFERROR(_xll.qlRateHelperRate(Y41,Trigger),"")</f>
        <v/>
      </c>
      <c r="AC41" s="104" t="str">
        <f>IF(ISERROR(_xll.qlSwapRateHelperSpread($Y41)),IF(ISERROR(_xll.qlFuturesRateHelperConvexityAdjustment($Y41)),"",_xll.qlFuturesRateHelperConvexityAdjustment($Y41)),_xll.qlSwapRateHelperSpread($Y41))</f>
        <v/>
      </c>
      <c r="AD41" s="5" t="str">
        <f>IFERROR(_xll.qlRateHelperEarliestDate(Y41,Trigger),"")</f>
        <v/>
      </c>
      <c r="AE41" s="5" t="str">
        <f>IFERROR(_xll.qlRateHelperPillarDate(Y41,Trigger),"")</f>
        <v/>
      </c>
      <c r="AF41" s="70" t="e">
        <v>#N/A</v>
      </c>
      <c r="AG41" s="77" t="e">
        <v>#N/A</v>
      </c>
      <c r="AH41" s="170" t="e">
        <v>#N/A</v>
      </c>
      <c r="AI41" s="171" t="e">
        <v>#N/A</v>
      </c>
      <c r="AJ41" s="173" t="e">
        <f t="shared" si="3"/>
        <v>#N/A</v>
      </c>
      <c r="AK41" s="80" t="e">
        <v>#N/A</v>
      </c>
      <c r="AL41" s="162" t="e">
        <f t="shared" si="4"/>
        <v>#N/A</v>
      </c>
    </row>
    <row r="42" spans="1:38" ht="11.25" customHeight="1" x14ac:dyDescent="0.2">
      <c r="A42" s="59" t="s">
        <v>25</v>
      </c>
      <c r="B42" s="60" t="s">
        <v>64</v>
      </c>
      <c r="C42" s="61" t="s">
        <v>6</v>
      </c>
      <c r="D42" s="61" t="s">
        <v>8</v>
      </c>
      <c r="E42" s="61" t="s">
        <v>7</v>
      </c>
      <c r="F42" s="61" t="s">
        <v>125</v>
      </c>
      <c r="G42" s="61" t="str">
        <f t="shared" si="13"/>
        <v>Euribor6M</v>
      </c>
      <c r="H42" s="59" t="str">
        <f t="shared" si="14"/>
        <v>EURAB6E25Y_LCHQuote</v>
      </c>
      <c r="I42" s="127">
        <v>0</v>
      </c>
      <c r="J42" s="64" t="str">
        <f>_xll.qlSwapRateHelper2(,$H42,2,$B42,Calendar,$D42,$E42,$F42,$G42,$I42,$C42,Discounting1,PillarDate,,Permanent,Trigger,ObjectOverwrite)</f>
        <v>obj_0057e#0005</v>
      </c>
      <c r="K42" s="64" t="str">
        <f>_xll.qlSwapRateHelper2(,$H42,2,$B42,Calendar,$D42,$E42,$F42,$G42,$I42,$C42,Discounting2,PillarDate,,Permanent,Trigger,ObjectOverwrite)</f>
        <v>obj_0061b#0005</v>
      </c>
      <c r="M42" s="10" t="str">
        <f t="shared" si="9"/>
        <v>Sw</v>
      </c>
      <c r="N42" s="94" t="e">
        <f t="shared" si="10"/>
        <v>#NUM!</v>
      </c>
      <c r="O42" s="94" t="str">
        <f t="shared" si="11"/>
        <v>--</v>
      </c>
      <c r="P42" s="146" t="str">
        <f>IFERROR(_xll.qlRateHelperQuoteName(N42,Trigger),"--")</f>
        <v>--</v>
      </c>
      <c r="Q42" s="98" t="str">
        <f>IFERROR(_xll.qlRateHelperQuoteValue($N42,Trigger),"--")</f>
        <v>--</v>
      </c>
      <c r="R42" s="141" t="b">
        <v>0</v>
      </c>
      <c r="S42" s="94">
        <v>10</v>
      </c>
      <c r="T42" s="94">
        <v>1</v>
      </c>
      <c r="U42" s="99" t="str">
        <f>IFERROR(_xll.qlRateHelperEarliestDate(N42,Trigger),"--")</f>
        <v>--</v>
      </c>
      <c r="V42" s="99" t="str">
        <f>IFERROR(_xll.qlRateHelperPillarDate(N42,Trigger),"--")</f>
        <v>--</v>
      </c>
      <c r="X42" s="4" t="str">
        <f t="shared" si="2"/>
        <v/>
      </c>
      <c r="Y42" s="4" t="e">
        <v>#N/A</v>
      </c>
      <c r="Z42" s="4" t="e">
        <v>#N/A</v>
      </c>
      <c r="AA42" s="4" t="str">
        <f>IFERROR(_xll.qlRateHelperQuoteName(Y42,Trigger),"")</f>
        <v/>
      </c>
      <c r="AB42" s="70" t="str">
        <f>IFERROR(_xll.qlRateHelperRate(Y42,Trigger),"")</f>
        <v/>
      </c>
      <c r="AC42" s="104" t="str">
        <f>IF(ISERROR(_xll.qlSwapRateHelperSpread($Y42)),IF(ISERROR(_xll.qlFuturesRateHelperConvexityAdjustment($Y42)),"",_xll.qlFuturesRateHelperConvexityAdjustment($Y42)),_xll.qlSwapRateHelperSpread($Y42))</f>
        <v/>
      </c>
      <c r="AD42" s="5" t="str">
        <f>IFERROR(_xll.qlRateHelperEarliestDate(Y42,Trigger),"")</f>
        <v/>
      </c>
      <c r="AE42" s="5" t="str">
        <f>IFERROR(_xll.qlRateHelperPillarDate(Y42,Trigger),"")</f>
        <v/>
      </c>
      <c r="AF42" s="70" t="e">
        <v>#N/A</v>
      </c>
      <c r="AG42" s="77" t="e">
        <v>#N/A</v>
      </c>
      <c r="AH42" s="170" t="e">
        <v>#N/A</v>
      </c>
      <c r="AI42" s="171" t="e">
        <v>#N/A</v>
      </c>
      <c r="AJ42" s="173" t="e">
        <f t="shared" si="3"/>
        <v>#N/A</v>
      </c>
      <c r="AK42" s="80" t="e">
        <v>#N/A</v>
      </c>
      <c r="AL42" s="162" t="e">
        <f t="shared" si="4"/>
        <v>#N/A</v>
      </c>
    </row>
    <row r="43" spans="1:38" ht="11.25" customHeight="1" x14ac:dyDescent="0.2">
      <c r="A43" s="59" t="s">
        <v>25</v>
      </c>
      <c r="B43" s="60" t="s">
        <v>109</v>
      </c>
      <c r="C43" s="61" t="s">
        <v>6</v>
      </c>
      <c r="D43" s="61" t="s">
        <v>8</v>
      </c>
      <c r="E43" s="61" t="s">
        <v>7</v>
      </c>
      <c r="F43" s="61" t="s">
        <v>125</v>
      </c>
      <c r="G43" s="61" t="str">
        <f t="shared" si="13"/>
        <v>Euribor6M</v>
      </c>
      <c r="H43" s="59" t="str">
        <f t="shared" si="14"/>
        <v>EURAB6E26Y_LCHQuote</v>
      </c>
      <c r="I43" s="127">
        <v>0</v>
      </c>
      <c r="J43" s="64" t="e">
        <f>_xll.qlSwapRateHelper2(,$H43,2,$B43,Calendar,$D43,$E43,$F43,$G43,$I43,$C43,Discounting1,PillarDate,,Permanent,Trigger,ObjectOverwrite)</f>
        <v>#NUM!</v>
      </c>
      <c r="K43" s="64"/>
      <c r="M43" s="10" t="str">
        <f t="shared" si="9"/>
        <v>Sw</v>
      </c>
      <c r="N43" s="94" t="str">
        <f t="shared" si="10"/>
        <v>obj_0057f#0005</v>
      </c>
      <c r="O43" s="94" t="str">
        <f t="shared" si="11"/>
        <v>obj_0060b#0005</v>
      </c>
      <c r="P43" s="146" t="str">
        <f>IFERROR(_xll.qlRateHelperQuoteName(N43,Trigger),"--")</f>
        <v>EURAB6E30Y_LCHQuote</v>
      </c>
      <c r="Q43" s="98">
        <f>IFERROR(_xll.qlRateHelperQuoteValue($N43,Trigger),"--")</f>
        <v>1.6500500000000001E-2</v>
      </c>
      <c r="R43" s="141" t="b">
        <v>1</v>
      </c>
      <c r="S43" s="94">
        <v>10</v>
      </c>
      <c r="T43" s="94">
        <v>1</v>
      </c>
      <c r="U43" s="99">
        <f>IFERROR(_xll.qlRateHelperEarliestDate(N43,Trigger),"--")</f>
        <v>42250</v>
      </c>
      <c r="V43" s="99">
        <f>IFERROR(_xll.qlRateHelperPillarDate(N43,Trigger),"--")</f>
        <v>53209</v>
      </c>
      <c r="X43" s="4" t="str">
        <f t="shared" si="2"/>
        <v/>
      </c>
      <c r="Y43" s="4" t="e">
        <v>#N/A</v>
      </c>
      <c r="Z43" s="4" t="e">
        <v>#N/A</v>
      </c>
      <c r="AA43" s="4" t="str">
        <f>IFERROR(_xll.qlRateHelperQuoteName(Y43,Trigger),"")</f>
        <v/>
      </c>
      <c r="AB43" s="70" t="str">
        <f>IFERROR(_xll.qlRateHelperRate(Y43,Trigger),"")</f>
        <v/>
      </c>
      <c r="AC43" s="104" t="str">
        <f>IF(ISERROR(_xll.qlSwapRateHelperSpread($Y43)),IF(ISERROR(_xll.qlFuturesRateHelperConvexityAdjustment($Y43)),"",_xll.qlFuturesRateHelperConvexityAdjustment($Y43)),_xll.qlSwapRateHelperSpread($Y43))</f>
        <v/>
      </c>
      <c r="AD43" s="5" t="str">
        <f>IFERROR(_xll.qlRateHelperEarliestDate(Y43,Trigger),"")</f>
        <v/>
      </c>
      <c r="AE43" s="5" t="str">
        <f>IFERROR(_xll.qlRateHelperPillarDate(Y43,Trigger),"")</f>
        <v/>
      </c>
      <c r="AF43" s="70" t="e">
        <v>#N/A</v>
      </c>
      <c r="AG43" s="77" t="e">
        <v>#N/A</v>
      </c>
      <c r="AH43" s="170" t="e">
        <v>#N/A</v>
      </c>
      <c r="AI43" s="171" t="e">
        <v>#N/A</v>
      </c>
      <c r="AJ43" s="173" t="e">
        <f t="shared" si="3"/>
        <v>#N/A</v>
      </c>
      <c r="AK43" s="80" t="e">
        <v>#N/A</v>
      </c>
      <c r="AL43" s="162" t="e">
        <f t="shared" si="4"/>
        <v>#N/A</v>
      </c>
    </row>
    <row r="44" spans="1:38" ht="11.25" customHeight="1" x14ac:dyDescent="0.2">
      <c r="A44" s="59" t="s">
        <v>25</v>
      </c>
      <c r="B44" s="60" t="s">
        <v>65</v>
      </c>
      <c r="C44" s="61" t="s">
        <v>6</v>
      </c>
      <c r="D44" s="61" t="s">
        <v>8</v>
      </c>
      <c r="E44" s="61" t="s">
        <v>7</v>
      </c>
      <c r="F44" s="61" t="s">
        <v>125</v>
      </c>
      <c r="G44" s="61" t="str">
        <f t="shared" si="13"/>
        <v>Euribor6M</v>
      </c>
      <c r="H44" s="59" t="str">
        <f t="shared" si="14"/>
        <v>EURAB6E27Y_LCHQuote</v>
      </c>
      <c r="I44" s="127">
        <v>0</v>
      </c>
      <c r="J44" s="64" t="e">
        <f>_xll.qlSwapRateHelper2(,$H44,2,$B44,Calendar,$D44,$E44,$F44,$G44,$I44,$C44,Discounting1,PillarDate,,Permanent,Trigger,ObjectOverwrite)</f>
        <v>#NUM!</v>
      </c>
      <c r="K44" s="64"/>
      <c r="M44" s="10" t="str">
        <f t="shared" si="9"/>
        <v>Sw</v>
      </c>
      <c r="N44" s="94" t="e">
        <f t="shared" si="10"/>
        <v>#NUM!</v>
      </c>
      <c r="O44" s="94" t="str">
        <f t="shared" si="11"/>
        <v>--</v>
      </c>
      <c r="P44" s="146" t="str">
        <f>IFERROR(_xll.qlRateHelperQuoteName(N44,Trigger),"--")</f>
        <v>--</v>
      </c>
      <c r="Q44" s="98" t="str">
        <f>IFERROR(_xll.qlRateHelperQuoteValue($N44,Trigger),"--")</f>
        <v>--</v>
      </c>
      <c r="R44" s="141" t="b">
        <v>0</v>
      </c>
      <c r="S44" s="94">
        <v>10</v>
      </c>
      <c r="T44" s="94">
        <v>1</v>
      </c>
      <c r="U44" s="99" t="str">
        <f>IFERROR(_xll.qlRateHelperEarliestDate(N44,Trigger),"--")</f>
        <v>--</v>
      </c>
      <c r="V44" s="99" t="str">
        <f>IFERROR(_xll.qlRateHelperPillarDate(N44,Trigger),"--")</f>
        <v>--</v>
      </c>
      <c r="X44" s="4" t="str">
        <f t="shared" si="2"/>
        <v/>
      </c>
      <c r="Y44" s="4" t="e">
        <v>#N/A</v>
      </c>
      <c r="Z44" s="4" t="e">
        <v>#N/A</v>
      </c>
      <c r="AA44" s="4" t="str">
        <f>IFERROR(_xll.qlRateHelperQuoteName(Y44,Trigger),"")</f>
        <v/>
      </c>
      <c r="AB44" s="70" t="str">
        <f>IFERROR(_xll.qlRateHelperRate(Y44,Trigger),"")</f>
        <v/>
      </c>
      <c r="AC44" s="104" t="str">
        <f>IF(ISERROR(_xll.qlSwapRateHelperSpread($Y44)),IF(ISERROR(_xll.qlFuturesRateHelperConvexityAdjustment($Y44)),"",_xll.qlFuturesRateHelperConvexityAdjustment($Y44)),_xll.qlSwapRateHelperSpread($Y44))</f>
        <v/>
      </c>
      <c r="AD44" s="5" t="str">
        <f>IFERROR(_xll.qlRateHelperEarliestDate(Y44,Trigger),"")</f>
        <v/>
      </c>
      <c r="AE44" s="5" t="str">
        <f>IFERROR(_xll.qlRateHelperPillarDate(Y44,Trigger),"")</f>
        <v/>
      </c>
      <c r="AF44" s="70" t="e">
        <v>#N/A</v>
      </c>
      <c r="AG44" s="77" t="e">
        <v>#N/A</v>
      </c>
      <c r="AH44" s="170" t="e">
        <v>#N/A</v>
      </c>
      <c r="AI44" s="171" t="e">
        <v>#N/A</v>
      </c>
      <c r="AJ44" s="173" t="e">
        <f t="shared" si="3"/>
        <v>#N/A</v>
      </c>
      <c r="AK44" s="80" t="e">
        <v>#N/A</v>
      </c>
      <c r="AL44" s="162" t="e">
        <f t="shared" si="4"/>
        <v>#N/A</v>
      </c>
    </row>
    <row r="45" spans="1:38" ht="11.25" customHeight="1" x14ac:dyDescent="0.2">
      <c r="A45" s="59" t="s">
        <v>25</v>
      </c>
      <c r="B45" s="60" t="s">
        <v>110</v>
      </c>
      <c r="C45" s="61" t="s">
        <v>6</v>
      </c>
      <c r="D45" s="61" t="s">
        <v>8</v>
      </c>
      <c r="E45" s="61" t="s">
        <v>7</v>
      </c>
      <c r="F45" s="61" t="s">
        <v>125</v>
      </c>
      <c r="G45" s="61" t="str">
        <f t="shared" si="13"/>
        <v>Euribor6M</v>
      </c>
      <c r="H45" s="59" t="str">
        <f t="shared" si="14"/>
        <v>EURAB6E28Y_LCHQuote</v>
      </c>
      <c r="I45" s="127">
        <v>0</v>
      </c>
      <c r="J45" s="64" t="e">
        <f>_xll.qlSwapRateHelper2(,$H45,2,$B45,Calendar,$D45,$E45,$F45,$G45,$I45,$C45,Discounting1,PillarDate,,Permanent,Trigger,ObjectOverwrite)</f>
        <v>#NUM!</v>
      </c>
      <c r="K45" s="64"/>
      <c r="M45" s="10" t="str">
        <f t="shared" si="9"/>
        <v>Sw</v>
      </c>
      <c r="N45" s="94" t="str">
        <f t="shared" si="10"/>
        <v>obj_0057d#0005</v>
      </c>
      <c r="O45" s="94" t="str">
        <f t="shared" si="11"/>
        <v>obj_00609#0005</v>
      </c>
      <c r="P45" s="146" t="str">
        <f>IFERROR(_xll.qlRateHelperQuoteName(N45,Trigger),"--")</f>
        <v>EURAB6E40Y_LCHQuote</v>
      </c>
      <c r="Q45" s="98">
        <f>IFERROR(_xll.qlRateHelperQuoteValue($N45,Trigger),"--")</f>
        <v>1.6621E-2</v>
      </c>
      <c r="R45" s="141" t="b">
        <v>1</v>
      </c>
      <c r="S45" s="94">
        <v>10</v>
      </c>
      <c r="T45" s="94">
        <v>1</v>
      </c>
      <c r="U45" s="99">
        <f>IFERROR(_xll.qlRateHelperEarliestDate(N45,Trigger),"--")</f>
        <v>42250</v>
      </c>
      <c r="V45" s="99">
        <f>IFERROR(_xll.qlRateHelperPillarDate(N45,Trigger),"--")</f>
        <v>56860</v>
      </c>
      <c r="X45" s="4" t="str">
        <f t="shared" si="2"/>
        <v/>
      </c>
      <c r="Y45" s="4" t="e">
        <v>#N/A</v>
      </c>
      <c r="Z45" s="4" t="e">
        <v>#N/A</v>
      </c>
      <c r="AA45" s="4" t="str">
        <f>IFERROR(_xll.qlRateHelperQuoteName(Y45,Trigger),"")</f>
        <v/>
      </c>
      <c r="AB45" s="70" t="str">
        <f>IFERROR(_xll.qlRateHelperRate(Y45,Trigger),"")</f>
        <v/>
      </c>
      <c r="AC45" s="104" t="str">
        <f>IF(ISERROR(_xll.qlSwapRateHelperSpread($Y45)),IF(ISERROR(_xll.qlFuturesRateHelperConvexityAdjustment($Y45)),"",_xll.qlFuturesRateHelperConvexityAdjustment($Y45)),_xll.qlSwapRateHelperSpread($Y45))</f>
        <v/>
      </c>
      <c r="AD45" s="5" t="str">
        <f>IFERROR(_xll.qlRateHelperEarliestDate(Y45,Trigger),"")</f>
        <v/>
      </c>
      <c r="AE45" s="5" t="str">
        <f>IFERROR(_xll.qlRateHelperPillarDate(Y45,Trigger),"")</f>
        <v/>
      </c>
      <c r="AF45" s="70" t="e">
        <v>#N/A</v>
      </c>
      <c r="AG45" s="77" t="e">
        <v>#N/A</v>
      </c>
      <c r="AH45" s="170" t="e">
        <v>#N/A</v>
      </c>
      <c r="AI45" s="171" t="e">
        <v>#N/A</v>
      </c>
      <c r="AJ45" s="173" t="e">
        <f t="shared" si="3"/>
        <v>#N/A</v>
      </c>
      <c r="AK45" s="80" t="e">
        <v>#N/A</v>
      </c>
      <c r="AL45" s="162" t="e">
        <f t="shared" si="4"/>
        <v>#N/A</v>
      </c>
    </row>
    <row r="46" spans="1:38" ht="11.25" customHeight="1" x14ac:dyDescent="0.2">
      <c r="A46" s="59" t="s">
        <v>25</v>
      </c>
      <c r="B46" s="60" t="s">
        <v>111</v>
      </c>
      <c r="C46" s="61" t="s">
        <v>6</v>
      </c>
      <c r="D46" s="61" t="s">
        <v>8</v>
      </c>
      <c r="E46" s="61" t="s">
        <v>7</v>
      </c>
      <c r="F46" s="61" t="s">
        <v>125</v>
      </c>
      <c r="G46" s="61" t="str">
        <f t="shared" si="13"/>
        <v>Euribor6M</v>
      </c>
      <c r="H46" s="59" t="str">
        <f t="shared" si="14"/>
        <v>EURAB6E29Y_LCHQuote</v>
      </c>
      <c r="I46" s="127">
        <v>0</v>
      </c>
      <c r="J46" s="64" t="e">
        <f>_xll.qlSwapRateHelper2(,$H46,2,$B46,Calendar,$D46,$E46,$F46,$G46,$I46,$C46,Discounting1,PillarDate,,Permanent,Trigger,ObjectOverwrite)</f>
        <v>#NUM!</v>
      </c>
      <c r="K46" s="64"/>
      <c r="M46" s="10" t="str">
        <f t="shared" si="9"/>
        <v>Sw</v>
      </c>
      <c r="N46" s="94" t="str">
        <f t="shared" si="10"/>
        <v>obj_00584#0005</v>
      </c>
      <c r="O46" s="94" t="str">
        <f t="shared" si="11"/>
        <v>obj_0060e#0005</v>
      </c>
      <c r="P46" s="146" t="str">
        <f>IFERROR(_xll.qlRateHelperQuoteName(N46,Trigger),"--")</f>
        <v>EURAB6E50Y_LCHQuote</v>
      </c>
      <c r="Q46" s="98">
        <f>IFERROR(_xll.qlRateHelperQuoteValue($N46,Trigger),"--")</f>
        <v>1.6251000000000002E-2</v>
      </c>
      <c r="R46" s="141" t="b">
        <v>1</v>
      </c>
      <c r="S46" s="94">
        <v>10</v>
      </c>
      <c r="T46" s="94">
        <v>1</v>
      </c>
      <c r="U46" s="99">
        <f>IFERROR(_xll.qlRateHelperEarliestDate(N46,Trigger),"--")</f>
        <v>42250</v>
      </c>
      <c r="V46" s="99">
        <f>IFERROR(_xll.qlRateHelperPillarDate(N46,Trigger),"--")</f>
        <v>60513</v>
      </c>
      <c r="X46" s="4" t="str">
        <f t="shared" si="2"/>
        <v/>
      </c>
      <c r="Y46" s="4" t="e">
        <v>#N/A</v>
      </c>
      <c r="Z46" s="4" t="e">
        <v>#N/A</v>
      </c>
      <c r="AA46" s="4" t="str">
        <f>IFERROR(_xll.qlRateHelperQuoteName(Y46,Trigger),"")</f>
        <v/>
      </c>
      <c r="AB46" s="70" t="str">
        <f>IFERROR(_xll.qlRateHelperRate(Y46,Trigger),"")</f>
        <v/>
      </c>
      <c r="AC46" s="104" t="str">
        <f>IF(ISERROR(_xll.qlSwapRateHelperSpread($Y46)),IF(ISERROR(_xll.qlFuturesRateHelperConvexityAdjustment($Y46)),"",_xll.qlFuturesRateHelperConvexityAdjustment($Y46)),_xll.qlSwapRateHelperSpread($Y46))</f>
        <v/>
      </c>
      <c r="AD46" s="5" t="str">
        <f>IFERROR(_xll.qlRateHelperEarliestDate(Y46,Trigger),"")</f>
        <v/>
      </c>
      <c r="AE46" s="5" t="str">
        <f>IFERROR(_xll.qlRateHelperPillarDate(Y46,Trigger),"")</f>
        <v/>
      </c>
      <c r="AF46" s="70" t="e">
        <v>#N/A</v>
      </c>
      <c r="AG46" s="77" t="e">
        <v>#N/A</v>
      </c>
      <c r="AH46" s="170" t="e">
        <v>#N/A</v>
      </c>
      <c r="AI46" s="171" t="e">
        <v>#N/A</v>
      </c>
      <c r="AJ46" s="173" t="e">
        <f t="shared" si="3"/>
        <v>#N/A</v>
      </c>
      <c r="AK46" s="80" t="e">
        <v>#N/A</v>
      </c>
      <c r="AL46" s="162" t="e">
        <f t="shared" si="4"/>
        <v>#N/A</v>
      </c>
    </row>
    <row r="47" spans="1:38" ht="11.25" customHeight="1" x14ac:dyDescent="0.2">
      <c r="A47" s="59" t="s">
        <v>25</v>
      </c>
      <c r="B47" s="60" t="s">
        <v>66</v>
      </c>
      <c r="C47" s="61" t="s">
        <v>6</v>
      </c>
      <c r="D47" s="61" t="s">
        <v>8</v>
      </c>
      <c r="E47" s="61" t="s">
        <v>7</v>
      </c>
      <c r="F47" s="61" t="s">
        <v>125</v>
      </c>
      <c r="G47" s="61" t="str">
        <f t="shared" si="13"/>
        <v>Euribor6M</v>
      </c>
      <c r="H47" s="59" t="str">
        <f t="shared" si="14"/>
        <v>EURAB6E30Y_LCHQuote</v>
      </c>
      <c r="I47" s="127">
        <v>0</v>
      </c>
      <c r="J47" s="64" t="str">
        <f>_xll.qlSwapRateHelper2(,$H47,2,$B47,Calendar,$D47,$E47,$F47,$G47,$I47,$C47,Discounting1,PillarDate,,Permanent,Trigger,ObjectOverwrite)</f>
        <v>obj_0057f#0005</v>
      </c>
      <c r="K47" s="64" t="str">
        <f>_xll.qlSwapRateHelper2(,$H47,2,$B47,Calendar,$D47,$E47,$F47,$G47,$I47,$C47,Discounting2,PillarDate,,Permanent,Trigger,ObjectOverwrite)</f>
        <v>obj_0060b#0005</v>
      </c>
      <c r="M47" s="11" t="str">
        <f t="shared" si="9"/>
        <v>Sw</v>
      </c>
      <c r="N47" s="95" t="str">
        <f t="shared" si="10"/>
        <v>obj_0057c#0005</v>
      </c>
      <c r="O47" s="95" t="str">
        <f t="shared" si="11"/>
        <v>obj_0061c#0005</v>
      </c>
      <c r="P47" s="147" t="str">
        <f>IFERROR(_xll.qlRateHelperQuoteName(N47,Trigger),"--")</f>
        <v>EURAB6E60Y_LCHQuote</v>
      </c>
      <c r="Q47" s="101">
        <f>IFERROR(_xll.qlRateHelperQuoteValue($N47,Trigger),"--")</f>
        <v>1.6047499999999999E-2</v>
      </c>
      <c r="R47" s="144" t="b">
        <v>1</v>
      </c>
      <c r="S47" s="95">
        <v>10</v>
      </c>
      <c r="T47" s="95">
        <v>1</v>
      </c>
      <c r="U47" s="102">
        <f>IFERROR(_xll.qlRateHelperEarliestDate(N47,Trigger),"--")</f>
        <v>42250</v>
      </c>
      <c r="V47" s="102">
        <f>IFERROR(_xll.qlRateHelperPillarDate(N47,Trigger),"--")</f>
        <v>64165</v>
      </c>
      <c r="X47" s="6" t="str">
        <f t="shared" si="2"/>
        <v/>
      </c>
      <c r="Y47" s="6" t="e">
        <v>#N/A</v>
      </c>
      <c r="Z47" s="6" t="e">
        <v>#N/A</v>
      </c>
      <c r="AA47" s="6" t="str">
        <f>IFERROR(_xll.qlRateHelperQuoteName(Y47,Trigger),"")</f>
        <v/>
      </c>
      <c r="AB47" s="79" t="str">
        <f>IFERROR(_xll.qlRateHelperRate(Y47,Trigger),"")</f>
        <v/>
      </c>
      <c r="AC47" s="105" t="str">
        <f>IF(ISERROR(_xll.qlSwapRateHelperSpread($Y47)),IF(ISERROR(_xll.qlFuturesRateHelperConvexityAdjustment($Y47)),"",_xll.qlFuturesRateHelperConvexityAdjustment($Y47)),_xll.qlSwapRateHelperSpread($Y47))</f>
        <v/>
      </c>
      <c r="AD47" s="12" t="str">
        <f>IFERROR(_xll.qlRateHelperEarliestDate(Y47,Trigger),"")</f>
        <v/>
      </c>
      <c r="AE47" s="12" t="str">
        <f>IFERROR(_xll.qlRateHelperPillarDate(Y47,Trigger),"")</f>
        <v/>
      </c>
      <c r="AF47" s="79" t="e">
        <v>#N/A</v>
      </c>
      <c r="AG47" s="78" t="e">
        <v>#N/A</v>
      </c>
      <c r="AH47" s="170" t="e">
        <v>#N/A</v>
      </c>
      <c r="AI47" s="171" t="e">
        <v>#N/A</v>
      </c>
      <c r="AJ47" s="173" t="e">
        <f t="shared" si="3"/>
        <v>#N/A</v>
      </c>
      <c r="AK47" s="80" t="e">
        <v>#N/A</v>
      </c>
      <c r="AL47" s="162" t="e">
        <f t="shared" si="4"/>
        <v>#N/A</v>
      </c>
    </row>
    <row r="48" spans="1:38" ht="11.25" customHeight="1" x14ac:dyDescent="0.2">
      <c r="A48" s="59" t="s">
        <v>25</v>
      </c>
      <c r="B48" s="60" t="s">
        <v>67</v>
      </c>
      <c r="C48" s="61" t="s">
        <v>6</v>
      </c>
      <c r="D48" s="61" t="s">
        <v>8</v>
      </c>
      <c r="E48" s="61" t="s">
        <v>7</v>
      </c>
      <c r="F48" s="61" t="s">
        <v>125</v>
      </c>
      <c r="G48" s="61" t="str">
        <f t="shared" si="13"/>
        <v>Euribor6M</v>
      </c>
      <c r="H48" s="59" t="str">
        <f t="shared" si="14"/>
        <v>EURAB6E35Y_LCHQuote</v>
      </c>
      <c r="I48" s="127">
        <v>0</v>
      </c>
      <c r="J48" s="64" t="e">
        <f>_xll.qlSwapRateHelper2(,$H48,2,$B48,Calendar,$D48,$E48,$F48,$G48,$I48,$C48,Discounting1,PillarDate,,Permanent,Trigger,ObjectOverwrite)</f>
        <v>#NUM!</v>
      </c>
      <c r="K48" s="64"/>
    </row>
    <row r="49" spans="1:11" ht="11.25" customHeight="1" x14ac:dyDescent="0.2">
      <c r="A49" s="59" t="s">
        <v>25</v>
      </c>
      <c r="B49" s="60" t="s">
        <v>68</v>
      </c>
      <c r="C49" s="61" t="s">
        <v>6</v>
      </c>
      <c r="D49" s="61" t="s">
        <v>8</v>
      </c>
      <c r="E49" s="61" t="s">
        <v>7</v>
      </c>
      <c r="F49" s="61" t="s">
        <v>125</v>
      </c>
      <c r="G49" s="61" t="str">
        <f t="shared" si="13"/>
        <v>Euribor6M</v>
      </c>
      <c r="H49" s="59" t="str">
        <f t="shared" si="14"/>
        <v>EURAB6E40Y_LCHQuote</v>
      </c>
      <c r="I49" s="127">
        <v>0</v>
      </c>
      <c r="J49" s="64" t="str">
        <f>_xll.qlSwapRateHelper2(,$H49,2,$B49,Calendar,$D49,$E49,$F49,$G49,$I49,$C49,Discounting1,PillarDate,,Permanent,Trigger,ObjectOverwrite)</f>
        <v>obj_0057d#0005</v>
      </c>
      <c r="K49" s="64" t="str">
        <f>_xll.qlSwapRateHelper2(,$H49,2,$B49,Calendar,$D49,$E49,$F49,$G49,$I49,$C49,Discounting2,PillarDate,,Permanent,Trigger,ObjectOverwrite)</f>
        <v>obj_00609#0005</v>
      </c>
    </row>
    <row r="50" spans="1:11" ht="11.25" customHeight="1" x14ac:dyDescent="0.2">
      <c r="A50" s="59" t="s">
        <v>25</v>
      </c>
      <c r="B50" s="60" t="s">
        <v>69</v>
      </c>
      <c r="C50" s="61" t="s">
        <v>6</v>
      </c>
      <c r="D50" s="61" t="s">
        <v>8</v>
      </c>
      <c r="E50" s="61" t="s">
        <v>7</v>
      </c>
      <c r="F50" s="61" t="s">
        <v>125</v>
      </c>
      <c r="G50" s="61" t="str">
        <f t="shared" si="13"/>
        <v>Euribor6M</v>
      </c>
      <c r="H50" s="59" t="str">
        <f t="shared" si="14"/>
        <v>EURAB6E50Y_LCHQuote</v>
      </c>
      <c r="I50" s="125">
        <v>0</v>
      </c>
      <c r="J50" s="64" t="str">
        <f>_xll.qlSwapRateHelper2(,$H50,2,$B50,Calendar,$D50,$E50,$F50,$G50,$I50,$C50,Discounting1,PillarDate,,Permanent,Trigger,ObjectOverwrite)</f>
        <v>obj_00584#0005</v>
      </c>
      <c r="K50" s="64" t="str">
        <f>_xll.qlSwapRateHelper2(,$H50,2,$B50,Calendar,$D50,$E50,$F50,$G50,$I50,$C50,Discounting2,PillarDate,,Permanent,Trigger,ObjectOverwrite)</f>
        <v>obj_0060e#0005</v>
      </c>
    </row>
    <row r="51" spans="1:11" ht="11.25" customHeight="1" x14ac:dyDescent="0.2">
      <c r="A51" s="1" t="s">
        <v>25</v>
      </c>
      <c r="B51" s="8" t="s">
        <v>112</v>
      </c>
      <c r="C51" s="7" t="s">
        <v>6</v>
      </c>
      <c r="D51" s="7" t="s">
        <v>8</v>
      </c>
      <c r="E51" s="7" t="s">
        <v>7</v>
      </c>
      <c r="F51" s="7" t="s">
        <v>125</v>
      </c>
      <c r="G51" s="7" t="str">
        <f t="shared" si="13"/>
        <v>Euribor6M</v>
      </c>
      <c r="H51" s="1" t="str">
        <f t="shared" si="14"/>
        <v>EURAB6E60Y_LCHQuote</v>
      </c>
      <c r="I51" s="128">
        <v>0</v>
      </c>
      <c r="J51" s="3" t="str">
        <f>_xll.qlSwapRateHelper2(,$H51,2,$B51,Calendar,$D51,$E51,$F51,$G51,$I51,$C51,Discounting1,PillarDate,,Permanent,Trigger,ObjectOverwrite)</f>
        <v>obj_0057c#0005</v>
      </c>
      <c r="K51" s="3" t="str">
        <f>_xll.qlSwapRateHelper2(,$H51,2,$B51,Calendar,$D51,$E51,$F51,$G51,$I51,$C51,Discounting2,PillarDate,,Permanent,Trigger,ObjectOverwrite)</f>
        <v>obj_0061c#0005</v>
      </c>
    </row>
    <row r="52" spans="1:11" ht="11.25" customHeight="1" x14ac:dyDescent="0.2"/>
    <row r="53" spans="1:11" ht="11.25" customHeight="1" x14ac:dyDescent="0.2"/>
    <row r="54" spans="1:11" ht="11.25" customHeight="1" x14ac:dyDescent="0.2"/>
    <row r="55" spans="1:11" ht="11.25" customHeight="1" x14ac:dyDescent="0.2"/>
    <row r="56" spans="1:11" ht="11.25" customHeight="1" x14ac:dyDescent="0.2"/>
    <row r="57" spans="1:11" ht="11.25" customHeight="1" x14ac:dyDescent="0.2"/>
    <row r="58" spans="1:11" ht="11.25" customHeight="1" x14ac:dyDescent="0.2"/>
    <row r="59" spans="1:11" ht="11.25" customHeight="1" x14ac:dyDescent="0.2"/>
    <row r="60" spans="1:11" ht="11.25" customHeight="1" x14ac:dyDescent="0.2"/>
    <row r="61" spans="1:11" ht="11.25" customHeight="1" x14ac:dyDescent="0.2"/>
    <row r="62" spans="1:11" ht="11.25" customHeight="1" x14ac:dyDescent="0.2"/>
    <row r="63" spans="1:11" ht="11.25" customHeight="1" x14ac:dyDescent="0.2"/>
    <row r="64" spans="1:11" ht="11.25" customHeight="1" x14ac:dyDescent="0.2"/>
    <row r="65" ht="11.25" customHeight="1" x14ac:dyDescent="0.2"/>
    <row r="66" ht="11.25" customHeight="1" x14ac:dyDescent="0.2"/>
    <row r="67" ht="11.25" customHeight="1" x14ac:dyDescent="0.2"/>
    <row r="68" ht="11.25" customHeight="1" x14ac:dyDescent="0.2"/>
    <row r="69" ht="11.25" customHeight="1" x14ac:dyDescent="0.2"/>
    <row r="70" ht="11.25" customHeight="1" x14ac:dyDescent="0.2"/>
    <row r="71" ht="11.25" customHeight="1" x14ac:dyDescent="0.2"/>
    <row r="72" ht="11.25" customHeight="1" x14ac:dyDescent="0.2"/>
    <row r="73" ht="11.25" customHeight="1" x14ac:dyDescent="0.2"/>
    <row r="74" ht="11.25" customHeight="1" x14ac:dyDescent="0.2"/>
    <row r="75" ht="11.25" customHeight="1" x14ac:dyDescent="0.2"/>
    <row r="76" ht="11.25" customHeight="1" x14ac:dyDescent="0.2"/>
    <row r="77" ht="11.25" customHeight="1" x14ac:dyDescent="0.2"/>
    <row r="78" ht="11.25" customHeight="1" x14ac:dyDescent="0.2"/>
    <row r="79" ht="11.25" customHeight="1" x14ac:dyDescent="0.2"/>
    <row r="80" ht="11.25" customHeight="1" x14ac:dyDescent="0.2"/>
    <row r="90" spans="12:12" x14ac:dyDescent="0.2">
      <c r="L90" s="46" t="s">
        <v>36</v>
      </c>
    </row>
  </sheetData>
  <mergeCells count="1">
    <mergeCell ref="AN2:AO2"/>
  </mergeCells>
  <dataValidations count="4">
    <dataValidation type="list" allowBlank="1" showInputMessage="1" showErrorMessage="1" sqref="AO6">
      <formula1>"AllDepos,DeposBeforeFirstFuturesStartDate,DeposBeforeFirstFuturesStartDatePlusOne,DeposBeforeFirstFuturesExpiryDate"</formula1>
    </dataValidation>
    <dataValidation type="list" allowBlank="1" showInputMessage="1" showErrorMessage="1" sqref="F15:F51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E15:E51">
      <formula1>"Following,Modified Following,Preceding,Modified Preceding,Unadjusted,Half-Month Modified Following"</formula1>
    </dataValidation>
    <dataValidation type="list" allowBlank="1" showInputMessage="1" showErrorMessage="1" sqref="D15:D51">
      <formula1>"Annual,Semiannual,EveryFourthMonth,Quarterly,Bimonthly,Monthly,Biweekly,Weekly,Daily,Once,NoFrequency"</formula1>
    </dataValidation>
  </dataValidation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P95"/>
  <sheetViews>
    <sheetView showGridLines="0" topLeftCell="L1" zoomScaleNormal="100" workbookViewId="0">
      <selection activeCell="L1" sqref="L1"/>
    </sheetView>
  </sheetViews>
  <sheetFormatPr defaultRowHeight="11.25" outlineLevelCol="1" x14ac:dyDescent="0.2"/>
  <cols>
    <col min="1" max="1" width="6" style="46" hidden="1" customWidth="1" outlineLevel="1"/>
    <col min="2" max="2" width="6" style="51" hidden="1" customWidth="1" outlineLevel="1"/>
    <col min="3" max="3" width="6.7109375" style="50" hidden="1" customWidth="1" outlineLevel="1"/>
    <col min="4" max="4" width="7" style="50" hidden="1" customWidth="1" outlineLevel="1"/>
    <col min="5" max="5" width="19.28515625" style="50" hidden="1" customWidth="1" outlineLevel="1"/>
    <col min="6" max="6" width="20.28515625" style="50" hidden="1" customWidth="1" outlineLevel="1"/>
    <col min="7" max="7" width="15.140625" style="50" hidden="1" customWidth="1" outlineLevel="1"/>
    <col min="8" max="8" width="23.42578125" style="52" hidden="1" customWidth="1" outlineLevel="1"/>
    <col min="9" max="9" width="17.28515625" style="46" hidden="1" customWidth="1" outlineLevel="1"/>
    <col min="10" max="11" width="15.140625" style="46" hidden="1" customWidth="1" outlineLevel="1"/>
    <col min="12" max="12" width="2.7109375" style="46" customWidth="1" collapsed="1"/>
    <col min="13" max="13" width="6" style="46" hidden="1" customWidth="1" outlineLevel="1"/>
    <col min="14" max="15" width="15.140625" style="103" hidden="1" customWidth="1" outlineLevel="1"/>
    <col min="16" max="16" width="22.42578125" style="103" hidden="1" customWidth="1" outlineLevel="1"/>
    <col min="17" max="17" width="9.7109375" style="103" hidden="1" customWidth="1" outlineLevel="1"/>
    <col min="18" max="18" width="7.85546875" style="103" hidden="1" customWidth="1" outlineLevel="1"/>
    <col min="19" max="19" width="9" style="103" hidden="1" customWidth="1" outlineLevel="1"/>
    <col min="20" max="20" width="5.85546875" style="103" hidden="1" customWidth="1" outlineLevel="1"/>
    <col min="21" max="22" width="10.7109375" style="103" hidden="1" customWidth="1" outlineLevel="1"/>
    <col min="23" max="23" width="2.7109375" style="48" hidden="1" customWidth="1" outlineLevel="1"/>
    <col min="24" max="24" width="6" style="46" bestFit="1" customWidth="1" collapsed="1"/>
    <col min="25" max="26" width="10.140625" style="46" hidden="1" customWidth="1" outlineLevel="1"/>
    <col min="27" max="27" width="24.7109375" style="46" customWidth="1" collapsed="1"/>
    <col min="28" max="29" width="9.7109375" style="46" customWidth="1"/>
    <col min="30" max="31" width="17.28515625" style="46" bestFit="1" customWidth="1"/>
    <col min="32" max="32" width="13.140625" style="46" bestFit="1" customWidth="1"/>
    <col min="33" max="33" width="12" style="46" customWidth="1"/>
    <col min="34" max="34" width="3.5703125" style="46" hidden="1" customWidth="1" outlineLevel="1"/>
    <col min="35" max="36" width="11.7109375" style="46" hidden="1" customWidth="1" outlineLevel="1"/>
    <col min="37" max="37" width="10" style="46" hidden="1" customWidth="1" outlineLevel="1"/>
    <col min="38" max="38" width="11.7109375" style="46" hidden="1" customWidth="1" outlineLevel="1"/>
    <col min="39" max="39" width="10" style="46" hidden="1" customWidth="1" outlineLevel="1"/>
    <col min="40" max="40" width="2.7109375" style="46" customWidth="1" collapsed="1"/>
    <col min="41" max="41" width="24.42578125" style="46" bestFit="1" customWidth="1"/>
    <col min="42" max="42" width="21.42578125" style="46" bestFit="1" customWidth="1"/>
    <col min="43" max="44" width="11" style="46" bestFit="1" customWidth="1"/>
    <col min="45" max="45" width="21.42578125" style="46" bestFit="1" customWidth="1"/>
    <col min="46" max="16384" width="9.140625" style="46"/>
  </cols>
  <sheetData>
    <row r="1" spans="1:42" ht="18" customHeight="1" x14ac:dyDescent="0.2">
      <c r="G1" s="50" t="s">
        <v>2</v>
      </c>
      <c r="H1" s="50"/>
      <c r="M1" s="67" t="s">
        <v>24</v>
      </c>
      <c r="N1" s="106"/>
      <c r="O1" s="106"/>
      <c r="P1" s="106"/>
      <c r="Q1" s="106"/>
      <c r="R1" s="106"/>
      <c r="S1" s="106"/>
      <c r="T1" s="106"/>
      <c r="U1" s="106"/>
      <c r="V1" s="96"/>
      <c r="W1" s="93"/>
      <c r="X1" s="74" t="str">
        <f>Currency&amp;$G$1</f>
        <v>EUR1M</v>
      </c>
      <c r="Y1" s="66"/>
      <c r="Z1" s="66"/>
      <c r="AA1" s="66"/>
      <c r="AB1" s="69"/>
      <c r="AC1" s="69"/>
      <c r="AD1" s="66"/>
      <c r="AE1" s="66"/>
      <c r="AF1" s="184" t="s">
        <v>143</v>
      </c>
      <c r="AG1" s="184" t="s">
        <v>154</v>
      </c>
      <c r="AO1" s="46" t="s">
        <v>128</v>
      </c>
    </row>
    <row r="2" spans="1:42" ht="21.75" customHeight="1" x14ac:dyDescent="0.2">
      <c r="A2" s="65" t="s">
        <v>9</v>
      </c>
      <c r="B2" s="65" t="s">
        <v>29</v>
      </c>
      <c r="C2" s="65"/>
      <c r="D2" s="65"/>
      <c r="E2" s="65"/>
      <c r="F2" s="65"/>
      <c r="G2" s="65" t="s">
        <v>4</v>
      </c>
      <c r="H2" s="65" t="s">
        <v>1</v>
      </c>
      <c r="I2" s="65"/>
      <c r="J2" s="65" t="s">
        <v>150</v>
      </c>
      <c r="K2" s="65" t="s">
        <v>151</v>
      </c>
      <c r="M2" s="73" t="s">
        <v>9</v>
      </c>
      <c r="N2" s="73" t="s">
        <v>150</v>
      </c>
      <c r="O2" s="73" t="s">
        <v>151</v>
      </c>
      <c r="P2" s="73" t="s">
        <v>79</v>
      </c>
      <c r="Q2" s="73" t="s">
        <v>82</v>
      </c>
      <c r="R2" s="73" t="s">
        <v>80</v>
      </c>
      <c r="S2" s="73" t="s">
        <v>81</v>
      </c>
      <c r="T2" s="73" t="s">
        <v>83</v>
      </c>
      <c r="U2" s="73" t="s">
        <v>22</v>
      </c>
      <c r="V2" s="73" t="s">
        <v>76</v>
      </c>
      <c r="W2" s="93"/>
      <c r="X2" s="73" t="s">
        <v>9</v>
      </c>
      <c r="Y2" s="73" t="s">
        <v>150</v>
      </c>
      <c r="Z2" s="73" t="s">
        <v>151</v>
      </c>
      <c r="AA2" s="73" t="s">
        <v>79</v>
      </c>
      <c r="AB2" s="75" t="s">
        <v>23</v>
      </c>
      <c r="AC2" s="75" t="s">
        <v>84</v>
      </c>
      <c r="AD2" s="73" t="s">
        <v>22</v>
      </c>
      <c r="AE2" s="73" t="s">
        <v>76</v>
      </c>
      <c r="AF2" s="172">
        <f t="array" ref="AF2:AF89">_xll.qlPiecewiseYieldCurveData(yieldcurve1_1M,Trigger)</f>
        <v>-1.003794167591687E-3</v>
      </c>
      <c r="AG2" s="76">
        <f t="array" ref="AG2:AG89">_xll.qlPiecewiseYieldCurveData(yieldcurve2_1M,Trigger)</f>
        <v>1</v>
      </c>
      <c r="AK2" s="46" t="s">
        <v>155</v>
      </c>
      <c r="AM2" s="46" t="s">
        <v>156</v>
      </c>
      <c r="AO2" s="182" t="s">
        <v>85</v>
      </c>
      <c r="AP2" s="183"/>
    </row>
    <row r="3" spans="1:42" ht="11.25" customHeight="1" x14ac:dyDescent="0.2">
      <c r="A3" s="1" t="s">
        <v>26</v>
      </c>
      <c r="B3" s="8" t="s">
        <v>2</v>
      </c>
      <c r="C3" s="124"/>
      <c r="D3" s="124"/>
      <c r="E3" s="124"/>
      <c r="F3" s="124"/>
      <c r="G3" s="7" t="str">
        <f>PROPER(Currency)&amp;FamilyName&amp;B3</f>
        <v>Euribor1M</v>
      </c>
      <c r="H3" s="121" t="str">
        <f>IF(LCHQuoteOverwrite,Currency&amp;$B3&amp;"D"&amp;LCHQuoteSuffix,Currency&amp;$B3&amp;"D"&amp;QuoteSuffix)</f>
        <v>EUR1MD_LCHQuote</v>
      </c>
      <c r="I3" s="124"/>
      <c r="J3" s="3" t="str">
        <f>_xll.qlDepositRateHelper(,H3,G3,Permanent,Trigger,ObjectOverwrite)</f>
        <v>obj_00629#0005</v>
      </c>
      <c r="K3" s="3" t="str">
        <f>J3</f>
        <v>obj_00629#0005</v>
      </c>
      <c r="L3" s="49"/>
      <c r="M3" s="10" t="str">
        <f>A3</f>
        <v>Dp</v>
      </c>
      <c r="N3" s="94" t="str">
        <f>IF(ISBLANK(J3),"--",J3)</f>
        <v>obj_00629#0005</v>
      </c>
      <c r="O3" s="94" t="str">
        <f>IF(ISBLANK(K3),"--",K3)</f>
        <v>obj_00629#0005</v>
      </c>
      <c r="P3" s="146" t="str">
        <f>IFERROR(_xll.qlRateHelperQuoteName(N3,Trigger),"--")</f>
        <v>EUR1MD_LCHQuote</v>
      </c>
      <c r="Q3" s="98">
        <f>IFERROR(_xll.qlRateHelperQuoteValue($N3,Trigger),"--")</f>
        <v>-9.8999999999999999E-4</v>
      </c>
      <c r="R3" s="141" t="b">
        <v>1</v>
      </c>
      <c r="S3" s="94">
        <v>20</v>
      </c>
      <c r="T3" s="94">
        <v>1</v>
      </c>
      <c r="U3" s="99">
        <f>IFERROR(_xll.qlRateHelperEarliestDate(N3,Trigger),"--")</f>
        <v>42250</v>
      </c>
      <c r="V3" s="99">
        <f>IFERROR(_xll.qlRateHelperPillarDate(N3,Trigger),"--")</f>
        <v>42282</v>
      </c>
      <c r="X3" s="4" t="str">
        <f t="shared" ref="X3:X34" si="0">IFERROR(INDEX($M$3:$M$89,MATCH(AA3,$P$3:$P$89,0),1),"")</f>
        <v>Dp</v>
      </c>
      <c r="Y3" s="4" t="str">
        <f t="array" ref="Y3:Y89">_xll.qlRateHelperSelection(_xll.ohFilter(RateHelpers1,IncludeFlag),_xll.ohFilter(Priority,IncludeFlag),$AP$3,$AP$4,$AP$5,$AP$6,_xll.ohFilter(MinDistance,IncludeFlag),Trigger)</f>
        <v>obj_00629</v>
      </c>
      <c r="Z3" s="4" t="str">
        <f t="array" ref="Z3:Z89">_xll.qlRateHelperSelection(_xll.ohFilter(RateHelpers2,IncludeFlag),_xll.ohFilter(Priority,IncludeFlag),$AP$3,$AP$4,$AP$5,$AP$6,_xll.ohFilter(MinDistance,IncludeFlag),Trigger)</f>
        <v>obj_00629</v>
      </c>
      <c r="AA3" s="4" t="str">
        <f>IFERROR(_xll.qlRateHelperQuoteName(Y3,Trigger),"")</f>
        <v>EUR1MD_LCHQuote</v>
      </c>
      <c r="AB3" s="70">
        <f>IFERROR(_xll.qlRateHelperRate(Y3,Trigger),"")</f>
        <v>-9.8999999999999999E-4</v>
      </c>
      <c r="AC3" s="104" t="str">
        <f>IF(ISERROR(_xll.qlSwapRateHelperSpread($Y3)),IF(ISERROR(_xll.qlFuturesRateHelperConvexityAdjustment($Y3)),"",_xll.qlFuturesRateHelperConvexityAdjustment($Y3)),_xll.qlSwapRateHelperSpread($Y3))</f>
        <v/>
      </c>
      <c r="AD3" s="5">
        <f>IFERROR(_xll.qlRateHelperEarliestDate(Y3,Trigger),"")</f>
        <v>42250</v>
      </c>
      <c r="AE3" s="5">
        <f>IFERROR(_xll.qlRateHelperPillarDate(Y3,Trigger),"")</f>
        <v>42282</v>
      </c>
      <c r="AF3" s="70">
        <v>-1.003794167591687E-3</v>
      </c>
      <c r="AG3" s="77">
        <v>1.0000935074150061</v>
      </c>
      <c r="AH3" s="80"/>
      <c r="AI3" s="170">
        <f t="array" ref="AI3:AI89">_xll.ohFilter([1]REP00100!$C$2:$C$1000,([1]REP00100!$A$2:$A$1000="EUR_EURIBOR_1M_EOD"))</f>
        <v>42282</v>
      </c>
      <c r="AJ3" s="171">
        <f t="array" ref="AJ3:AJ89">_xll.ohFilter([1]REP00100!$E$2:$E$1000,([1]REP00100!$A$2:$A$1000="EUR_EURIBOR_1M_EOD"))</f>
        <v>-1.0037941675914101E-3</v>
      </c>
      <c r="AK3" s="173">
        <f>AF3-AJ3</f>
        <v>-2.7690523485279783E-16</v>
      </c>
      <c r="AL3" s="80">
        <f t="array" ref="AL3:AL89">_xll.ohFilter([1]REP00101!$F$2:$F$1000,([1]REP00101!$A$2:$A$1000="EUR_EURIBOR_1M_EOD"))</f>
        <v>1.00009350848589</v>
      </c>
      <c r="AM3" s="162">
        <f>AG3-AL3</f>
        <v>-1.0708838260597986E-9</v>
      </c>
      <c r="AO3" s="107" t="s">
        <v>86</v>
      </c>
      <c r="AP3" s="108">
        <v>0</v>
      </c>
    </row>
    <row r="4" spans="1:42" ht="11.25" customHeight="1" x14ac:dyDescent="0.2">
      <c r="B4" s="46"/>
      <c r="C4" s="46"/>
      <c r="D4" s="46"/>
      <c r="E4" s="46"/>
      <c r="F4" s="46"/>
      <c r="G4" s="46" t="s">
        <v>117</v>
      </c>
      <c r="H4" s="46"/>
      <c r="L4" s="48"/>
      <c r="M4" s="68" t="str">
        <f t="shared" ref="M4:M14" si="1">A6</f>
        <v>Sw</v>
      </c>
      <c r="N4" s="131" t="str">
        <f t="shared" ref="N4:O14" si="2">IF(ISBLANK(J6),"--",J6)</f>
        <v>obj_005ff#0005</v>
      </c>
      <c r="O4" s="131" t="str">
        <f t="shared" si="2"/>
        <v>obj_005ff#0005</v>
      </c>
      <c r="P4" s="145" t="str">
        <f>IFERROR(_xll.qlRateHelperQuoteName(N4,Trigger),"--")</f>
        <v>EURA1E2M_LCHQuote</v>
      </c>
      <c r="Q4" s="133">
        <f>IFERROR(_xll.qlRateHelperQuoteValue($N4,Trigger),"--")</f>
        <v>-1E-3</v>
      </c>
      <c r="R4" s="137" t="b">
        <v>1</v>
      </c>
      <c r="S4" s="131">
        <v>10</v>
      </c>
      <c r="T4" s="131">
        <v>1</v>
      </c>
      <c r="U4" s="134">
        <f>IFERROR(_xll.qlRateHelperEarliestDate(N4,Trigger),"--")</f>
        <v>42250</v>
      </c>
      <c r="V4" s="134">
        <f>IFERROR(_xll.qlRateHelperPillarDate(N4,Trigger),"--")</f>
        <v>42311</v>
      </c>
      <c r="X4" s="4" t="str">
        <f t="shared" si="0"/>
        <v>Sw</v>
      </c>
      <c r="Y4" s="4" t="str">
        <v>obj_005ff</v>
      </c>
      <c r="Z4" s="4" t="str">
        <v>obj_005ff</v>
      </c>
      <c r="AA4" s="4" t="str">
        <f>IFERROR(_xll.qlRateHelperQuoteName(Y4,Trigger),"")</f>
        <v>EURA1E2M_LCHQuote</v>
      </c>
      <c r="AB4" s="70">
        <f>IFERROR(_xll.qlRateHelperRate(Y4,Trigger),"")</f>
        <v>-1E-3</v>
      </c>
      <c r="AC4" s="104">
        <f>IF(ISERROR(_xll.qlSwapRateHelperSpread($Y4)),IF(ISERROR(_xll.qlFuturesRateHelperConvexityAdjustment($Y4)),"",_xll.qlFuturesRateHelperConvexityAdjustment($Y4)),_xll.qlSwapRateHelperSpread($Y4))</f>
        <v>0</v>
      </c>
      <c r="AD4" s="5">
        <f>IFERROR(_xll.qlRateHelperEarliestDate(Y4,Trigger),"")</f>
        <v>42250</v>
      </c>
      <c r="AE4" s="5">
        <f>IFERROR(_xll.qlRateHelperPillarDate(Y4,Trigger),"")</f>
        <v>42311</v>
      </c>
      <c r="AF4" s="70">
        <v>-1.012397793354087E-3</v>
      </c>
      <c r="AG4" s="77">
        <v>1.0001747700164514</v>
      </c>
      <c r="AH4" s="80"/>
      <c r="AI4" s="170">
        <v>42311</v>
      </c>
      <c r="AJ4" s="171">
        <v>-1.01239779345705E-3</v>
      </c>
      <c r="AK4" s="173">
        <f t="shared" ref="AK4:AK67" si="3">AF4-AJ4</f>
        <v>1.0296299403356191E-13</v>
      </c>
      <c r="AL4" s="80">
        <v>1.0001747714546501</v>
      </c>
      <c r="AM4" s="162">
        <f t="shared" ref="AM4:AM67" si="4">AG4-AL4</f>
        <v>-1.4381986712663775E-9</v>
      </c>
      <c r="AO4" s="107" t="s">
        <v>87</v>
      </c>
      <c r="AP4" s="108">
        <v>0</v>
      </c>
    </row>
    <row r="5" spans="1:42" ht="11.25" customHeight="1" x14ac:dyDescent="0.2">
      <c r="A5" s="65" t="s">
        <v>9</v>
      </c>
      <c r="B5" s="65" t="s">
        <v>29</v>
      </c>
      <c r="C5" s="65" t="s">
        <v>114</v>
      </c>
      <c r="D5" s="65" t="s">
        <v>5</v>
      </c>
      <c r="E5" s="65" t="s">
        <v>34</v>
      </c>
      <c r="F5" s="65" t="s">
        <v>115</v>
      </c>
      <c r="G5" s="65" t="s">
        <v>4</v>
      </c>
      <c r="H5" s="65" t="s">
        <v>1</v>
      </c>
      <c r="I5" s="65" t="s">
        <v>113</v>
      </c>
      <c r="J5" s="65" t="s">
        <v>150</v>
      </c>
      <c r="K5" s="65" t="s">
        <v>151</v>
      </c>
      <c r="L5" s="48"/>
      <c r="M5" s="10" t="str">
        <f t="shared" si="1"/>
        <v>Sw</v>
      </c>
      <c r="N5" s="94" t="str">
        <f t="shared" si="2"/>
        <v>obj_005fc#0005</v>
      </c>
      <c r="O5" s="94" t="str">
        <f t="shared" si="2"/>
        <v>obj_005fc#0005</v>
      </c>
      <c r="P5" s="146" t="str">
        <f>IFERROR(_xll.qlRateHelperQuoteName(N5,Trigger),"--")</f>
        <v>EURA1E3M_LCHQuote</v>
      </c>
      <c r="Q5" s="98">
        <f>IFERROR(_xll.qlRateHelperQuoteValue($N5,Trigger),"--")</f>
        <v>-1.024E-3</v>
      </c>
      <c r="R5" s="141" t="b">
        <v>1</v>
      </c>
      <c r="S5" s="94">
        <v>10</v>
      </c>
      <c r="T5" s="94">
        <v>1</v>
      </c>
      <c r="U5" s="99">
        <f>IFERROR(_xll.qlRateHelperEarliestDate(N5,Trigger),"--")</f>
        <v>42250</v>
      </c>
      <c r="V5" s="99">
        <f>IFERROR(_xll.qlRateHelperPillarDate(N5,Trigger),"--")</f>
        <v>42341</v>
      </c>
      <c r="X5" s="4" t="str">
        <f t="shared" si="0"/>
        <v>Sw</v>
      </c>
      <c r="Y5" s="4" t="str">
        <v>obj_005fc</v>
      </c>
      <c r="Z5" s="4" t="str">
        <v>obj_005fc</v>
      </c>
      <c r="AA5" s="4" t="str">
        <f>IFERROR(_xll.qlRateHelperQuoteName(Y5,Trigger),"")</f>
        <v>EURA1E3M_LCHQuote</v>
      </c>
      <c r="AB5" s="70">
        <f>IFERROR(_xll.qlRateHelperRate(Y5,Trigger),"")</f>
        <v>-1.024E-3</v>
      </c>
      <c r="AC5" s="104">
        <f>IF(ISERROR(_xll.qlSwapRateHelperSpread($Y5)),IF(ISERROR(_xll.qlFuturesRateHelperConvexityAdjustment($Y5)),"",_xll.qlFuturesRateHelperConvexityAdjustment($Y5)),_xll.qlSwapRateHelperSpread($Y5))</f>
        <v>0</v>
      </c>
      <c r="AD5" s="5">
        <f>IFERROR(_xll.qlRateHelperEarliestDate(Y5,Trigger),"")</f>
        <v>42250</v>
      </c>
      <c r="AE5" s="5">
        <f>IFERROR(_xll.qlRateHelperPillarDate(Y5,Trigger),"")</f>
        <v>42341</v>
      </c>
      <c r="AF5" s="70">
        <v>-1.0367784039567601E-3</v>
      </c>
      <c r="AG5" s="77">
        <v>1.0002642124672902</v>
      </c>
      <c r="AH5" s="80"/>
      <c r="AI5" s="170">
        <v>42341</v>
      </c>
      <c r="AJ5" s="171">
        <v>-1.0367784039651601E-3</v>
      </c>
      <c r="AK5" s="173">
        <f t="shared" si="3"/>
        <v>8.3999647515486942E-15</v>
      </c>
      <c r="AL5" s="80">
        <v>1.00026421390575</v>
      </c>
      <c r="AM5" s="162">
        <f t="shared" si="4"/>
        <v>-1.4384597957217693E-9</v>
      </c>
      <c r="AN5" s="80"/>
      <c r="AO5" s="107" t="s">
        <v>88</v>
      </c>
      <c r="AP5" s="108">
        <v>0</v>
      </c>
    </row>
    <row r="6" spans="1:42" ht="11.25" customHeight="1" x14ac:dyDescent="0.2">
      <c r="A6" s="53" t="s">
        <v>25</v>
      </c>
      <c r="B6" s="54" t="s">
        <v>41</v>
      </c>
      <c r="C6" s="55" t="s">
        <v>6</v>
      </c>
      <c r="D6" s="55" t="s">
        <v>8</v>
      </c>
      <c r="E6" s="55" t="s">
        <v>7</v>
      </c>
      <c r="F6" s="55" t="s">
        <v>27</v>
      </c>
      <c r="G6" s="55" t="str">
        <f t="shared" ref="G6:G16" si="5">PROPER(Currency)&amp;FamilyName&amp;Tenor</f>
        <v>Euribor1M</v>
      </c>
      <c r="H6" s="53" t="str">
        <f t="shared" ref="H6:H16" si="6">IF(LCHQuoteOverwrite,Currency&amp;"A"&amp;"1E"&amp;SUBSTITUTE(B6,"12M","1Y")&amp;LCHQuoteSuffix,Currency&amp;SUBSTITUTE($B6,"M","")&amp;$G$4&amp;QuoteSuffix)</f>
        <v>EURA1E2M_LCHQuote</v>
      </c>
      <c r="I6" s="126">
        <v>0</v>
      </c>
      <c r="J6" s="64" t="str">
        <f>_xll.qlSwapRateHelper2(,$H6,2,$B6,Calendar,$D6,$E6,$F6,$G6,$I6,$C6,Discounting1,PillarDate,,Permanent,Trigger,ObjectOverwrite)</f>
        <v>obj_005ff#0005</v>
      </c>
      <c r="K6" s="64" t="str">
        <f>J6</f>
        <v>obj_005ff#0005</v>
      </c>
      <c r="L6" s="48"/>
      <c r="M6" s="10" t="str">
        <f t="shared" si="1"/>
        <v>Sw</v>
      </c>
      <c r="N6" s="94" t="e">
        <f t="shared" si="2"/>
        <v>#NUM!</v>
      </c>
      <c r="O6" s="94" t="e">
        <f t="shared" si="2"/>
        <v>#NUM!</v>
      </c>
      <c r="P6" s="146" t="str">
        <f>IFERROR(_xll.qlRateHelperQuoteName(N6,Trigger),"--")</f>
        <v>--</v>
      </c>
      <c r="Q6" s="98" t="str">
        <f>IFERROR(_xll.qlRateHelperQuoteValue($N6,Trigger),"--")</f>
        <v>--</v>
      </c>
      <c r="R6" s="141" t="b">
        <v>0</v>
      </c>
      <c r="S6" s="94">
        <v>10</v>
      </c>
      <c r="T6" s="94">
        <v>1</v>
      </c>
      <c r="U6" s="99" t="str">
        <f>IFERROR(_xll.qlRateHelperEarliestDate(N6,Trigger),"--")</f>
        <v>--</v>
      </c>
      <c r="V6" s="99" t="str">
        <f>IFERROR(_xll.qlRateHelperPillarDate(N6,Trigger),"--")</f>
        <v>--</v>
      </c>
      <c r="X6" s="4" t="str">
        <f t="shared" si="0"/>
        <v>Sw</v>
      </c>
      <c r="Y6" s="4" t="str">
        <v>obj_005f2</v>
      </c>
      <c r="Z6" s="4" t="str">
        <v>obj_005f2</v>
      </c>
      <c r="AA6" s="4" t="str">
        <f>IFERROR(_xll.qlRateHelperQuoteName(Y6,Trigger),"")</f>
        <v>EURA1E6M_LCHQuote</v>
      </c>
      <c r="AB6" s="70">
        <f>IFERROR(_xll.qlRateHelperRate(Y6,Trigger),"")</f>
        <v>-1.0225E-3</v>
      </c>
      <c r="AC6" s="104">
        <f>IF(ISERROR(_xll.qlSwapRateHelperSpread($Y6)),IF(ISERROR(_xll.qlFuturesRateHelperConvexityAdjustment($Y6)),"",_xll.qlFuturesRateHelperConvexityAdjustment($Y6)),_xll.qlSwapRateHelperSpread($Y6))</f>
        <v>0</v>
      </c>
      <c r="AD6" s="5">
        <f>IFERROR(_xll.qlRateHelperEarliestDate(Y6,Trigger),"")</f>
        <v>42250</v>
      </c>
      <c r="AE6" s="5">
        <f>IFERROR(_xll.qlRateHelperPillarDate(Y6,Trigger),"")</f>
        <v>42432</v>
      </c>
      <c r="AF6" s="70">
        <v>-1.0362561694132167E-3</v>
      </c>
      <c r="AG6" s="77">
        <v>1.000522565816633</v>
      </c>
      <c r="AH6" s="80"/>
      <c r="AI6" s="170">
        <v>42432</v>
      </c>
      <c r="AJ6" s="171">
        <v>-1.0362561687216601E-3</v>
      </c>
      <c r="AK6" s="173">
        <f t="shared" si="3"/>
        <v>-6.9155662099640303E-13</v>
      </c>
      <c r="AL6" s="80">
        <v>1.00052256726775</v>
      </c>
      <c r="AM6" s="162">
        <f t="shared" si="4"/>
        <v>-1.4511170043363109E-9</v>
      </c>
      <c r="AO6" s="107" t="s">
        <v>89</v>
      </c>
      <c r="AP6" s="109" t="s">
        <v>90</v>
      </c>
    </row>
    <row r="7" spans="1:42" ht="11.25" customHeight="1" x14ac:dyDescent="0.2">
      <c r="A7" s="59" t="s">
        <v>25</v>
      </c>
      <c r="B7" s="60" t="s">
        <v>0</v>
      </c>
      <c r="C7" s="61" t="s">
        <v>6</v>
      </c>
      <c r="D7" s="61" t="s">
        <v>8</v>
      </c>
      <c r="E7" s="61" t="s">
        <v>7</v>
      </c>
      <c r="F7" s="61" t="s">
        <v>27</v>
      </c>
      <c r="G7" s="61" t="str">
        <f t="shared" si="5"/>
        <v>Euribor1M</v>
      </c>
      <c r="H7" s="59" t="str">
        <f t="shared" si="6"/>
        <v>EURA1E3M_LCHQuote</v>
      </c>
      <c r="I7" s="127">
        <v>0</v>
      </c>
      <c r="J7" s="64" t="str">
        <f>_xll.qlSwapRateHelper2(,$H7,2,$B7,Calendar,$D7,$E7,$F7,$G7,$I7,$C7,Discounting1,PillarDate,,Permanent,Trigger,ObjectOverwrite)</f>
        <v>obj_005fc#0005</v>
      </c>
      <c r="K7" s="64" t="str">
        <f t="shared" ref="K7:K16" si="7">J7</f>
        <v>obj_005fc#0005</v>
      </c>
      <c r="L7" s="48"/>
      <c r="M7" s="10" t="str">
        <f t="shared" si="1"/>
        <v>Sw</v>
      </c>
      <c r="N7" s="94" t="e">
        <f t="shared" si="2"/>
        <v>#NUM!</v>
      </c>
      <c r="O7" s="94" t="e">
        <f t="shared" si="2"/>
        <v>#NUM!</v>
      </c>
      <c r="P7" s="146" t="str">
        <f>IFERROR(_xll.qlRateHelperQuoteName(N7,Trigger),"--")</f>
        <v>--</v>
      </c>
      <c r="Q7" s="98" t="str">
        <f>IFERROR(_xll.qlRateHelperQuoteValue($N7,Trigger),"--")</f>
        <v>--</v>
      </c>
      <c r="R7" s="141" t="b">
        <v>0</v>
      </c>
      <c r="S7" s="94">
        <v>10</v>
      </c>
      <c r="T7" s="94">
        <v>1</v>
      </c>
      <c r="U7" s="99" t="str">
        <f>IFERROR(_xll.qlRateHelperEarliestDate(N7,Trigger),"--")</f>
        <v>--</v>
      </c>
      <c r="V7" s="99" t="str">
        <f>IFERROR(_xll.qlRateHelperPillarDate(N7,Trigger),"--")</f>
        <v>--</v>
      </c>
      <c r="X7" s="4" t="str">
        <f t="shared" si="0"/>
        <v>Sw</v>
      </c>
      <c r="Y7" s="4" t="str">
        <v>obj_005f9</v>
      </c>
      <c r="Z7" s="4" t="str">
        <v>obj_005f9</v>
      </c>
      <c r="AA7" s="4" t="str">
        <f>IFERROR(_xll.qlRateHelperQuoteName(Y7,Trigger),"")</f>
        <v>EURA1E9M_LCHQuote</v>
      </c>
      <c r="AB7" s="70">
        <f>IFERROR(_xll.qlRateHelperRate(Y7,Trigger),"")</f>
        <v>-1.0275E-3</v>
      </c>
      <c r="AC7" s="104">
        <f>IF(ISERROR(_xll.qlSwapRateHelperSpread($Y7)),IF(ISERROR(_xll.qlFuturesRateHelperConvexityAdjustment($Y7)),"",_xll.qlFuturesRateHelperConvexityAdjustment($Y7)),_xll.qlSwapRateHelperSpread($Y7))</f>
        <v>0</v>
      </c>
      <c r="AD7" s="5">
        <f>IFERROR(_xll.qlRateHelperEarliestDate(Y7,Trigger),"")</f>
        <v>42250</v>
      </c>
      <c r="AE7" s="5">
        <f>IFERROR(_xll.qlRateHelperPillarDate(Y7,Trigger),"")</f>
        <v>42524</v>
      </c>
      <c r="AF7" s="70">
        <v>-1.0417417095696067E-3</v>
      </c>
      <c r="AG7" s="77">
        <v>1.0007880227976242</v>
      </c>
      <c r="AH7" s="80"/>
      <c r="AI7" s="170">
        <v>42524</v>
      </c>
      <c r="AJ7" s="171">
        <v>-1.04174170910384E-3</v>
      </c>
      <c r="AK7" s="173">
        <f t="shared" si="3"/>
        <v>-4.6576674808673779E-13</v>
      </c>
      <c r="AL7" s="80">
        <v>1.0007880242465499</v>
      </c>
      <c r="AM7" s="162">
        <f t="shared" si="4"/>
        <v>-1.4489256461303057E-9</v>
      </c>
    </row>
    <row r="8" spans="1:42" ht="11.25" customHeight="1" x14ac:dyDescent="0.2">
      <c r="A8" s="59" t="s">
        <v>25</v>
      </c>
      <c r="B8" s="60" t="s">
        <v>42</v>
      </c>
      <c r="C8" s="61" t="s">
        <v>6</v>
      </c>
      <c r="D8" s="61" t="s">
        <v>8</v>
      </c>
      <c r="E8" s="61" t="s">
        <v>7</v>
      </c>
      <c r="F8" s="61" t="s">
        <v>27</v>
      </c>
      <c r="G8" s="61" t="str">
        <f t="shared" si="5"/>
        <v>Euribor1M</v>
      </c>
      <c r="H8" s="59" t="str">
        <f t="shared" si="6"/>
        <v>EURA1E4M_LCHQuote</v>
      </c>
      <c r="I8" s="127">
        <v>0</v>
      </c>
      <c r="J8" s="64" t="e">
        <f>_xll.qlSwapRateHelper2(,$H8,2,$B8,Calendar,$D8,$E8,$F8,$G8,$I8,$C8,Discounting1,PillarDate,,Permanent,Trigger,ObjectOverwrite)</f>
        <v>#NUM!</v>
      </c>
      <c r="K8" s="64" t="e">
        <f t="shared" si="7"/>
        <v>#NUM!</v>
      </c>
      <c r="L8" s="48"/>
      <c r="M8" s="10" t="str">
        <f t="shared" si="1"/>
        <v>Sw</v>
      </c>
      <c r="N8" s="94" t="str">
        <f t="shared" si="2"/>
        <v>obj_005f2#0005</v>
      </c>
      <c r="O8" s="94" t="str">
        <f t="shared" si="2"/>
        <v>obj_005f2#0005</v>
      </c>
      <c r="P8" s="146" t="str">
        <f>IFERROR(_xll.qlRateHelperQuoteName(N8,Trigger),"--")</f>
        <v>EURA1E6M_LCHQuote</v>
      </c>
      <c r="Q8" s="98">
        <f>IFERROR(_xll.qlRateHelperQuoteValue($N8,Trigger),"--")</f>
        <v>-1.0225E-3</v>
      </c>
      <c r="R8" s="141" t="b">
        <v>1</v>
      </c>
      <c r="S8" s="94">
        <v>10</v>
      </c>
      <c r="T8" s="94">
        <v>1</v>
      </c>
      <c r="U8" s="99">
        <f>IFERROR(_xll.qlRateHelperEarliestDate(N8,Trigger),"--")</f>
        <v>42250</v>
      </c>
      <c r="V8" s="99">
        <f>IFERROR(_xll.qlRateHelperPillarDate(N8,Trigger),"--")</f>
        <v>42432</v>
      </c>
      <c r="X8" s="4" t="str">
        <f t="shared" si="0"/>
        <v>Sw</v>
      </c>
      <c r="Y8" s="4" t="str">
        <v>obj_005eb</v>
      </c>
      <c r="Z8" s="4" t="str">
        <v>obj_005eb</v>
      </c>
      <c r="AA8" s="4" t="str">
        <f>IFERROR(_xll.qlRateHelperQuoteName(Y8,Trigger),"")</f>
        <v>EURA1E1Y_LCHQuote</v>
      </c>
      <c r="AB8" s="70">
        <f>IFERROR(_xll.qlRateHelperRate(Y8,Trigger),"")</f>
        <v>-1.062E-3</v>
      </c>
      <c r="AC8" s="104">
        <f>IF(ISERROR(_xll.qlSwapRateHelperSpread($Y8)),IF(ISERROR(_xll.qlFuturesRateHelperConvexityAdjustment($Y8)),"",_xll.qlFuturesRateHelperConvexityAdjustment($Y8)),_xll.qlSwapRateHelperSpread($Y8))</f>
        <v>0</v>
      </c>
      <c r="AD8" s="5">
        <f>IFERROR(_xll.qlRateHelperEarliestDate(Y8,Trigger),"")</f>
        <v>42250</v>
      </c>
      <c r="AE8" s="5">
        <f>IFERROR(_xll.qlRateHelperPillarDate(Y8,Trigger),"")</f>
        <v>42618</v>
      </c>
      <c r="AF8" s="70">
        <v>-1.0768883252253397E-3</v>
      </c>
      <c r="AG8" s="77">
        <v>1.0010922638685522</v>
      </c>
      <c r="AH8" s="80"/>
      <c r="AI8" s="170">
        <v>42618</v>
      </c>
      <c r="AJ8" s="171">
        <v>-1.07688832484793E-3</v>
      </c>
      <c r="AK8" s="173">
        <f t="shared" si="3"/>
        <v>-3.7740969204003161E-13</v>
      </c>
      <c r="AL8" s="80">
        <v>1.0010922653190599</v>
      </c>
      <c r="AM8" s="162">
        <f t="shared" si="4"/>
        <v>-1.4505077139403966E-9</v>
      </c>
    </row>
    <row r="9" spans="1:42" ht="11.25" customHeight="1" x14ac:dyDescent="0.2">
      <c r="A9" s="59" t="s">
        <v>25</v>
      </c>
      <c r="B9" s="60" t="s">
        <v>43</v>
      </c>
      <c r="C9" s="61" t="s">
        <v>6</v>
      </c>
      <c r="D9" s="61" t="s">
        <v>8</v>
      </c>
      <c r="E9" s="61" t="s">
        <v>7</v>
      </c>
      <c r="F9" s="61" t="s">
        <v>27</v>
      </c>
      <c r="G9" s="61" t="str">
        <f t="shared" si="5"/>
        <v>Euribor1M</v>
      </c>
      <c r="H9" s="59" t="str">
        <f t="shared" si="6"/>
        <v>EURA1E5M_LCHQuote</v>
      </c>
      <c r="I9" s="127">
        <v>0</v>
      </c>
      <c r="J9" s="64" t="e">
        <f>_xll.qlSwapRateHelper2(,$H9,2,$B9,Calendar,$D9,$E9,$F9,$G9,$I9,$C9,Discounting1,PillarDate,,Permanent,Trigger,ObjectOverwrite)</f>
        <v>#NUM!</v>
      </c>
      <c r="K9" s="64" t="e">
        <f t="shared" si="7"/>
        <v>#NUM!</v>
      </c>
      <c r="L9" s="48"/>
      <c r="M9" s="10" t="str">
        <f t="shared" si="1"/>
        <v>Sw</v>
      </c>
      <c r="N9" s="94" t="e">
        <f t="shared" si="2"/>
        <v>#NUM!</v>
      </c>
      <c r="O9" s="94" t="e">
        <f t="shared" si="2"/>
        <v>#NUM!</v>
      </c>
      <c r="P9" s="146" t="str">
        <f>IFERROR(_xll.qlRateHelperQuoteName(N9,Trigger),"--")</f>
        <v>--</v>
      </c>
      <c r="Q9" s="98" t="str">
        <f>IFERROR(_xll.qlRateHelperQuoteValue($N9,Trigger),"--")</f>
        <v>--</v>
      </c>
      <c r="R9" s="141" t="b">
        <v>0</v>
      </c>
      <c r="S9" s="94">
        <v>10</v>
      </c>
      <c r="T9" s="94">
        <v>1</v>
      </c>
      <c r="U9" s="99" t="str">
        <f>IFERROR(_xll.qlRateHelperEarliestDate(N9,Trigger),"--")</f>
        <v>--</v>
      </c>
      <c r="V9" s="99" t="str">
        <f>IFERROR(_xll.qlRateHelperPillarDate(N9,Trigger),"--")</f>
        <v>--</v>
      </c>
      <c r="X9" s="4" t="str">
        <f t="shared" si="0"/>
        <v>BasSw</v>
      </c>
      <c r="Y9" s="4" t="str">
        <v>obj_005ef</v>
      </c>
      <c r="Z9" s="4" t="str">
        <v>obj_00595</v>
      </c>
      <c r="AA9" s="4" t="str">
        <f>IFERROR(_xll.qlRateHelperQuoteName(Y9,Trigger),"")</f>
        <v>EUR1E6E2Y_LCHQuote</v>
      </c>
      <c r="AB9" s="70">
        <f>IFERROR(_xll.qlRateHelperRate(Y9,Trigger),"")</f>
        <v>-7.7074999999999995E-4</v>
      </c>
      <c r="AC9" s="104">
        <f>IF(ISERROR(_xll.qlSwapRateHelperSpread($Y9)),IF(ISERROR(_xll.qlFuturesRateHelperConvexityAdjustment($Y9)),"",_xll.qlFuturesRateHelperConvexityAdjustment($Y9)),_xll.qlSwapRateHelperSpread($Y9))</f>
        <v>0</v>
      </c>
      <c r="AD9" s="5">
        <f>IFERROR(_xll.qlRateHelperEarliestDate(Y9,Trigger),"")</f>
        <v>42250</v>
      </c>
      <c r="AE9" s="5">
        <f>IFERROR(_xll.qlRateHelperPillarDate(Y9,Trigger),"")</f>
        <v>42982</v>
      </c>
      <c r="AF9" s="70">
        <v>-7.8274895574797782E-4</v>
      </c>
      <c r="AG9" s="77">
        <v>1.0015758927795191</v>
      </c>
      <c r="AH9" s="80"/>
      <c r="AI9" s="170">
        <v>42982</v>
      </c>
      <c r="AJ9" s="171">
        <v>-7.8274895556261004E-4</v>
      </c>
      <c r="AK9" s="173">
        <f t="shared" si="3"/>
        <v>-1.8536778015332267E-13</v>
      </c>
      <c r="AL9" s="80">
        <v>1.0015758942298201</v>
      </c>
      <c r="AM9" s="162">
        <f t="shared" si="4"/>
        <v>-1.4503009904132114E-9</v>
      </c>
    </row>
    <row r="10" spans="1:42" ht="11.25" customHeight="1" x14ac:dyDescent="0.2">
      <c r="A10" s="59" t="s">
        <v>25</v>
      </c>
      <c r="B10" s="60" t="s">
        <v>3</v>
      </c>
      <c r="C10" s="61" t="s">
        <v>6</v>
      </c>
      <c r="D10" s="61" t="s">
        <v>8</v>
      </c>
      <c r="E10" s="61" t="s">
        <v>7</v>
      </c>
      <c r="F10" s="61" t="s">
        <v>27</v>
      </c>
      <c r="G10" s="61" t="str">
        <f t="shared" si="5"/>
        <v>Euribor1M</v>
      </c>
      <c r="H10" s="59" t="str">
        <f t="shared" si="6"/>
        <v>EURA1E6M_LCHQuote</v>
      </c>
      <c r="I10" s="127">
        <v>0</v>
      </c>
      <c r="J10" s="64" t="str">
        <f>_xll.qlSwapRateHelper2(,$H10,2,$B10,Calendar,$D10,$E10,$F10,$G10,$I10,$C10,Discounting1,PillarDate,,Permanent,Trigger,ObjectOverwrite)</f>
        <v>obj_005f2#0005</v>
      </c>
      <c r="K10" s="64" t="str">
        <f t="shared" si="7"/>
        <v>obj_005f2#0005</v>
      </c>
      <c r="L10" s="48"/>
      <c r="M10" s="10" t="str">
        <f t="shared" si="1"/>
        <v>Sw</v>
      </c>
      <c r="N10" s="94" t="e">
        <f t="shared" si="2"/>
        <v>#NUM!</v>
      </c>
      <c r="O10" s="94" t="e">
        <f t="shared" si="2"/>
        <v>#NUM!</v>
      </c>
      <c r="P10" s="146" t="str">
        <f>IFERROR(_xll.qlRateHelperQuoteName(N10,Trigger),"--")</f>
        <v>--</v>
      </c>
      <c r="Q10" s="98" t="str">
        <f>IFERROR(_xll.qlRateHelperQuoteValue($N10,Trigger),"--")</f>
        <v>--</v>
      </c>
      <c r="R10" s="141" t="b">
        <v>0</v>
      </c>
      <c r="S10" s="94">
        <v>10</v>
      </c>
      <c r="T10" s="94">
        <v>1</v>
      </c>
      <c r="U10" s="99" t="str">
        <f>IFERROR(_xll.qlRateHelperEarliestDate(N10,Trigger),"--")</f>
        <v>--</v>
      </c>
      <c r="V10" s="99" t="str">
        <f>IFERROR(_xll.qlRateHelperPillarDate(N10,Trigger),"--")</f>
        <v>--</v>
      </c>
      <c r="X10" s="4" t="str">
        <f t="shared" si="0"/>
        <v>BasSw</v>
      </c>
      <c r="Y10" s="4" t="str">
        <v>obj_005f7</v>
      </c>
      <c r="Z10" s="4" t="str">
        <v>obj_00597</v>
      </c>
      <c r="AA10" s="4" t="str">
        <f>IFERROR(_xll.qlRateHelperQuoteName(Y10,Trigger),"")</f>
        <v>EUR1E6E3Y_LCHQuote</v>
      </c>
      <c r="AB10" s="70">
        <f>IFERROR(_xll.qlRateHelperRate(Y10,Trigger),"")</f>
        <v>-2.5000000000000001E-5</v>
      </c>
      <c r="AC10" s="104">
        <f>IF(ISERROR(_xll.qlSwapRateHelperSpread($Y10)),IF(ISERROR(_xll.qlFuturesRateHelperConvexityAdjustment($Y10)),"",_xll.qlFuturesRateHelperConvexityAdjustment($Y10)),_xll.qlSwapRateHelperSpread($Y10))</f>
        <v>0</v>
      </c>
      <c r="AD10" s="5">
        <f>IFERROR(_xll.qlRateHelperEarliestDate(Y10,Trigger),"")</f>
        <v>42250</v>
      </c>
      <c r="AE10" s="5">
        <f>IFERROR(_xll.qlRateHelperPillarDate(Y10,Trigger),"")</f>
        <v>43346</v>
      </c>
      <c r="AF10" s="70">
        <v>-2.7894084419858983E-5</v>
      </c>
      <c r="AG10" s="77">
        <v>1.0000851253772596</v>
      </c>
      <c r="AH10" s="80"/>
      <c r="AI10" s="170">
        <v>43346</v>
      </c>
      <c r="AJ10" s="171">
        <v>-2.7894084300110001E-5</v>
      </c>
      <c r="AK10" s="173">
        <f t="shared" si="3"/>
        <v>-1.1974898137434749E-13</v>
      </c>
      <c r="AL10" s="80">
        <v>1.00008512682553</v>
      </c>
      <c r="AM10" s="162">
        <f t="shared" si="4"/>
        <v>-1.448270392501172E-9</v>
      </c>
    </row>
    <row r="11" spans="1:42" ht="11.25" customHeight="1" x14ac:dyDescent="0.2">
      <c r="A11" s="59" t="s">
        <v>25</v>
      </c>
      <c r="B11" s="60" t="s">
        <v>44</v>
      </c>
      <c r="C11" s="61" t="s">
        <v>6</v>
      </c>
      <c r="D11" s="61" t="s">
        <v>8</v>
      </c>
      <c r="E11" s="61" t="s">
        <v>7</v>
      </c>
      <c r="F11" s="61" t="s">
        <v>27</v>
      </c>
      <c r="G11" s="61" t="str">
        <f t="shared" si="5"/>
        <v>Euribor1M</v>
      </c>
      <c r="H11" s="59" t="str">
        <f t="shared" si="6"/>
        <v>EURA1E7M_LCHQuote</v>
      </c>
      <c r="I11" s="127">
        <v>0</v>
      </c>
      <c r="J11" s="64" t="e">
        <f>_xll.qlSwapRateHelper2(,$H11,2,$B11,Calendar,$D11,$E11,$F11,$G11,$I11,$C11,Discounting1,PillarDate,,Permanent,Trigger,ObjectOverwrite)</f>
        <v>#NUM!</v>
      </c>
      <c r="K11" s="64" t="e">
        <f t="shared" si="7"/>
        <v>#NUM!</v>
      </c>
      <c r="L11" s="48"/>
      <c r="M11" s="10" t="str">
        <f t="shared" si="1"/>
        <v>Sw</v>
      </c>
      <c r="N11" s="94" t="str">
        <f t="shared" si="2"/>
        <v>obj_005f9#0005</v>
      </c>
      <c r="O11" s="94" t="str">
        <f t="shared" si="2"/>
        <v>obj_005f9#0005</v>
      </c>
      <c r="P11" s="146" t="str">
        <f>IFERROR(_xll.qlRateHelperQuoteName(N11,Trigger),"--")</f>
        <v>EURA1E9M_LCHQuote</v>
      </c>
      <c r="Q11" s="98">
        <f>IFERROR(_xll.qlRateHelperQuoteValue($N11,Trigger),"--")</f>
        <v>-1.0275E-3</v>
      </c>
      <c r="R11" s="141" t="b">
        <v>1</v>
      </c>
      <c r="S11" s="94">
        <v>10</v>
      </c>
      <c r="T11" s="94">
        <v>1</v>
      </c>
      <c r="U11" s="99">
        <f>IFERROR(_xll.qlRateHelperEarliestDate(N11,Trigger),"--")</f>
        <v>42250</v>
      </c>
      <c r="V11" s="99">
        <f>IFERROR(_xll.qlRateHelperPillarDate(N11,Trigger),"--")</f>
        <v>42524</v>
      </c>
      <c r="X11" s="4" t="str">
        <f t="shared" si="0"/>
        <v>BasSw</v>
      </c>
      <c r="Y11" s="4" t="str">
        <v>obj_00600</v>
      </c>
      <c r="Z11" s="4" t="str">
        <v>obj_0058f</v>
      </c>
      <c r="AA11" s="4" t="str">
        <f>IFERROR(_xll.qlRateHelperQuoteName(Y11,Trigger),"")</f>
        <v>EUR1E6E4Y_LCHQuote</v>
      </c>
      <c r="AB11" s="70">
        <f>IFERROR(_xll.qlRateHelperRate(Y11,Trigger),"")</f>
        <v>1.1312500000000001E-3</v>
      </c>
      <c r="AC11" s="104">
        <f>IF(ISERROR(_xll.qlSwapRateHelperSpread($Y11)),IF(ISERROR(_xll.qlFuturesRateHelperConvexityAdjustment($Y11)),"",_xll.qlFuturesRateHelperConvexityAdjustment($Y11)),_xll.qlSwapRateHelperSpread($Y11))</f>
        <v>0</v>
      </c>
      <c r="AD11" s="5">
        <f>IFERROR(_xll.qlRateHelperEarliestDate(Y11,Trigger),"")</f>
        <v>42250</v>
      </c>
      <c r="AE11" s="5">
        <f>IFERROR(_xll.qlRateHelperPillarDate(Y11,Trigger),"")</f>
        <v>43711</v>
      </c>
      <c r="AF11" s="70">
        <v>1.1435038773163638E-3</v>
      </c>
      <c r="AG11" s="77">
        <v>0.99542450311118236</v>
      </c>
      <c r="AH11" s="80"/>
      <c r="AI11" s="170">
        <v>43711</v>
      </c>
      <c r="AJ11" s="171">
        <v>1.1435038774738799E-3</v>
      </c>
      <c r="AK11" s="173">
        <f t="shared" si="3"/>
        <v>-1.5751614422521154E-13</v>
      </c>
      <c r="AL11" s="80">
        <v>0.99542450455274401</v>
      </c>
      <c r="AM11" s="162">
        <f t="shared" si="4"/>
        <v>-1.4415616478302695E-9</v>
      </c>
    </row>
    <row r="12" spans="1:42" ht="11.25" customHeight="1" x14ac:dyDescent="0.2">
      <c r="A12" s="59" t="s">
        <v>25</v>
      </c>
      <c r="B12" s="60" t="s">
        <v>45</v>
      </c>
      <c r="C12" s="61" t="s">
        <v>6</v>
      </c>
      <c r="D12" s="61" t="s">
        <v>8</v>
      </c>
      <c r="E12" s="61" t="s">
        <v>7</v>
      </c>
      <c r="F12" s="61" t="s">
        <v>27</v>
      </c>
      <c r="G12" s="61" t="str">
        <f t="shared" si="5"/>
        <v>Euribor1M</v>
      </c>
      <c r="H12" s="59" t="str">
        <f t="shared" si="6"/>
        <v>EURA1E8M_LCHQuote</v>
      </c>
      <c r="I12" s="127">
        <v>0</v>
      </c>
      <c r="J12" s="64" t="e">
        <f>_xll.qlSwapRateHelper2(,$H12,2,$B12,Calendar,$D12,$E12,$F12,$G12,$I12,$C12,Discounting1,PillarDate,,Permanent,Trigger,ObjectOverwrite)</f>
        <v>#NUM!</v>
      </c>
      <c r="K12" s="64" t="e">
        <f t="shared" si="7"/>
        <v>#NUM!</v>
      </c>
      <c r="L12" s="48" t="s">
        <v>36</v>
      </c>
      <c r="M12" s="10" t="str">
        <f t="shared" si="1"/>
        <v>Sw</v>
      </c>
      <c r="N12" s="94" t="e">
        <f t="shared" si="2"/>
        <v>#NUM!</v>
      </c>
      <c r="O12" s="94" t="e">
        <f t="shared" si="2"/>
        <v>#NUM!</v>
      </c>
      <c r="P12" s="146" t="str">
        <f>IFERROR(_xll.qlRateHelperQuoteName(N12,Trigger),"--")</f>
        <v>--</v>
      </c>
      <c r="Q12" s="98" t="str">
        <f>IFERROR(_xll.qlRateHelperQuoteValue($N12,Trigger),"--")</f>
        <v>--</v>
      </c>
      <c r="R12" s="141" t="b">
        <v>0</v>
      </c>
      <c r="S12" s="94">
        <v>10</v>
      </c>
      <c r="T12" s="94">
        <v>1</v>
      </c>
      <c r="U12" s="99" t="str">
        <f>IFERROR(_xll.qlRateHelperEarliestDate(N12,Trigger),"--")</f>
        <v>--</v>
      </c>
      <c r="V12" s="99" t="str">
        <f>IFERROR(_xll.qlRateHelperPillarDate(N12,Trigger),"--")</f>
        <v>--</v>
      </c>
      <c r="X12" s="4" t="str">
        <f t="shared" si="0"/>
        <v>BasSw</v>
      </c>
      <c r="Y12" s="4" t="str">
        <v>obj_005ed</v>
      </c>
      <c r="Z12" s="4" t="str">
        <v>obj_0058a</v>
      </c>
      <c r="AA12" s="4" t="str">
        <f>IFERROR(_xll.qlRateHelperQuoteName(Y12,Trigger),"")</f>
        <v>EUR1E6E5Y_LCHQuote</v>
      </c>
      <c r="AB12" s="70">
        <f>IFERROR(_xll.qlRateHelperRate(Y12,Trigger),"")</f>
        <v>2.4989999999999999E-3</v>
      </c>
      <c r="AC12" s="104">
        <f>IF(ISERROR(_xll.qlSwapRateHelperSpread($Y12)),IF(ISERROR(_xll.qlFuturesRateHelperConvexityAdjustment($Y12)),"",_xll.qlFuturesRateHelperConvexityAdjustment($Y12)),_xll.qlSwapRateHelperSpread($Y12))</f>
        <v>0</v>
      </c>
      <c r="AD12" s="5">
        <f>IFERROR(_xll.qlRateHelperEarliestDate(Y12,Trigger),"")</f>
        <v>42250</v>
      </c>
      <c r="AE12" s="5">
        <f>IFERROR(_xll.qlRateHelperPillarDate(Y12,Trigger),"")</f>
        <v>44077</v>
      </c>
      <c r="AF12" s="70">
        <v>2.5353515492076437E-3</v>
      </c>
      <c r="AG12" s="77">
        <v>0.9873733966157896</v>
      </c>
      <c r="AH12" s="80"/>
      <c r="AI12" s="170">
        <v>44077</v>
      </c>
      <c r="AJ12" s="171">
        <v>2.5353515492738299E-3</v>
      </c>
      <c r="AK12" s="173">
        <f t="shared" si="3"/>
        <v>-6.6186205821550104E-14</v>
      </c>
      <c r="AL12" s="80">
        <v>0.98737339804487501</v>
      </c>
      <c r="AM12" s="162">
        <f t="shared" si="4"/>
        <v>-1.4290854055687419E-9</v>
      </c>
    </row>
    <row r="13" spans="1:42" ht="11.25" customHeight="1" x14ac:dyDescent="0.2">
      <c r="A13" s="59" t="s">
        <v>25</v>
      </c>
      <c r="B13" s="60" t="s">
        <v>46</v>
      </c>
      <c r="C13" s="61" t="s">
        <v>6</v>
      </c>
      <c r="D13" s="61" t="s">
        <v>8</v>
      </c>
      <c r="E13" s="61" t="s">
        <v>7</v>
      </c>
      <c r="F13" s="61" t="s">
        <v>27</v>
      </c>
      <c r="G13" s="61" t="str">
        <f t="shared" si="5"/>
        <v>Euribor1M</v>
      </c>
      <c r="H13" s="59" t="str">
        <f t="shared" si="6"/>
        <v>EURA1E9M_LCHQuote</v>
      </c>
      <c r="I13" s="127">
        <v>0</v>
      </c>
      <c r="J13" s="64" t="str">
        <f>_xll.qlSwapRateHelper2(,$H13,2,$B13,Calendar,$D13,$E13,$F13,$G13,$I13,$C13,Discounting1,PillarDate,,Permanent,Trigger,ObjectOverwrite)</f>
        <v>obj_005f9#0005</v>
      </c>
      <c r="K13" s="64" t="str">
        <f t="shared" si="7"/>
        <v>obj_005f9#0005</v>
      </c>
      <c r="L13" s="48"/>
      <c r="M13" s="10" t="str">
        <f t="shared" si="1"/>
        <v>Sw</v>
      </c>
      <c r="N13" s="94" t="e">
        <f t="shared" si="2"/>
        <v>#NUM!</v>
      </c>
      <c r="O13" s="94" t="e">
        <f t="shared" si="2"/>
        <v>#NUM!</v>
      </c>
      <c r="P13" s="146" t="str">
        <f>IFERROR(_xll.qlRateHelperQuoteName(N13,Trigger),"--")</f>
        <v>--</v>
      </c>
      <c r="Q13" s="98" t="str">
        <f>IFERROR(_xll.qlRateHelperQuoteValue($N13,Trigger),"--")</f>
        <v>--</v>
      </c>
      <c r="R13" s="141" t="b">
        <v>0</v>
      </c>
      <c r="S13" s="94">
        <v>10</v>
      </c>
      <c r="T13" s="94">
        <v>1</v>
      </c>
      <c r="U13" s="99" t="str">
        <f>IFERROR(_xll.qlRateHelperEarliestDate(N13,Trigger),"--")</f>
        <v>--</v>
      </c>
      <c r="V13" s="99" t="str">
        <f>IFERROR(_xll.qlRateHelperPillarDate(N13,Trigger),"--")</f>
        <v>--</v>
      </c>
      <c r="X13" s="4" t="str">
        <f t="shared" si="0"/>
        <v>BasSw</v>
      </c>
      <c r="Y13" s="4" t="str">
        <v>obj_005f3</v>
      </c>
      <c r="Z13" s="4" t="str">
        <v>obj_0058b</v>
      </c>
      <c r="AA13" s="4" t="str">
        <f>IFERROR(_xll.qlRateHelperQuoteName(Y13,Trigger),"")</f>
        <v>EUR1E6E6Y_LCHQuote</v>
      </c>
      <c r="AB13" s="70">
        <f>IFERROR(_xll.qlRateHelperRate(Y13,Trigger),"")</f>
        <v>3.9692499999999997E-3</v>
      </c>
      <c r="AC13" s="104">
        <f>IF(ISERROR(_xll.qlSwapRateHelperSpread($Y13)),IF(ISERROR(_xll.qlFuturesRateHelperConvexityAdjustment($Y13)),"",_xll.qlFuturesRateHelperConvexityAdjustment($Y13)),_xll.qlSwapRateHelperSpread($Y13))</f>
        <v>0</v>
      </c>
      <c r="AD13" s="5">
        <f>IFERROR(_xll.qlRateHelperEarliestDate(Y13,Trigger),"")</f>
        <v>42250</v>
      </c>
      <c r="AE13" s="5">
        <f>IFERROR(_xll.qlRateHelperPillarDate(Y13,Trigger),"")</f>
        <v>44442</v>
      </c>
      <c r="AF13" s="70">
        <v>4.0381579309587299E-3</v>
      </c>
      <c r="AG13" s="77">
        <v>0.97601695289092771</v>
      </c>
      <c r="AH13" s="80"/>
      <c r="AI13" s="170">
        <v>44442</v>
      </c>
      <c r="AJ13" s="171">
        <v>4.0381579310123997E-3</v>
      </c>
      <c r="AK13" s="173">
        <f t="shared" si="3"/>
        <v>-5.3669742261508446E-14</v>
      </c>
      <c r="AL13" s="80">
        <v>0.97601695430455004</v>
      </c>
      <c r="AM13" s="162">
        <f t="shared" si="4"/>
        <v>-1.4136223303040651E-9</v>
      </c>
    </row>
    <row r="14" spans="1:42" ht="11.25" customHeight="1" x14ac:dyDescent="0.2">
      <c r="A14" s="59" t="s">
        <v>25</v>
      </c>
      <c r="B14" s="60" t="s">
        <v>47</v>
      </c>
      <c r="C14" s="61" t="s">
        <v>6</v>
      </c>
      <c r="D14" s="61" t="s">
        <v>8</v>
      </c>
      <c r="E14" s="61" t="s">
        <v>7</v>
      </c>
      <c r="F14" s="61" t="s">
        <v>27</v>
      </c>
      <c r="G14" s="61" t="str">
        <f t="shared" si="5"/>
        <v>Euribor1M</v>
      </c>
      <c r="H14" s="59" t="str">
        <f t="shared" si="6"/>
        <v>EURA1E10M_LCHQuote</v>
      </c>
      <c r="I14" s="127">
        <v>0</v>
      </c>
      <c r="J14" s="64" t="e">
        <f>_xll.qlSwapRateHelper2(,$H14,2,$B14,Calendar,$D14,$E14,$F14,$G14,$I14,$C14,Discounting1,PillarDate,,Permanent,Trigger,ObjectOverwrite)</f>
        <v>#NUM!</v>
      </c>
      <c r="K14" s="64" t="e">
        <f t="shared" si="7"/>
        <v>#NUM!</v>
      </c>
      <c r="L14" s="48"/>
      <c r="M14" s="11" t="str">
        <f t="shared" si="1"/>
        <v>Sw</v>
      </c>
      <c r="N14" s="95" t="str">
        <f t="shared" si="2"/>
        <v>obj_005eb#0005</v>
      </c>
      <c r="O14" s="95" t="str">
        <f t="shared" si="2"/>
        <v>obj_005eb#0005</v>
      </c>
      <c r="P14" s="147" t="str">
        <f>IFERROR(_xll.qlRateHelperQuoteName(N14,Trigger),"--")</f>
        <v>EURA1E1Y_LCHQuote</v>
      </c>
      <c r="Q14" s="101">
        <f>IFERROR(_xll.qlRateHelperQuoteValue($N14,Trigger),"--")</f>
        <v>-1.062E-3</v>
      </c>
      <c r="R14" s="144" t="b">
        <v>1</v>
      </c>
      <c r="S14" s="95">
        <v>10</v>
      </c>
      <c r="T14" s="95">
        <v>1</v>
      </c>
      <c r="U14" s="102">
        <f>IFERROR(_xll.qlRateHelperEarliestDate(N14,Trigger),"--")</f>
        <v>42250</v>
      </c>
      <c r="V14" s="102">
        <f>IFERROR(_xll.qlRateHelperPillarDate(N14,Trigger),"--")</f>
        <v>42618</v>
      </c>
      <c r="X14" s="4" t="str">
        <f t="shared" si="0"/>
        <v>BasSw</v>
      </c>
      <c r="Y14" s="4" t="str">
        <v>obj_005f4</v>
      </c>
      <c r="Z14" s="4" t="str">
        <v>obj_0058d</v>
      </c>
      <c r="AA14" s="4" t="str">
        <f>IFERROR(_xll.qlRateHelperQuoteName(Y14,Trigger),"")</f>
        <v>EUR1E6E7Y_LCHQuote</v>
      </c>
      <c r="AB14" s="70">
        <f>IFERROR(_xll.qlRateHelperRate(Y14,Trigger),"")</f>
        <v>5.4479999999999997E-3</v>
      </c>
      <c r="AC14" s="104">
        <f>IF(ISERROR(_xll.qlSwapRateHelperSpread($Y14)),IF(ISERROR(_xll.qlFuturesRateHelperConvexityAdjustment($Y14)),"",_xll.qlFuturesRateHelperConvexityAdjustment($Y14)),_xll.qlSwapRateHelperSpread($Y14))</f>
        <v>0</v>
      </c>
      <c r="AD14" s="5">
        <f>IFERROR(_xll.qlRateHelperEarliestDate(Y14,Trigger),"")</f>
        <v>42250</v>
      </c>
      <c r="AE14" s="5">
        <f>IFERROR(_xll.qlRateHelperPillarDate(Y14,Trigger),"")</f>
        <v>44809</v>
      </c>
      <c r="AF14" s="70">
        <v>5.559311607657668E-3</v>
      </c>
      <c r="AG14" s="77">
        <v>0.96174231979846003</v>
      </c>
      <c r="AH14" s="80"/>
      <c r="AI14" s="170">
        <v>44809</v>
      </c>
      <c r="AJ14" s="171">
        <v>5.5593116077033902E-3</v>
      </c>
      <c r="AK14" s="173">
        <f t="shared" si="3"/>
        <v>-4.5722106656320705E-14</v>
      </c>
      <c r="AL14" s="80">
        <v>0.96174232119052305</v>
      </c>
      <c r="AM14" s="162">
        <f t="shared" si="4"/>
        <v>-1.3920630204111717E-9</v>
      </c>
    </row>
    <row r="15" spans="1:42" ht="11.25" customHeight="1" x14ac:dyDescent="0.2">
      <c r="A15" s="59" t="s">
        <v>25</v>
      </c>
      <c r="B15" s="60" t="s">
        <v>48</v>
      </c>
      <c r="C15" s="61" t="s">
        <v>6</v>
      </c>
      <c r="D15" s="61" t="s">
        <v>8</v>
      </c>
      <c r="E15" s="61" t="s">
        <v>7</v>
      </c>
      <c r="F15" s="61" t="s">
        <v>27</v>
      </c>
      <c r="G15" s="61" t="str">
        <f t="shared" si="5"/>
        <v>Euribor1M</v>
      </c>
      <c r="H15" s="59" t="str">
        <f t="shared" si="6"/>
        <v>EURA1E11M_LCHQuote</v>
      </c>
      <c r="I15" s="127">
        <v>0</v>
      </c>
      <c r="J15" s="64" t="e">
        <f>_xll.qlSwapRateHelper2(,$H15,2,$B15,Calendar,$D15,$E15,$F15,$G15,$I15,$C15,Discounting1,PillarDate,,Permanent,Trigger,ObjectOverwrite)</f>
        <v>#NUM!</v>
      </c>
      <c r="K15" s="64" t="e">
        <f t="shared" si="7"/>
        <v>#NUM!</v>
      </c>
      <c r="L15" s="48"/>
      <c r="M15" s="68" t="str">
        <f t="shared" ref="M15:M52" si="8">A19</f>
        <v>Sw</v>
      </c>
      <c r="N15" s="131" t="str">
        <f t="shared" ref="N15:O52" si="9">IF(ISBLANK(J19),"--",J19)</f>
        <v>qlSwapRateHelper2(,$H19,2,$B19,Calendar,$D19,$E19,$F19,$G19,$I19,$C19,Discounting1,PillarDate,,Permanent,Trigger,ObjectOverwrite)</v>
      </c>
      <c r="O15" s="131" t="str">
        <f t="shared" si="9"/>
        <v>qlSwapRateHelper2(,$H19,2,$B19,Calendar,$D19,$E19,$F19,$G19,$I19,$C19,Discounting1,PillarDate,,Permanent,Trigger,ObjectOverwrite)</v>
      </c>
      <c r="P15" s="145" t="str">
        <f>IFERROR(_xll.qlRateHelperQuoteName(N15,Trigger),"--")</f>
        <v>--</v>
      </c>
      <c r="Q15" s="133" t="str">
        <f>IFERROR(_xll.qlRateHelperQuoteValue($N15,Trigger),"--")</f>
        <v>--</v>
      </c>
      <c r="R15" s="137" t="b">
        <v>0</v>
      </c>
      <c r="S15" s="131">
        <v>10</v>
      </c>
      <c r="T15" s="131">
        <v>1</v>
      </c>
      <c r="U15" s="134" t="str">
        <f>IFERROR(_xll.qlRateHelperEarliestDate(N15,Trigger),"--")</f>
        <v>--</v>
      </c>
      <c r="V15" s="134" t="str">
        <f>IFERROR(_xll.qlRateHelperPillarDate(N15,Trigger),"--")</f>
        <v>--</v>
      </c>
      <c r="X15" s="4" t="str">
        <f t="shared" si="0"/>
        <v>BasSw</v>
      </c>
      <c r="Y15" s="4" t="str">
        <v>obj_005f1</v>
      </c>
      <c r="Z15" s="4" t="str">
        <v>obj_00598</v>
      </c>
      <c r="AA15" s="4" t="str">
        <f>IFERROR(_xll.qlRateHelperQuoteName(Y15,Trigger),"")</f>
        <v>EUR1E6E8Y_LCHQuote</v>
      </c>
      <c r="AB15" s="70">
        <f>IFERROR(_xll.qlRateHelperRate(Y15,Trigger),"")</f>
        <v>6.8542500000000001E-3</v>
      </c>
      <c r="AC15" s="104">
        <f>IF(ISERROR(_xll.qlSwapRateHelperSpread($Y15)),IF(ISERROR(_xll.qlFuturesRateHelperConvexityAdjustment($Y15)),"",_xll.qlFuturesRateHelperConvexityAdjustment($Y15)),_xll.qlSwapRateHelperSpread($Y15))</f>
        <v>0</v>
      </c>
      <c r="AD15" s="5">
        <f>IFERROR(_xll.qlRateHelperEarliestDate(Y15,Trigger),"")</f>
        <v>42250</v>
      </c>
      <c r="AE15" s="5">
        <f>IFERROR(_xll.qlRateHelperPillarDate(Y15,Trigger),"")</f>
        <v>45173</v>
      </c>
      <c r="AF15" s="70">
        <v>7.0164772186201057E-3</v>
      </c>
      <c r="AG15" s="77">
        <v>0.9453212194164935</v>
      </c>
      <c r="AH15" s="80"/>
      <c r="AI15" s="170">
        <v>45173</v>
      </c>
      <c r="AJ15" s="171">
        <v>7.0164772186647401E-3</v>
      </c>
      <c r="AK15" s="173">
        <f t="shared" si="3"/>
        <v>-4.4634435036883247E-14</v>
      </c>
      <c r="AL15" s="80">
        <v>0.94532122078566405</v>
      </c>
      <c r="AM15" s="162">
        <f t="shared" si="4"/>
        <v>-1.3691705547103084E-9</v>
      </c>
    </row>
    <row r="16" spans="1:42" ht="11.25" customHeight="1" x14ac:dyDescent="0.2">
      <c r="A16" s="1" t="s">
        <v>25</v>
      </c>
      <c r="B16" s="8" t="s">
        <v>116</v>
      </c>
      <c r="C16" s="7" t="s">
        <v>6</v>
      </c>
      <c r="D16" s="7" t="s">
        <v>8</v>
      </c>
      <c r="E16" s="7" t="s">
        <v>7</v>
      </c>
      <c r="F16" s="7" t="s">
        <v>27</v>
      </c>
      <c r="G16" s="7" t="str">
        <f t="shared" si="5"/>
        <v>Euribor1M</v>
      </c>
      <c r="H16" s="1" t="str">
        <f t="shared" si="6"/>
        <v>EURA1E1Y_LCHQuote</v>
      </c>
      <c r="I16" s="130">
        <v>0</v>
      </c>
      <c r="J16" s="3" t="str">
        <f>_xll.qlSwapRateHelper2(,$H16,2,$B16,Calendar,$D16,$E16,$F16,$G16,$I16,$C16,Discounting1,PillarDate,,Permanent,Trigger,ObjectOverwrite)</f>
        <v>obj_005eb#0005</v>
      </c>
      <c r="K16" s="3" t="str">
        <f t="shared" si="7"/>
        <v>obj_005eb#0005</v>
      </c>
      <c r="L16" s="48"/>
      <c r="M16" s="10" t="str">
        <f t="shared" si="8"/>
        <v>Sw</v>
      </c>
      <c r="N16" s="94" t="str">
        <f t="shared" si="9"/>
        <v>--</v>
      </c>
      <c r="O16" s="94" t="str">
        <f t="shared" si="9"/>
        <v>--</v>
      </c>
      <c r="P16" s="146" t="str">
        <f>IFERROR(_xll.qlRateHelperQuoteName(N16,Trigger),"--")</f>
        <v>--</v>
      </c>
      <c r="Q16" s="98" t="str">
        <f>IFERROR(_xll.qlRateHelperQuoteValue($N16,Trigger),"--")</f>
        <v>--</v>
      </c>
      <c r="R16" s="141" t="b">
        <v>0</v>
      </c>
      <c r="S16" s="94">
        <v>10</v>
      </c>
      <c r="T16" s="94">
        <v>1</v>
      </c>
      <c r="U16" s="99" t="str">
        <f>IFERROR(_xll.qlRateHelperEarliestDate(N16,Trigger),"--")</f>
        <v>--</v>
      </c>
      <c r="V16" s="99" t="str">
        <f>IFERROR(_xll.qlRateHelperPillarDate(N16,Trigger),"--")</f>
        <v>--</v>
      </c>
      <c r="X16" s="4" t="str">
        <f t="shared" si="0"/>
        <v>BasSw</v>
      </c>
      <c r="Y16" s="4" t="str">
        <v>obj_005f0</v>
      </c>
      <c r="Z16" s="4" t="str">
        <v>obj_00596</v>
      </c>
      <c r="AA16" s="4" t="str">
        <f>IFERROR(_xll.qlRateHelperQuoteName(Y16,Trigger),"")</f>
        <v>EUR1E6E9Y_LCHQuote</v>
      </c>
      <c r="AB16" s="70">
        <f>IFERROR(_xll.qlRateHelperRate(Y16,Trigger),"")</f>
        <v>8.1569999999999993E-3</v>
      </c>
      <c r="AC16" s="104">
        <f>IF(ISERROR(_xll.qlSwapRateHelperSpread($Y16)),IF(ISERROR(_xll.qlFuturesRateHelperConvexityAdjustment($Y16)),"",_xll.qlFuturesRateHelperConvexityAdjustment($Y16)),_xll.qlSwapRateHelperSpread($Y16))</f>
        <v>0</v>
      </c>
      <c r="AD16" s="5">
        <f>IFERROR(_xll.qlRateHelperEarliestDate(Y16,Trigger),"")</f>
        <v>42250</v>
      </c>
      <c r="AE16" s="5">
        <f>IFERROR(_xll.qlRateHelperPillarDate(Y16,Trigger),"")</f>
        <v>45538</v>
      </c>
      <c r="AF16" s="70">
        <v>8.3780520430547616E-3</v>
      </c>
      <c r="AG16" s="77">
        <v>0.92726769834802325</v>
      </c>
      <c r="AH16" s="80"/>
      <c r="AI16" s="170">
        <v>45538</v>
      </c>
      <c r="AJ16" s="171">
        <v>8.3780520427873002E-3</v>
      </c>
      <c r="AK16" s="173">
        <f t="shared" si="3"/>
        <v>2.6746140024958009E-13</v>
      </c>
      <c r="AL16" s="80">
        <v>0.92726769969032397</v>
      </c>
      <c r="AM16" s="162">
        <f t="shared" si="4"/>
        <v>-1.3423007150237254E-9</v>
      </c>
    </row>
    <row r="17" spans="1:39" ht="11.25" customHeight="1" x14ac:dyDescent="0.2">
      <c r="G17" s="50" t="s">
        <v>126</v>
      </c>
      <c r="H17" s="50" t="s">
        <v>130</v>
      </c>
      <c r="L17" s="48"/>
      <c r="M17" s="10" t="str">
        <f t="shared" si="8"/>
        <v>Sw</v>
      </c>
      <c r="N17" s="94" t="str">
        <f t="shared" si="9"/>
        <v>--</v>
      </c>
      <c r="O17" s="94" t="str">
        <f t="shared" si="9"/>
        <v>--</v>
      </c>
      <c r="P17" s="146" t="str">
        <f>IFERROR(_xll.qlRateHelperQuoteName(N17,Trigger),"--")</f>
        <v>--</v>
      </c>
      <c r="Q17" s="98" t="str">
        <f>IFERROR(_xll.qlRateHelperQuoteValue($N17,Trigger),"--")</f>
        <v>--</v>
      </c>
      <c r="R17" s="141" t="b">
        <v>0</v>
      </c>
      <c r="S17" s="94">
        <v>10</v>
      </c>
      <c r="T17" s="94">
        <v>1</v>
      </c>
      <c r="U17" s="99" t="str">
        <f>IFERROR(_xll.qlRateHelperEarliestDate(N17,Trigger),"--")</f>
        <v>--</v>
      </c>
      <c r="V17" s="99" t="str">
        <f>IFERROR(_xll.qlRateHelperPillarDate(N17,Trigger),"--")</f>
        <v>--</v>
      </c>
      <c r="X17" s="4" t="str">
        <f t="shared" si="0"/>
        <v>BasSw</v>
      </c>
      <c r="Y17" s="4" t="str">
        <v>obj_005fb</v>
      </c>
      <c r="Z17" s="4" t="str">
        <v>obj_00593</v>
      </c>
      <c r="AA17" s="4" t="str">
        <f>IFERROR(_xll.qlRateHelperQuoteName(Y17,Trigger),"")</f>
        <v>EUR1E6E10Y_LCHQuote</v>
      </c>
      <c r="AB17" s="70">
        <f>IFERROR(_xll.qlRateHelperRate(Y17,Trigger),"")</f>
        <v>9.2929999999999992E-3</v>
      </c>
      <c r="AC17" s="104">
        <f>IF(ISERROR(_xll.qlSwapRateHelperSpread($Y17)),IF(ISERROR(_xll.qlFuturesRateHelperConvexityAdjustment($Y17)),"",_xll.qlFuturesRateHelperConvexityAdjustment($Y17)),_xll.qlSwapRateHelperSpread($Y17))</f>
        <v>0</v>
      </c>
      <c r="AD17" s="5">
        <f>IFERROR(_xll.qlRateHelperEarliestDate(Y17,Trigger),"")</f>
        <v>42250</v>
      </c>
      <c r="AE17" s="5">
        <f>IFERROR(_xll.qlRateHelperPillarDate(Y17,Trigger),"")</f>
        <v>45903</v>
      </c>
      <c r="AF17" s="70">
        <v>9.5742995177357029E-3</v>
      </c>
      <c r="AG17" s="77">
        <v>0.9085866700223717</v>
      </c>
      <c r="AH17" s="80"/>
      <c r="AI17" s="170">
        <v>45903</v>
      </c>
      <c r="AJ17" s="171">
        <v>9.5742995174521502E-3</v>
      </c>
      <c r="AK17" s="173">
        <f t="shared" si="3"/>
        <v>2.8355269521274096E-13</v>
      </c>
      <c r="AL17" s="80">
        <v>0.90858667133762505</v>
      </c>
      <c r="AM17" s="162">
        <f t="shared" si="4"/>
        <v>-1.3152533506755049E-9</v>
      </c>
    </row>
    <row r="18" spans="1:39" ht="11.25" customHeight="1" x14ac:dyDescent="0.2">
      <c r="A18" s="65" t="s">
        <v>9</v>
      </c>
      <c r="B18" s="65" t="s">
        <v>29</v>
      </c>
      <c r="C18" s="65" t="s">
        <v>114</v>
      </c>
      <c r="D18" s="65" t="s">
        <v>5</v>
      </c>
      <c r="E18" s="65" t="s">
        <v>34</v>
      </c>
      <c r="F18" s="65" t="s">
        <v>115</v>
      </c>
      <c r="G18" s="65" t="s">
        <v>4</v>
      </c>
      <c r="H18" s="65" t="s">
        <v>1</v>
      </c>
      <c r="I18" s="65" t="s">
        <v>113</v>
      </c>
      <c r="J18" s="65" t="s">
        <v>150</v>
      </c>
      <c r="K18" s="65" t="s">
        <v>151</v>
      </c>
      <c r="L18" s="48"/>
      <c r="M18" s="10" t="str">
        <f t="shared" si="8"/>
        <v>Sw</v>
      </c>
      <c r="N18" s="94" t="str">
        <f t="shared" si="9"/>
        <v>--</v>
      </c>
      <c r="O18" s="94" t="str">
        <f t="shared" si="9"/>
        <v>--</v>
      </c>
      <c r="P18" s="146" t="str">
        <f>IFERROR(_xll.qlRateHelperQuoteName(N18,Trigger),"--")</f>
        <v>--</v>
      </c>
      <c r="Q18" s="98" t="str">
        <f>IFERROR(_xll.qlRateHelperQuoteValue($N18,Trigger),"--")</f>
        <v>--</v>
      </c>
      <c r="R18" s="141" t="b">
        <v>0</v>
      </c>
      <c r="S18" s="94">
        <v>10</v>
      </c>
      <c r="T18" s="94">
        <v>1</v>
      </c>
      <c r="U18" s="99" t="str">
        <f>IFERROR(_xll.qlRateHelperEarliestDate(N18,Trigger),"--")</f>
        <v>--</v>
      </c>
      <c r="V18" s="99" t="str">
        <f>IFERROR(_xll.qlRateHelperPillarDate(N18,Trigger),"--")</f>
        <v>--</v>
      </c>
      <c r="X18" s="4" t="str">
        <f t="shared" si="0"/>
        <v>BasSw</v>
      </c>
      <c r="Y18" s="4" t="str">
        <v>obj_005fe</v>
      </c>
      <c r="Z18" s="4" t="str">
        <v>obj_0058e</v>
      </c>
      <c r="AA18" s="4" t="str">
        <f>IFERROR(_xll.qlRateHelperQuoteName(Y18,Trigger),"")</f>
        <v>EUR1E6E12Y_LCHQuote</v>
      </c>
      <c r="AB18" s="70">
        <f>IFERROR(_xll.qlRateHelperRate(Y18,Trigger),"")</f>
        <v>1.1145499999999999E-2</v>
      </c>
      <c r="AC18" s="104">
        <f>IF(ISERROR(_xll.qlSwapRateHelperSpread($Y18)),IF(ISERROR(_xll.qlFuturesRateHelperConvexityAdjustment($Y18)),"",_xll.qlFuturesRateHelperConvexityAdjustment($Y18)),_xll.qlSwapRateHelperSpread($Y18))</f>
        <v>0</v>
      </c>
      <c r="AD18" s="5">
        <f>IFERROR(_xll.qlRateHelperEarliestDate(Y18,Trigger),"")</f>
        <v>42250</v>
      </c>
      <c r="AE18" s="5">
        <f>IFERROR(_xll.qlRateHelperPillarDate(Y18,Trigger),"")</f>
        <v>46633</v>
      </c>
      <c r="AF18" s="70">
        <v>1.1545795952648926E-2</v>
      </c>
      <c r="AG18" s="77">
        <v>0.87049541838687716</v>
      </c>
      <c r="AH18" s="80"/>
      <c r="AI18" s="170">
        <v>46633</v>
      </c>
      <c r="AJ18" s="171">
        <v>1.1545795952588001E-2</v>
      </c>
      <c r="AK18" s="173">
        <f t="shared" si="3"/>
        <v>6.0925223199781442E-14</v>
      </c>
      <c r="AL18" s="80">
        <v>0.87049541964743005</v>
      </c>
      <c r="AM18" s="162">
        <f t="shared" si="4"/>
        <v>-1.2605528842968283E-9</v>
      </c>
    </row>
    <row r="19" spans="1:39" ht="11.25" customHeight="1" x14ac:dyDescent="0.2">
      <c r="A19" s="59" t="s">
        <v>25</v>
      </c>
      <c r="B19" s="60" t="s">
        <v>3</v>
      </c>
      <c r="C19" s="61" t="s">
        <v>6</v>
      </c>
      <c r="D19" s="61" t="s">
        <v>8</v>
      </c>
      <c r="E19" s="61" t="s">
        <v>7</v>
      </c>
      <c r="F19" s="61" t="s">
        <v>125</v>
      </c>
      <c r="G19" s="61" t="str">
        <f t="shared" ref="G19:G56" si="10">PROPER(Currency)&amp;FamilyName&amp;Tenor</f>
        <v>Euribor1M</v>
      </c>
      <c r="H19" s="59" t="str">
        <f t="shared" ref="H19:H56" si="11">IF(LCHQuoteOverwrite,Currency&amp;$G$17&amp;$H$17&amp;$B19&amp;LCHQuoteSuffix,Currency&amp;$G$17&amp;$H$17&amp;$B19&amp;QuoteSuffix)</f>
        <v>EURAB1E6M_LCHQuote</v>
      </c>
      <c r="I19" s="155">
        <v>0</v>
      </c>
      <c r="J19" s="64" t="s">
        <v>153</v>
      </c>
      <c r="K19" s="64" t="str">
        <f>J19</f>
        <v>qlSwapRateHelper2(,$H19,2,$B19,Calendar,$D19,$E19,$F19,$G19,$I19,$C19,Discounting1,PillarDate,,Permanent,Trigger,ObjectOverwrite)</v>
      </c>
      <c r="L19" s="48"/>
      <c r="M19" s="10" t="str">
        <f t="shared" si="8"/>
        <v>Sw</v>
      </c>
      <c r="N19" s="94" t="str">
        <f t="shared" si="9"/>
        <v>--</v>
      </c>
      <c r="O19" s="94" t="str">
        <f t="shared" si="9"/>
        <v>--</v>
      </c>
      <c r="P19" s="146" t="str">
        <f>IFERROR(_xll.qlRateHelperQuoteName(N19,Trigger),"--")</f>
        <v>--</v>
      </c>
      <c r="Q19" s="98" t="str">
        <f>IFERROR(_xll.qlRateHelperQuoteValue($N19,Trigger),"--")</f>
        <v>--</v>
      </c>
      <c r="R19" s="141" t="b">
        <v>0</v>
      </c>
      <c r="S19" s="94">
        <v>10</v>
      </c>
      <c r="T19" s="94">
        <v>1</v>
      </c>
      <c r="U19" s="99" t="str">
        <f>IFERROR(_xll.qlRateHelperEarliestDate(N19,Trigger),"--")</f>
        <v>--</v>
      </c>
      <c r="V19" s="99" t="str">
        <f>IFERROR(_xll.qlRateHelperPillarDate(N19,Trigger),"--")</f>
        <v>--</v>
      </c>
      <c r="X19" s="4" t="str">
        <f t="shared" si="0"/>
        <v>BasSw</v>
      </c>
      <c r="Y19" s="4" t="str">
        <v>obj_005f5</v>
      </c>
      <c r="Z19" s="4" t="str">
        <v>obj_00599</v>
      </c>
      <c r="AA19" s="4" t="str">
        <f>IFERROR(_xll.qlRateHelperQuoteName(Y19,Trigger),"")</f>
        <v>EUR1E6E15Y_LCHQuote</v>
      </c>
      <c r="AB19" s="70">
        <f>IFERROR(_xll.qlRateHelperRate(Y19,Trigger),"")</f>
        <v>1.30755E-2</v>
      </c>
      <c r="AC19" s="104">
        <f>IF(ISERROR(_xll.qlSwapRateHelperSpread($Y19)),IF(ISERROR(_xll.qlFuturesRateHelperConvexityAdjustment($Y19)),"",_xll.qlFuturesRateHelperConvexityAdjustment($Y19)),_xll.qlSwapRateHelperSpread($Y19))</f>
        <v>0</v>
      </c>
      <c r="AD19" s="5">
        <f>IFERROR(_xll.qlRateHelperEarliestDate(Y19,Trigger),"")</f>
        <v>42250</v>
      </c>
      <c r="AE19" s="5">
        <f>IFERROR(_xll.qlRateHelperPillarDate(Y19,Trigger),"")</f>
        <v>47729</v>
      </c>
      <c r="AF19" s="70">
        <v>1.3633459883010133E-2</v>
      </c>
      <c r="AG19" s="77">
        <v>0.81493359160461953</v>
      </c>
      <c r="AH19" s="80"/>
      <c r="AI19" s="170">
        <v>47729</v>
      </c>
      <c r="AJ19" s="171">
        <v>1.3633459882536199E-2</v>
      </c>
      <c r="AK19" s="173">
        <f t="shared" si="3"/>
        <v>4.7393339253076761E-13</v>
      </c>
      <c r="AL19" s="80">
        <v>0.81493359277962696</v>
      </c>
      <c r="AM19" s="162">
        <f t="shared" si="4"/>
        <v>-1.1750074246918984E-9</v>
      </c>
    </row>
    <row r="20" spans="1:39" ht="11.25" customHeight="1" x14ac:dyDescent="0.2">
      <c r="A20" s="59" t="s">
        <v>25</v>
      </c>
      <c r="B20" s="60" t="s">
        <v>28</v>
      </c>
      <c r="C20" s="61" t="s">
        <v>6</v>
      </c>
      <c r="D20" s="61" t="s">
        <v>8</v>
      </c>
      <c r="E20" s="61" t="s">
        <v>7</v>
      </c>
      <c r="F20" s="61" t="s">
        <v>125</v>
      </c>
      <c r="G20" s="61" t="str">
        <f t="shared" si="10"/>
        <v>Euribor1M</v>
      </c>
      <c r="H20" s="59" t="str">
        <f t="shared" si="11"/>
        <v>EURAB1E1Y_LCHQuote</v>
      </c>
      <c r="I20" s="155">
        <v>0</v>
      </c>
      <c r="J20" s="64"/>
      <c r="K20" s="64"/>
      <c r="L20" s="48"/>
      <c r="M20" s="10" t="str">
        <f t="shared" si="8"/>
        <v>Sw</v>
      </c>
      <c r="N20" s="94" t="str">
        <f t="shared" si="9"/>
        <v>--</v>
      </c>
      <c r="O20" s="94" t="str">
        <f t="shared" si="9"/>
        <v>--</v>
      </c>
      <c r="P20" s="146" t="str">
        <f>IFERROR(_xll.qlRateHelperQuoteName(N20,Trigger),"--")</f>
        <v>--</v>
      </c>
      <c r="Q20" s="98" t="str">
        <f>IFERROR(_xll.qlRateHelperQuoteValue($N20,Trigger),"--")</f>
        <v>--</v>
      </c>
      <c r="R20" s="141" t="b">
        <v>0</v>
      </c>
      <c r="S20" s="94">
        <v>10</v>
      </c>
      <c r="T20" s="94">
        <v>1</v>
      </c>
      <c r="U20" s="99" t="str">
        <f>IFERROR(_xll.qlRateHelperEarliestDate(N20,Trigger),"--")</f>
        <v>--</v>
      </c>
      <c r="V20" s="99" t="str">
        <f>IFERROR(_xll.qlRateHelperPillarDate(N20,Trigger),"--")</f>
        <v>--</v>
      </c>
      <c r="X20" s="4" t="str">
        <f t="shared" si="0"/>
        <v>BasSw</v>
      </c>
      <c r="Y20" s="4" t="str">
        <v>obj_005ee</v>
      </c>
      <c r="Z20" s="4" t="str">
        <v>obj_00591</v>
      </c>
      <c r="AA20" s="4" t="str">
        <f>IFERROR(_xll.qlRateHelperQuoteName(Y20,Trigger),"")</f>
        <v>EUR1E6E20Y_LCHQuote</v>
      </c>
      <c r="AB20" s="70">
        <f>IFERROR(_xll.qlRateHelperRate(Y20,Trigger),"")</f>
        <v>1.46955E-2</v>
      </c>
      <c r="AC20" s="104">
        <f>IF(ISERROR(_xll.qlSwapRateHelperSpread($Y20)),IF(ISERROR(_xll.qlFuturesRateHelperConvexityAdjustment($Y20)),"",_xll.qlFuturesRateHelperConvexityAdjustment($Y20)),_xll.qlSwapRateHelperSpread($Y20))</f>
        <v>0</v>
      </c>
      <c r="AD20" s="5">
        <f>IFERROR(_xll.qlRateHelperEarliestDate(Y20,Trigger),"")</f>
        <v>42250</v>
      </c>
      <c r="AE20" s="5">
        <f>IFERROR(_xll.qlRateHelperPillarDate(Y20,Trigger),"")</f>
        <v>49555</v>
      </c>
      <c r="AF20" s="70">
        <v>1.539404512644617E-2</v>
      </c>
      <c r="AG20" s="77">
        <v>0.73498356125958952</v>
      </c>
      <c r="AH20" s="80"/>
      <c r="AI20" s="170">
        <v>49555</v>
      </c>
      <c r="AJ20" s="171">
        <v>1.5394045126482301E-2</v>
      </c>
      <c r="AK20" s="173">
        <f t="shared" si="3"/>
        <v>-3.6130820557644938E-14</v>
      </c>
      <c r="AL20" s="80">
        <v>0.73498356237171003</v>
      </c>
      <c r="AM20" s="162">
        <f t="shared" si="4"/>
        <v>-1.1121205067965434E-9</v>
      </c>
    </row>
    <row r="21" spans="1:39" ht="11.25" customHeight="1" x14ac:dyDescent="0.2">
      <c r="A21" s="59" t="s">
        <v>25</v>
      </c>
      <c r="B21" s="60" t="s">
        <v>49</v>
      </c>
      <c r="C21" s="61" t="s">
        <v>6</v>
      </c>
      <c r="D21" s="61" t="s">
        <v>8</v>
      </c>
      <c r="E21" s="61" t="s">
        <v>7</v>
      </c>
      <c r="F21" s="61" t="s">
        <v>125</v>
      </c>
      <c r="G21" s="61" t="str">
        <f t="shared" si="10"/>
        <v>Euribor1M</v>
      </c>
      <c r="H21" s="59" t="str">
        <f t="shared" si="11"/>
        <v>EURAB1E15M_LCHQuote</v>
      </c>
      <c r="I21" s="155">
        <v>0</v>
      </c>
      <c r="J21" s="64"/>
      <c r="K21" s="64"/>
      <c r="L21" s="48"/>
      <c r="M21" s="10" t="str">
        <f t="shared" si="8"/>
        <v>Sw</v>
      </c>
      <c r="N21" s="94" t="str">
        <f t="shared" si="9"/>
        <v>--</v>
      </c>
      <c r="O21" s="94" t="str">
        <f t="shared" si="9"/>
        <v>--</v>
      </c>
      <c r="P21" s="146" t="str">
        <f>IFERROR(_xll.qlRateHelperQuoteName(N21,Trigger),"--")</f>
        <v>--</v>
      </c>
      <c r="Q21" s="98" t="str">
        <f>IFERROR(_xll.qlRateHelperQuoteValue($N21,Trigger),"--")</f>
        <v>--</v>
      </c>
      <c r="R21" s="141" t="b">
        <v>0</v>
      </c>
      <c r="S21" s="94">
        <v>10</v>
      </c>
      <c r="T21" s="94">
        <v>1</v>
      </c>
      <c r="U21" s="99" t="str">
        <f>IFERROR(_xll.qlRateHelperEarliestDate(N21,Trigger),"--")</f>
        <v>--</v>
      </c>
      <c r="V21" s="99" t="str">
        <f>IFERROR(_xll.qlRateHelperPillarDate(N21,Trigger),"--")</f>
        <v>--</v>
      </c>
      <c r="X21" s="4" t="str">
        <f t="shared" si="0"/>
        <v>BasSw</v>
      </c>
      <c r="Y21" s="4" t="str">
        <v>obj_005f8</v>
      </c>
      <c r="Z21" s="4" t="str">
        <v>obj_00589</v>
      </c>
      <c r="AA21" s="4" t="str">
        <f>IFERROR(_xll.qlRateHelperQuoteName(Y21,Trigger),"")</f>
        <v>EUR1E6E25Y_LCHQuote</v>
      </c>
      <c r="AB21" s="70">
        <f>IFERROR(_xll.qlRateHelperRate(Y21,Trigger),"")</f>
        <v>1.5153E-2</v>
      </c>
      <c r="AC21" s="104">
        <f>IF(ISERROR(_xll.qlSwapRateHelperSpread($Y21)),IF(ISERROR(_xll.qlFuturesRateHelperConvexityAdjustment($Y21)),"",_xll.qlFuturesRateHelperConvexityAdjustment($Y21)),_xll.qlSwapRateHelperSpread($Y21))</f>
        <v>0</v>
      </c>
      <c r="AD21" s="5">
        <f>IFERROR(_xll.qlRateHelperEarliestDate(Y21,Trigger),"")</f>
        <v>42250</v>
      </c>
      <c r="AE21" s="5">
        <f>IFERROR(_xll.qlRateHelperPillarDate(Y21,Trigger),"")</f>
        <v>51382</v>
      </c>
      <c r="AF21" s="70">
        <v>1.5830163806105333E-2</v>
      </c>
      <c r="AG21" s="77">
        <v>0.67316021196012576</v>
      </c>
      <c r="AH21" s="80"/>
      <c r="AI21" s="170">
        <v>51382</v>
      </c>
      <c r="AJ21" s="171">
        <v>1.5830163806132801E-2</v>
      </c>
      <c r="AK21" s="173">
        <f t="shared" si="3"/>
        <v>-2.7467611518616764E-14</v>
      </c>
      <c r="AL21" s="80">
        <v>0.67316021281897198</v>
      </c>
      <c r="AM21" s="162">
        <f t="shared" si="4"/>
        <v>-8.5884621636722613E-10</v>
      </c>
    </row>
    <row r="22" spans="1:39" ht="11.25" customHeight="1" x14ac:dyDescent="0.2">
      <c r="A22" s="59" t="s">
        <v>25</v>
      </c>
      <c r="B22" s="60" t="s">
        <v>50</v>
      </c>
      <c r="C22" s="61" t="s">
        <v>6</v>
      </c>
      <c r="D22" s="61" t="s">
        <v>8</v>
      </c>
      <c r="E22" s="61" t="s">
        <v>7</v>
      </c>
      <c r="F22" s="61" t="s">
        <v>125</v>
      </c>
      <c r="G22" s="61" t="str">
        <f t="shared" si="10"/>
        <v>Euribor1M</v>
      </c>
      <c r="H22" s="59" t="str">
        <f t="shared" si="11"/>
        <v>EURAB1E18M_LCHQuote</v>
      </c>
      <c r="I22" s="155">
        <v>0</v>
      </c>
      <c r="J22" s="64"/>
      <c r="K22" s="64"/>
      <c r="L22" s="48"/>
      <c r="M22" s="10" t="str">
        <f t="shared" si="8"/>
        <v>Sw</v>
      </c>
      <c r="N22" s="94" t="str">
        <f t="shared" si="9"/>
        <v>--</v>
      </c>
      <c r="O22" s="94" t="str">
        <f t="shared" si="9"/>
        <v>--</v>
      </c>
      <c r="P22" s="146" t="str">
        <f>IFERROR(_xll.qlRateHelperQuoteName(N22,Trigger),"--")</f>
        <v>--</v>
      </c>
      <c r="Q22" s="98" t="str">
        <f>IFERROR(_xll.qlRateHelperQuoteValue($N22,Trigger),"--")</f>
        <v>--</v>
      </c>
      <c r="R22" s="141" t="b">
        <v>0</v>
      </c>
      <c r="S22" s="94">
        <v>10</v>
      </c>
      <c r="T22" s="94">
        <v>1</v>
      </c>
      <c r="U22" s="99" t="str">
        <f>IFERROR(_xll.qlRateHelperEarliestDate(N22,Trigger),"--")</f>
        <v>--</v>
      </c>
      <c r="V22" s="99" t="str">
        <f>IFERROR(_xll.qlRateHelperPillarDate(N22,Trigger),"--")</f>
        <v>--</v>
      </c>
      <c r="X22" s="4" t="str">
        <f t="shared" si="0"/>
        <v>BasSw</v>
      </c>
      <c r="Y22" s="4" t="str">
        <v>obj_005f6</v>
      </c>
      <c r="Z22" s="4" t="str">
        <v>obj_0058c</v>
      </c>
      <c r="AA22" s="4" t="str">
        <f>IFERROR(_xll.qlRateHelperQuoteName(Y22,Trigger),"")</f>
        <v>EUR1E6E30Y_LCHQuote</v>
      </c>
      <c r="AB22" s="70">
        <f>IFERROR(_xll.qlRateHelperRate(Y22,Trigger),"")</f>
        <v>1.53405E-2</v>
      </c>
      <c r="AC22" s="104">
        <f>IF(ISERROR(_xll.qlSwapRateHelperSpread($Y22)),IF(ISERROR(_xll.qlFuturesRateHelperConvexityAdjustment($Y22)),"",_xll.qlFuturesRateHelperConvexityAdjustment($Y22)),_xll.qlSwapRateHelperSpread($Y22))</f>
        <v>0</v>
      </c>
      <c r="AD22" s="5">
        <f>IFERROR(_xll.qlRateHelperEarliestDate(Y22,Trigger),"")</f>
        <v>42250</v>
      </c>
      <c r="AE22" s="5">
        <f>IFERROR(_xll.qlRateHelperPillarDate(Y22,Trigger),"")</f>
        <v>53209</v>
      </c>
      <c r="AF22" s="70">
        <v>1.5971192008114907E-2</v>
      </c>
      <c r="AG22" s="77">
        <v>0.61926611848961433</v>
      </c>
      <c r="AH22" s="80"/>
      <c r="AI22" s="170">
        <v>53209</v>
      </c>
      <c r="AJ22" s="171">
        <v>1.59711920081364E-2</v>
      </c>
      <c r="AK22" s="173">
        <f t="shared" si="3"/>
        <v>-2.149322386735264E-14</v>
      </c>
      <c r="AL22" s="80">
        <v>0.61926611981838597</v>
      </c>
      <c r="AM22" s="162">
        <f t="shared" si="4"/>
        <v>-1.3287716482679457E-9</v>
      </c>
    </row>
    <row r="23" spans="1:39" ht="11.25" customHeight="1" x14ac:dyDescent="0.2">
      <c r="A23" s="59" t="s">
        <v>25</v>
      </c>
      <c r="B23" s="60" t="s">
        <v>51</v>
      </c>
      <c r="C23" s="61" t="s">
        <v>6</v>
      </c>
      <c r="D23" s="61" t="s">
        <v>8</v>
      </c>
      <c r="E23" s="61" t="s">
        <v>7</v>
      </c>
      <c r="F23" s="61" t="s">
        <v>125</v>
      </c>
      <c r="G23" s="61" t="str">
        <f t="shared" si="10"/>
        <v>Euribor1M</v>
      </c>
      <c r="H23" s="59" t="str">
        <f t="shared" si="11"/>
        <v>EURAB1E21M_LCHQuote</v>
      </c>
      <c r="I23" s="155">
        <v>0</v>
      </c>
      <c r="J23" s="64"/>
      <c r="K23" s="64"/>
      <c r="L23" s="48"/>
      <c r="M23" s="10" t="str">
        <f t="shared" si="8"/>
        <v>Sw</v>
      </c>
      <c r="N23" s="94" t="str">
        <f t="shared" si="9"/>
        <v>--</v>
      </c>
      <c r="O23" s="94" t="str">
        <f t="shared" si="9"/>
        <v>--</v>
      </c>
      <c r="P23" s="146" t="str">
        <f>IFERROR(_xll.qlRateHelperQuoteName(N23,Trigger),"--")</f>
        <v>--</v>
      </c>
      <c r="Q23" s="98" t="str">
        <f>IFERROR(_xll.qlRateHelperQuoteValue($N23,Trigger),"--")</f>
        <v>--</v>
      </c>
      <c r="R23" s="141" t="b">
        <v>0</v>
      </c>
      <c r="S23" s="94">
        <v>10</v>
      </c>
      <c r="T23" s="94">
        <v>1</v>
      </c>
      <c r="U23" s="99" t="str">
        <f>IFERROR(_xll.qlRateHelperEarliestDate(N23,Trigger),"--")</f>
        <v>--</v>
      </c>
      <c r="V23" s="99" t="str">
        <f>IFERROR(_xll.qlRateHelperPillarDate(N23,Trigger),"--")</f>
        <v>--</v>
      </c>
      <c r="X23" s="4" t="str">
        <f t="shared" si="0"/>
        <v>BasSw</v>
      </c>
      <c r="Y23" s="4" t="str">
        <v>obj_005ec</v>
      </c>
      <c r="Z23" s="4" t="str">
        <v>obj_00590</v>
      </c>
      <c r="AA23" s="4" t="str">
        <f>IFERROR(_xll.qlRateHelperQuoteName(Y23,Trigger),"")</f>
        <v>EUR1E6E40Y_LCHQuote</v>
      </c>
      <c r="AB23" s="70">
        <f>IFERROR(_xll.qlRateHelperRate(Y23,Trigger),"")</f>
        <v>1.5461000000000001E-2</v>
      </c>
      <c r="AC23" s="104">
        <f>IF(ISERROR(_xll.qlSwapRateHelperSpread($Y23)),IF(ISERROR(_xll.qlFuturesRateHelperConvexityAdjustment($Y23)),"",_xll.qlFuturesRateHelperConvexityAdjustment($Y23)),_xll.qlSwapRateHelperSpread($Y23))</f>
        <v>0</v>
      </c>
      <c r="AD23" s="5">
        <f>IFERROR(_xll.qlRateHelperEarliestDate(Y23,Trigger),"")</f>
        <v>42250</v>
      </c>
      <c r="AE23" s="5">
        <f>IFERROR(_xll.qlRateHelperPillarDate(Y23,Trigger),"")</f>
        <v>56860</v>
      </c>
      <c r="AF23" s="70">
        <v>1.5995563691649405E-2</v>
      </c>
      <c r="AG23" s="77">
        <v>0.5274057650223748</v>
      </c>
      <c r="AH23" s="80"/>
      <c r="AI23" s="170">
        <v>56860</v>
      </c>
      <c r="AJ23" s="171">
        <v>1.59955636916627E-2</v>
      </c>
      <c r="AK23" s="173">
        <f t="shared" si="3"/>
        <v>-1.329492071988625E-14</v>
      </c>
      <c r="AL23" s="80">
        <v>0.52740575616821095</v>
      </c>
      <c r="AM23" s="162">
        <f t="shared" si="4"/>
        <v>8.8541638465500228E-9</v>
      </c>
    </row>
    <row r="24" spans="1:39" ht="11.25" customHeight="1" x14ac:dyDescent="0.2">
      <c r="A24" s="59" t="s">
        <v>25</v>
      </c>
      <c r="B24" s="60" t="s">
        <v>52</v>
      </c>
      <c r="C24" s="61" t="s">
        <v>6</v>
      </c>
      <c r="D24" s="61" t="s">
        <v>8</v>
      </c>
      <c r="E24" s="61" t="s">
        <v>7</v>
      </c>
      <c r="F24" s="61" t="s">
        <v>125</v>
      </c>
      <c r="G24" s="61" t="str">
        <f t="shared" si="10"/>
        <v>Euribor1M</v>
      </c>
      <c r="H24" s="59" t="str">
        <f t="shared" si="11"/>
        <v>EURAB1E2Y_LCHQuote</v>
      </c>
      <c r="I24" s="155">
        <v>0</v>
      </c>
      <c r="J24" s="64"/>
      <c r="K24" s="64"/>
      <c r="L24" s="48"/>
      <c r="M24" s="10" t="str">
        <f t="shared" si="8"/>
        <v>Sw</v>
      </c>
      <c r="N24" s="94" t="str">
        <f t="shared" si="9"/>
        <v>--</v>
      </c>
      <c r="O24" s="94" t="str">
        <f t="shared" si="9"/>
        <v>--</v>
      </c>
      <c r="P24" s="146" t="str">
        <f>IFERROR(_xll.qlRateHelperQuoteName(N24,Trigger),"--")</f>
        <v>--</v>
      </c>
      <c r="Q24" s="98" t="str">
        <f>IFERROR(_xll.qlRateHelperQuoteValue($N24,Trigger),"--")</f>
        <v>--</v>
      </c>
      <c r="R24" s="141" t="b">
        <v>0</v>
      </c>
      <c r="S24" s="94">
        <v>10</v>
      </c>
      <c r="T24" s="94">
        <v>1</v>
      </c>
      <c r="U24" s="99" t="str">
        <f>IFERROR(_xll.qlRateHelperEarliestDate(N24,Trigger),"--")</f>
        <v>--</v>
      </c>
      <c r="V24" s="99" t="str">
        <f>IFERROR(_xll.qlRateHelperPillarDate(N24,Trigger),"--")</f>
        <v>--</v>
      </c>
      <c r="X24" s="4" t="str">
        <f t="shared" si="0"/>
        <v>BasSw</v>
      </c>
      <c r="Y24" s="4" t="str">
        <v>obj_005fa</v>
      </c>
      <c r="Z24" s="4" t="str">
        <v>obj_00594</v>
      </c>
      <c r="AA24" s="4" t="str">
        <f>IFERROR(_xll.qlRateHelperQuoteName(Y24,Trigger),"")</f>
        <v>EUR1E6E50Y_LCHQuote</v>
      </c>
      <c r="AB24" s="70">
        <f>IFERROR(_xll.qlRateHelperRate(Y24,Trigger),"")</f>
        <v>1.5330999999999999E-2</v>
      </c>
      <c r="AC24" s="104">
        <f>IF(ISERROR(_xll.qlSwapRateHelperSpread($Y24)),IF(ISERROR(_xll.qlFuturesRateHelperConvexityAdjustment($Y24)),"",_xll.qlFuturesRateHelperConvexityAdjustment($Y24)),_xll.qlSwapRateHelperSpread($Y24))</f>
        <v>0</v>
      </c>
      <c r="AD24" s="5">
        <f>IFERROR(_xll.qlRateHelperEarliestDate(Y24,Trigger),"")</f>
        <v>42250</v>
      </c>
      <c r="AE24" s="5">
        <f>IFERROR(_xll.qlRateHelperPillarDate(Y24,Trigger),"")</f>
        <v>60513</v>
      </c>
      <c r="AF24" s="70">
        <v>1.5719055971387591E-2</v>
      </c>
      <c r="AG24" s="77">
        <v>0.45569359366070905</v>
      </c>
      <c r="AH24" s="80"/>
      <c r="AI24" s="170">
        <v>60513</v>
      </c>
      <c r="AJ24" s="171">
        <v>1.5719055971398499E-2</v>
      </c>
      <c r="AK24" s="173">
        <f t="shared" si="3"/>
        <v>-1.0907941216942163E-14</v>
      </c>
      <c r="AL24" s="80">
        <v>0.45569361556933202</v>
      </c>
      <c r="AM24" s="162">
        <f t="shared" si="4"/>
        <v>-2.1908622971356095E-8</v>
      </c>
    </row>
    <row r="25" spans="1:39" ht="11.25" customHeight="1" x14ac:dyDescent="0.2">
      <c r="A25" s="59" t="s">
        <v>25</v>
      </c>
      <c r="B25" s="60" t="s">
        <v>53</v>
      </c>
      <c r="C25" s="61" t="s">
        <v>6</v>
      </c>
      <c r="D25" s="61" t="s">
        <v>8</v>
      </c>
      <c r="E25" s="61" t="s">
        <v>7</v>
      </c>
      <c r="F25" s="61" t="s">
        <v>125</v>
      </c>
      <c r="G25" s="61" t="str">
        <f t="shared" si="10"/>
        <v>Euribor1M</v>
      </c>
      <c r="H25" s="59" t="str">
        <f t="shared" si="11"/>
        <v>EURAB1E3Y_LCHQuote</v>
      </c>
      <c r="I25" s="155">
        <v>0</v>
      </c>
      <c r="J25" s="64"/>
      <c r="K25" s="64"/>
      <c r="L25" s="48"/>
      <c r="M25" s="10" t="str">
        <f t="shared" si="8"/>
        <v>Sw</v>
      </c>
      <c r="N25" s="94" t="str">
        <f t="shared" si="9"/>
        <v>--</v>
      </c>
      <c r="O25" s="94" t="str">
        <f t="shared" si="9"/>
        <v>--</v>
      </c>
      <c r="P25" s="146" t="str">
        <f>IFERROR(_xll.qlRateHelperQuoteName(N25,Trigger),"--")</f>
        <v>--</v>
      </c>
      <c r="Q25" s="98" t="str">
        <f>IFERROR(_xll.qlRateHelperQuoteValue($N25,Trigger),"--")</f>
        <v>--</v>
      </c>
      <c r="R25" s="141" t="b">
        <v>0</v>
      </c>
      <c r="S25" s="94">
        <v>10</v>
      </c>
      <c r="T25" s="94">
        <v>1</v>
      </c>
      <c r="U25" s="99" t="str">
        <f>IFERROR(_xll.qlRateHelperEarliestDate(N25,Trigger),"--")</f>
        <v>--</v>
      </c>
      <c r="V25" s="99" t="str">
        <f>IFERROR(_xll.qlRateHelperPillarDate(N25,Trigger),"--")</f>
        <v>--</v>
      </c>
      <c r="X25" s="4" t="str">
        <f t="shared" si="0"/>
        <v>BasSw</v>
      </c>
      <c r="Y25" s="4" t="str">
        <v>obj_005fd</v>
      </c>
      <c r="Z25" s="4" t="str">
        <v>obj_00592</v>
      </c>
      <c r="AA25" s="4" t="str">
        <f>IFERROR(_xll.qlRateHelperQuoteName(Y25,Trigger),"")</f>
        <v>EUR1E6E60Y_LCHQuote</v>
      </c>
      <c r="AB25" s="70">
        <f>IFERROR(_xll.qlRateHelperRate(Y25,Trigger),"")</f>
        <v>1.51275E-2</v>
      </c>
      <c r="AC25" s="104">
        <f>IF(ISERROR(_xll.qlSwapRateHelperSpread($Y25)),IF(ISERROR(_xll.qlFuturesRateHelperConvexityAdjustment($Y25)),"",_xll.qlFuturesRateHelperConvexityAdjustment($Y25)),_xll.qlSwapRateHelperSpread($Y25))</f>
        <v>0</v>
      </c>
      <c r="AD25" s="5">
        <f>IFERROR(_xll.qlRateHelperEarliestDate(Y25,Trigger),"")</f>
        <v>42250</v>
      </c>
      <c r="AE25" s="5">
        <f>IFERROR(_xll.qlRateHelperPillarDate(Y25,Trigger),"")</f>
        <v>64165</v>
      </c>
      <c r="AF25" s="70">
        <v>1.5353377634929727E-2</v>
      </c>
      <c r="AG25" s="77">
        <v>0.39799885930959761</v>
      </c>
      <c r="AH25" s="80"/>
      <c r="AI25" s="170">
        <v>64165</v>
      </c>
      <c r="AJ25" s="171">
        <v>1.5353201807853E-2</v>
      </c>
      <c r="AK25" s="173">
        <f t="shared" si="3"/>
        <v>1.7582707672637865E-7</v>
      </c>
      <c r="AL25" s="80">
        <v>0.39800274354876097</v>
      </c>
      <c r="AM25" s="162">
        <f t="shared" si="4"/>
        <v>-3.8842391633653328E-6</v>
      </c>
    </row>
    <row r="26" spans="1:39" ht="11.25" customHeight="1" x14ac:dyDescent="0.2">
      <c r="A26" s="59" t="s">
        <v>25</v>
      </c>
      <c r="B26" s="60" t="s">
        <v>54</v>
      </c>
      <c r="C26" s="61" t="s">
        <v>6</v>
      </c>
      <c r="D26" s="61" t="s">
        <v>8</v>
      </c>
      <c r="E26" s="61" t="s">
        <v>7</v>
      </c>
      <c r="F26" s="61" t="s">
        <v>125</v>
      </c>
      <c r="G26" s="61" t="str">
        <f t="shared" si="10"/>
        <v>Euribor1M</v>
      </c>
      <c r="H26" s="59" t="str">
        <f t="shared" si="11"/>
        <v>EURAB1E4Y_LCHQuote</v>
      </c>
      <c r="I26" s="155">
        <v>0</v>
      </c>
      <c r="J26" s="64"/>
      <c r="K26" s="64"/>
      <c r="L26" s="48"/>
      <c r="M26" s="10" t="str">
        <f t="shared" si="8"/>
        <v>Sw</v>
      </c>
      <c r="N26" s="94" t="str">
        <f t="shared" si="9"/>
        <v>--</v>
      </c>
      <c r="O26" s="94" t="str">
        <f t="shared" si="9"/>
        <v>--</v>
      </c>
      <c r="P26" s="146" t="str">
        <f>IFERROR(_xll.qlRateHelperQuoteName(N26,Trigger),"--")</f>
        <v>--</v>
      </c>
      <c r="Q26" s="98" t="str">
        <f>IFERROR(_xll.qlRateHelperQuoteValue($N26,Trigger),"--")</f>
        <v>--</v>
      </c>
      <c r="R26" s="141" t="b">
        <v>0</v>
      </c>
      <c r="S26" s="94">
        <v>10</v>
      </c>
      <c r="T26" s="94">
        <v>1</v>
      </c>
      <c r="U26" s="99" t="str">
        <f>IFERROR(_xll.qlRateHelperEarliestDate(N26,Trigger),"--")</f>
        <v>--</v>
      </c>
      <c r="V26" s="99" t="str">
        <f>IFERROR(_xll.qlRateHelperPillarDate(N26,Trigger),"--")</f>
        <v>--</v>
      </c>
      <c r="X26" s="4" t="str">
        <f t="shared" si="0"/>
        <v/>
      </c>
      <c r="Y26" s="4" t="e">
        <v>#N/A</v>
      </c>
      <c r="Z26" s="4" t="e">
        <v>#N/A</v>
      </c>
      <c r="AA26" s="4" t="str">
        <f>IFERROR(_xll.qlRateHelperQuoteName(Y26,Trigger),"")</f>
        <v/>
      </c>
      <c r="AB26" s="70" t="str">
        <f>IFERROR(_xll.qlRateHelperRate(Y26,Trigger),"")</f>
        <v/>
      </c>
      <c r="AC26" s="104" t="str">
        <f>IF(ISERROR(_xll.qlSwapRateHelperSpread($Y26)),IF(ISERROR(_xll.qlFuturesRateHelperConvexityAdjustment($Y26)),"",_xll.qlFuturesRateHelperConvexityAdjustment($Y26)),_xll.qlSwapRateHelperSpread($Y26))</f>
        <v/>
      </c>
      <c r="AD26" s="5" t="str">
        <f>IFERROR(_xll.qlRateHelperEarliestDate(Y26,Trigger),"")</f>
        <v/>
      </c>
      <c r="AE26" s="5" t="str">
        <f>IFERROR(_xll.qlRateHelperPillarDate(Y26,Trigger),"")</f>
        <v/>
      </c>
      <c r="AF26" s="70" t="e">
        <v>#N/A</v>
      </c>
      <c r="AG26" s="77" t="e">
        <v>#N/A</v>
      </c>
      <c r="AH26" s="80"/>
      <c r="AI26" s="170" t="e">
        <v>#N/A</v>
      </c>
      <c r="AJ26" s="171" t="e">
        <v>#N/A</v>
      </c>
      <c r="AK26" s="173" t="e">
        <f t="shared" si="3"/>
        <v>#N/A</v>
      </c>
      <c r="AL26" s="80" t="e">
        <v>#N/A</v>
      </c>
      <c r="AM26" s="162" t="e">
        <f t="shared" si="4"/>
        <v>#N/A</v>
      </c>
    </row>
    <row r="27" spans="1:39" ht="11.25" customHeight="1" x14ac:dyDescent="0.2">
      <c r="A27" s="59" t="s">
        <v>25</v>
      </c>
      <c r="B27" s="60" t="s">
        <v>55</v>
      </c>
      <c r="C27" s="61" t="s">
        <v>6</v>
      </c>
      <c r="D27" s="61" t="s">
        <v>8</v>
      </c>
      <c r="E27" s="61" t="s">
        <v>7</v>
      </c>
      <c r="F27" s="61" t="s">
        <v>125</v>
      </c>
      <c r="G27" s="61" t="str">
        <f t="shared" si="10"/>
        <v>Euribor1M</v>
      </c>
      <c r="H27" s="59" t="str">
        <f t="shared" si="11"/>
        <v>EURAB1E5Y_LCHQuote</v>
      </c>
      <c r="I27" s="155">
        <v>0</v>
      </c>
      <c r="J27" s="64"/>
      <c r="K27" s="64"/>
      <c r="L27" s="48"/>
      <c r="M27" s="10" t="str">
        <f t="shared" si="8"/>
        <v>Sw</v>
      </c>
      <c r="N27" s="94" t="str">
        <f t="shared" si="9"/>
        <v>--</v>
      </c>
      <c r="O27" s="94" t="str">
        <f t="shared" si="9"/>
        <v>--</v>
      </c>
      <c r="P27" s="146" t="str">
        <f>IFERROR(_xll.qlRateHelperQuoteName(N27,Trigger),"--")</f>
        <v>--</v>
      </c>
      <c r="Q27" s="98" t="str">
        <f>IFERROR(_xll.qlRateHelperQuoteValue($N27,Trigger),"--")</f>
        <v>--</v>
      </c>
      <c r="R27" s="141" t="b">
        <v>0</v>
      </c>
      <c r="S27" s="94">
        <v>10</v>
      </c>
      <c r="T27" s="94">
        <v>1</v>
      </c>
      <c r="U27" s="99" t="str">
        <f>IFERROR(_xll.qlRateHelperEarliestDate(N27,Trigger),"--")</f>
        <v>--</v>
      </c>
      <c r="V27" s="99" t="str">
        <f>IFERROR(_xll.qlRateHelperPillarDate(N27,Trigger),"--")</f>
        <v>--</v>
      </c>
      <c r="X27" s="4" t="str">
        <f t="shared" si="0"/>
        <v/>
      </c>
      <c r="Y27" s="4" t="e">
        <v>#N/A</v>
      </c>
      <c r="Z27" s="4" t="e">
        <v>#N/A</v>
      </c>
      <c r="AA27" s="4" t="str">
        <f>IFERROR(_xll.qlRateHelperQuoteName(Y27,Trigger),"")</f>
        <v/>
      </c>
      <c r="AB27" s="70" t="str">
        <f>IFERROR(_xll.qlRateHelperRate(Y27,Trigger),"")</f>
        <v/>
      </c>
      <c r="AC27" s="104" t="str">
        <f>IF(ISERROR(_xll.qlSwapRateHelperSpread($Y27)),IF(ISERROR(_xll.qlFuturesRateHelperConvexityAdjustment($Y27)),"",_xll.qlFuturesRateHelperConvexityAdjustment($Y27)),_xll.qlSwapRateHelperSpread($Y27))</f>
        <v/>
      </c>
      <c r="AD27" s="5" t="str">
        <f>IFERROR(_xll.qlRateHelperEarliestDate(Y27,Trigger),"")</f>
        <v/>
      </c>
      <c r="AE27" s="5" t="str">
        <f>IFERROR(_xll.qlRateHelperPillarDate(Y27,Trigger),"")</f>
        <v/>
      </c>
      <c r="AF27" s="70" t="e">
        <v>#N/A</v>
      </c>
      <c r="AG27" s="77" t="e">
        <v>#N/A</v>
      </c>
      <c r="AH27" s="80"/>
      <c r="AI27" s="170" t="e">
        <v>#N/A</v>
      </c>
      <c r="AJ27" s="171" t="e">
        <v>#N/A</v>
      </c>
      <c r="AK27" s="173" t="e">
        <f t="shared" si="3"/>
        <v>#N/A</v>
      </c>
      <c r="AL27" s="80" t="e">
        <v>#N/A</v>
      </c>
      <c r="AM27" s="162" t="e">
        <f t="shared" si="4"/>
        <v>#N/A</v>
      </c>
    </row>
    <row r="28" spans="1:39" ht="11.25" customHeight="1" x14ac:dyDescent="0.2">
      <c r="A28" s="59" t="s">
        <v>25</v>
      </c>
      <c r="B28" s="60" t="s">
        <v>56</v>
      </c>
      <c r="C28" s="61" t="s">
        <v>6</v>
      </c>
      <c r="D28" s="61" t="s">
        <v>8</v>
      </c>
      <c r="E28" s="61" t="s">
        <v>7</v>
      </c>
      <c r="F28" s="61" t="s">
        <v>125</v>
      </c>
      <c r="G28" s="61" t="str">
        <f t="shared" si="10"/>
        <v>Euribor1M</v>
      </c>
      <c r="H28" s="59" t="str">
        <f t="shared" si="11"/>
        <v>EURAB1E6Y_LCHQuote</v>
      </c>
      <c r="I28" s="155">
        <v>0</v>
      </c>
      <c r="J28" s="64"/>
      <c r="K28" s="64"/>
      <c r="L28" s="48"/>
      <c r="M28" s="10" t="str">
        <f t="shared" si="8"/>
        <v>Sw</v>
      </c>
      <c r="N28" s="94" t="str">
        <f t="shared" si="9"/>
        <v>--</v>
      </c>
      <c r="O28" s="94" t="str">
        <f t="shared" si="9"/>
        <v>--</v>
      </c>
      <c r="P28" s="146" t="str">
        <f>IFERROR(_xll.qlRateHelperQuoteName(N28,Trigger),"--")</f>
        <v>--</v>
      </c>
      <c r="Q28" s="98" t="str">
        <f>IFERROR(_xll.qlRateHelperQuoteValue($N28,Trigger),"--")</f>
        <v>--</v>
      </c>
      <c r="R28" s="141" t="b">
        <v>0</v>
      </c>
      <c r="S28" s="94">
        <v>10</v>
      </c>
      <c r="T28" s="94">
        <v>1</v>
      </c>
      <c r="U28" s="99" t="str">
        <f>IFERROR(_xll.qlRateHelperEarliestDate(N28,Trigger),"--")</f>
        <v>--</v>
      </c>
      <c r="V28" s="99" t="str">
        <f>IFERROR(_xll.qlRateHelperPillarDate(N28,Trigger),"--")</f>
        <v>--</v>
      </c>
      <c r="X28" s="4" t="str">
        <f t="shared" si="0"/>
        <v/>
      </c>
      <c r="Y28" s="4" t="e">
        <v>#N/A</v>
      </c>
      <c r="Z28" s="4" t="e">
        <v>#N/A</v>
      </c>
      <c r="AA28" s="4" t="str">
        <f>IFERROR(_xll.qlRateHelperQuoteName(Y28,Trigger),"")</f>
        <v/>
      </c>
      <c r="AB28" s="70" t="str">
        <f>IFERROR(_xll.qlRateHelperRate(Y28,Trigger),"")</f>
        <v/>
      </c>
      <c r="AC28" s="104" t="str">
        <f>IF(ISERROR(_xll.qlSwapRateHelperSpread($Y28)),IF(ISERROR(_xll.qlFuturesRateHelperConvexityAdjustment($Y28)),"",_xll.qlFuturesRateHelperConvexityAdjustment($Y28)),_xll.qlSwapRateHelperSpread($Y28))</f>
        <v/>
      </c>
      <c r="AD28" s="5" t="str">
        <f>IFERROR(_xll.qlRateHelperEarliestDate(Y28,Trigger),"")</f>
        <v/>
      </c>
      <c r="AE28" s="5" t="str">
        <f>IFERROR(_xll.qlRateHelperPillarDate(Y28,Trigger),"")</f>
        <v/>
      </c>
      <c r="AF28" s="70" t="e">
        <v>#N/A</v>
      </c>
      <c r="AG28" s="77" t="e">
        <v>#N/A</v>
      </c>
      <c r="AH28" s="80"/>
      <c r="AI28" s="170" t="e">
        <v>#N/A</v>
      </c>
      <c r="AJ28" s="171" t="e">
        <v>#N/A</v>
      </c>
      <c r="AK28" s="173" t="e">
        <f t="shared" si="3"/>
        <v>#N/A</v>
      </c>
      <c r="AL28" s="80" t="e">
        <v>#N/A</v>
      </c>
      <c r="AM28" s="162" t="e">
        <f t="shared" si="4"/>
        <v>#N/A</v>
      </c>
    </row>
    <row r="29" spans="1:39" ht="11.25" customHeight="1" x14ac:dyDescent="0.2">
      <c r="A29" s="59" t="s">
        <v>25</v>
      </c>
      <c r="B29" s="60" t="s">
        <v>57</v>
      </c>
      <c r="C29" s="61" t="s">
        <v>6</v>
      </c>
      <c r="D29" s="61" t="s">
        <v>8</v>
      </c>
      <c r="E29" s="61" t="s">
        <v>7</v>
      </c>
      <c r="F29" s="61" t="s">
        <v>125</v>
      </c>
      <c r="G29" s="61" t="str">
        <f t="shared" si="10"/>
        <v>Euribor1M</v>
      </c>
      <c r="H29" s="59" t="str">
        <f t="shared" si="11"/>
        <v>EURAB1E7Y_LCHQuote</v>
      </c>
      <c r="I29" s="155">
        <v>0</v>
      </c>
      <c r="J29" s="64"/>
      <c r="K29" s="64"/>
      <c r="L29" s="48"/>
      <c r="M29" s="10" t="str">
        <f t="shared" si="8"/>
        <v>Sw</v>
      </c>
      <c r="N29" s="94" t="str">
        <f t="shared" si="9"/>
        <v>--</v>
      </c>
      <c r="O29" s="94" t="str">
        <f t="shared" si="9"/>
        <v>--</v>
      </c>
      <c r="P29" s="146" t="str">
        <f>IFERROR(_xll.qlRateHelperQuoteName(N29,Trigger),"--")</f>
        <v>--</v>
      </c>
      <c r="Q29" s="98" t="str">
        <f>IFERROR(_xll.qlRateHelperQuoteValue($N29,Trigger),"--")</f>
        <v>--</v>
      </c>
      <c r="R29" s="141" t="b">
        <v>0</v>
      </c>
      <c r="S29" s="94">
        <v>10</v>
      </c>
      <c r="T29" s="94">
        <v>1</v>
      </c>
      <c r="U29" s="99" t="str">
        <f>IFERROR(_xll.qlRateHelperEarliestDate(N29,Trigger),"--")</f>
        <v>--</v>
      </c>
      <c r="V29" s="99" t="str">
        <f>IFERROR(_xll.qlRateHelperPillarDate(N29,Trigger),"--")</f>
        <v>--</v>
      </c>
      <c r="X29" s="4" t="str">
        <f t="shared" si="0"/>
        <v/>
      </c>
      <c r="Y29" s="4" t="e">
        <v>#N/A</v>
      </c>
      <c r="Z29" s="4" t="e">
        <v>#N/A</v>
      </c>
      <c r="AA29" s="4" t="str">
        <f>IFERROR(_xll.qlRateHelperQuoteName(Y29,Trigger),"")</f>
        <v/>
      </c>
      <c r="AB29" s="70" t="str">
        <f>IFERROR(_xll.qlRateHelperRate(Y29,Trigger),"")</f>
        <v/>
      </c>
      <c r="AC29" s="104" t="str">
        <f>IF(ISERROR(_xll.qlSwapRateHelperSpread($Y29)),IF(ISERROR(_xll.qlFuturesRateHelperConvexityAdjustment($Y29)),"",_xll.qlFuturesRateHelperConvexityAdjustment($Y29)),_xll.qlSwapRateHelperSpread($Y29))</f>
        <v/>
      </c>
      <c r="AD29" s="5" t="str">
        <f>IFERROR(_xll.qlRateHelperEarliestDate(Y29,Trigger),"")</f>
        <v/>
      </c>
      <c r="AE29" s="5" t="str">
        <f>IFERROR(_xll.qlRateHelperPillarDate(Y29,Trigger),"")</f>
        <v/>
      </c>
      <c r="AF29" s="70" t="e">
        <v>#N/A</v>
      </c>
      <c r="AG29" s="77" t="e">
        <v>#N/A</v>
      </c>
      <c r="AH29" s="80"/>
      <c r="AI29" s="170" t="e">
        <v>#N/A</v>
      </c>
      <c r="AJ29" s="171" t="e">
        <v>#N/A</v>
      </c>
      <c r="AK29" s="173" t="e">
        <f t="shared" si="3"/>
        <v>#N/A</v>
      </c>
      <c r="AL29" s="80" t="e">
        <v>#N/A</v>
      </c>
      <c r="AM29" s="162" t="e">
        <f t="shared" si="4"/>
        <v>#N/A</v>
      </c>
    </row>
    <row r="30" spans="1:39" ht="11.25" customHeight="1" x14ac:dyDescent="0.2">
      <c r="A30" s="59" t="s">
        <v>25</v>
      </c>
      <c r="B30" s="60" t="s">
        <v>58</v>
      </c>
      <c r="C30" s="61" t="s">
        <v>6</v>
      </c>
      <c r="D30" s="61" t="s">
        <v>8</v>
      </c>
      <c r="E30" s="61" t="s">
        <v>7</v>
      </c>
      <c r="F30" s="61" t="s">
        <v>125</v>
      </c>
      <c r="G30" s="61" t="str">
        <f t="shared" si="10"/>
        <v>Euribor1M</v>
      </c>
      <c r="H30" s="59" t="str">
        <f t="shared" si="11"/>
        <v>EURAB1E8Y_LCHQuote</v>
      </c>
      <c r="I30" s="155">
        <v>0</v>
      </c>
      <c r="J30" s="64"/>
      <c r="K30" s="64"/>
      <c r="L30" s="48"/>
      <c r="M30" s="10" t="str">
        <f t="shared" si="8"/>
        <v>Sw</v>
      </c>
      <c r="N30" s="94" t="str">
        <f t="shared" si="9"/>
        <v>--</v>
      </c>
      <c r="O30" s="94" t="str">
        <f t="shared" si="9"/>
        <v>--</v>
      </c>
      <c r="P30" s="146" t="str">
        <f>IFERROR(_xll.qlRateHelperQuoteName(N30,Trigger),"--")</f>
        <v>--</v>
      </c>
      <c r="Q30" s="98" t="str">
        <f>IFERROR(_xll.qlRateHelperQuoteValue($N30,Trigger),"--")</f>
        <v>--</v>
      </c>
      <c r="R30" s="141" t="b">
        <v>0</v>
      </c>
      <c r="S30" s="94">
        <v>10</v>
      </c>
      <c r="T30" s="94">
        <v>1</v>
      </c>
      <c r="U30" s="99" t="str">
        <f>IFERROR(_xll.qlRateHelperEarliestDate(N30,Trigger),"--")</f>
        <v>--</v>
      </c>
      <c r="V30" s="99" t="str">
        <f>IFERROR(_xll.qlRateHelperPillarDate(N30,Trigger),"--")</f>
        <v>--</v>
      </c>
      <c r="X30" s="4" t="str">
        <f t="shared" si="0"/>
        <v/>
      </c>
      <c r="Y30" s="4" t="e">
        <v>#N/A</v>
      </c>
      <c r="Z30" s="4" t="e">
        <v>#N/A</v>
      </c>
      <c r="AA30" s="4" t="str">
        <f>IFERROR(_xll.qlRateHelperQuoteName(Y30,Trigger),"")</f>
        <v/>
      </c>
      <c r="AB30" s="70" t="str">
        <f>IFERROR(_xll.qlRateHelperRate(Y30,Trigger),"")</f>
        <v/>
      </c>
      <c r="AC30" s="104" t="str">
        <f>IF(ISERROR(_xll.qlSwapRateHelperSpread($Y30)),IF(ISERROR(_xll.qlFuturesRateHelperConvexityAdjustment($Y30)),"",_xll.qlFuturesRateHelperConvexityAdjustment($Y30)),_xll.qlSwapRateHelperSpread($Y30))</f>
        <v/>
      </c>
      <c r="AD30" s="5" t="str">
        <f>IFERROR(_xll.qlRateHelperEarliestDate(Y30,Trigger),"")</f>
        <v/>
      </c>
      <c r="AE30" s="5" t="str">
        <f>IFERROR(_xll.qlRateHelperPillarDate(Y30,Trigger),"")</f>
        <v/>
      </c>
      <c r="AF30" s="70" t="e">
        <v>#N/A</v>
      </c>
      <c r="AG30" s="77" t="e">
        <v>#N/A</v>
      </c>
      <c r="AH30" s="80"/>
      <c r="AI30" s="170" t="e">
        <v>#N/A</v>
      </c>
      <c r="AJ30" s="171" t="e">
        <v>#N/A</v>
      </c>
      <c r="AK30" s="173" t="e">
        <f t="shared" si="3"/>
        <v>#N/A</v>
      </c>
      <c r="AL30" s="80" t="e">
        <v>#N/A</v>
      </c>
      <c r="AM30" s="162" t="e">
        <f t="shared" si="4"/>
        <v>#N/A</v>
      </c>
    </row>
    <row r="31" spans="1:39" ht="11.25" customHeight="1" x14ac:dyDescent="0.2">
      <c r="A31" s="59" t="s">
        <v>25</v>
      </c>
      <c r="B31" s="60" t="s">
        <v>59</v>
      </c>
      <c r="C31" s="61" t="s">
        <v>6</v>
      </c>
      <c r="D31" s="61" t="s">
        <v>8</v>
      </c>
      <c r="E31" s="61" t="s">
        <v>7</v>
      </c>
      <c r="F31" s="61" t="s">
        <v>125</v>
      </c>
      <c r="G31" s="61" t="str">
        <f t="shared" si="10"/>
        <v>Euribor1M</v>
      </c>
      <c r="H31" s="59" t="str">
        <f t="shared" si="11"/>
        <v>EURAB1E9Y_LCHQuote</v>
      </c>
      <c r="I31" s="155">
        <v>0</v>
      </c>
      <c r="J31" s="64"/>
      <c r="K31" s="64"/>
      <c r="L31" s="48"/>
      <c r="M31" s="10" t="str">
        <f t="shared" si="8"/>
        <v>Sw</v>
      </c>
      <c r="N31" s="94" t="str">
        <f t="shared" si="9"/>
        <v>--</v>
      </c>
      <c r="O31" s="94" t="str">
        <f t="shared" si="9"/>
        <v>--</v>
      </c>
      <c r="P31" s="146" t="str">
        <f>IFERROR(_xll.qlRateHelperQuoteName(N31,Trigger),"--")</f>
        <v>--</v>
      </c>
      <c r="Q31" s="98" t="str">
        <f>IFERROR(_xll.qlRateHelperQuoteValue($N31,Trigger),"--")</f>
        <v>--</v>
      </c>
      <c r="R31" s="141" t="b">
        <v>0</v>
      </c>
      <c r="S31" s="94">
        <v>10</v>
      </c>
      <c r="T31" s="94">
        <v>1</v>
      </c>
      <c r="U31" s="99" t="str">
        <f>IFERROR(_xll.qlRateHelperEarliestDate(N31,Trigger),"--")</f>
        <v>--</v>
      </c>
      <c r="V31" s="99" t="str">
        <f>IFERROR(_xll.qlRateHelperPillarDate(N31,Trigger),"--")</f>
        <v>--</v>
      </c>
      <c r="X31" s="4" t="str">
        <f t="shared" si="0"/>
        <v/>
      </c>
      <c r="Y31" s="4" t="e">
        <v>#N/A</v>
      </c>
      <c r="Z31" s="4" t="e">
        <v>#N/A</v>
      </c>
      <c r="AA31" s="4" t="str">
        <f>IFERROR(_xll.qlRateHelperQuoteName(Y31,Trigger),"")</f>
        <v/>
      </c>
      <c r="AB31" s="70" t="str">
        <f>IFERROR(_xll.qlRateHelperRate(Y31,Trigger),"")</f>
        <v/>
      </c>
      <c r="AC31" s="104" t="str">
        <f>IF(ISERROR(_xll.qlSwapRateHelperSpread($Y31)),IF(ISERROR(_xll.qlFuturesRateHelperConvexityAdjustment($Y31)),"",_xll.qlFuturesRateHelperConvexityAdjustment($Y31)),_xll.qlSwapRateHelperSpread($Y31))</f>
        <v/>
      </c>
      <c r="AD31" s="5" t="str">
        <f>IFERROR(_xll.qlRateHelperEarliestDate(Y31,Trigger),"")</f>
        <v/>
      </c>
      <c r="AE31" s="5" t="str">
        <f>IFERROR(_xll.qlRateHelperPillarDate(Y31,Trigger),"")</f>
        <v/>
      </c>
      <c r="AF31" s="70" t="e">
        <v>#N/A</v>
      </c>
      <c r="AG31" s="77" t="e">
        <v>#N/A</v>
      </c>
      <c r="AH31" s="80"/>
      <c r="AI31" s="170" t="e">
        <v>#N/A</v>
      </c>
      <c r="AJ31" s="171" t="e">
        <v>#N/A</v>
      </c>
      <c r="AK31" s="173" t="e">
        <f t="shared" si="3"/>
        <v>#N/A</v>
      </c>
      <c r="AL31" s="80" t="e">
        <v>#N/A</v>
      </c>
      <c r="AM31" s="162" t="e">
        <f t="shared" si="4"/>
        <v>#N/A</v>
      </c>
    </row>
    <row r="32" spans="1:39" ht="11.25" customHeight="1" x14ac:dyDescent="0.2">
      <c r="A32" s="59" t="s">
        <v>25</v>
      </c>
      <c r="B32" s="60" t="s">
        <v>60</v>
      </c>
      <c r="C32" s="61" t="s">
        <v>6</v>
      </c>
      <c r="D32" s="61" t="s">
        <v>8</v>
      </c>
      <c r="E32" s="61" t="s">
        <v>7</v>
      </c>
      <c r="F32" s="61" t="s">
        <v>125</v>
      </c>
      <c r="G32" s="61" t="str">
        <f t="shared" si="10"/>
        <v>Euribor1M</v>
      </c>
      <c r="H32" s="59" t="str">
        <f t="shared" si="11"/>
        <v>EURAB1E10Y_LCHQuote</v>
      </c>
      <c r="I32" s="155">
        <v>0</v>
      </c>
      <c r="J32" s="64"/>
      <c r="K32" s="64"/>
      <c r="L32" s="48"/>
      <c r="M32" s="10" t="str">
        <f t="shared" si="8"/>
        <v>Sw</v>
      </c>
      <c r="N32" s="94" t="str">
        <f t="shared" si="9"/>
        <v>--</v>
      </c>
      <c r="O32" s="94" t="str">
        <f t="shared" si="9"/>
        <v>--</v>
      </c>
      <c r="P32" s="146" t="str">
        <f>IFERROR(_xll.qlRateHelperQuoteName(N32,Trigger),"--")</f>
        <v>--</v>
      </c>
      <c r="Q32" s="98" t="str">
        <f>IFERROR(_xll.qlRateHelperQuoteValue($N32,Trigger),"--")</f>
        <v>--</v>
      </c>
      <c r="R32" s="141" t="b">
        <v>0</v>
      </c>
      <c r="S32" s="94">
        <v>10</v>
      </c>
      <c r="T32" s="94">
        <v>1</v>
      </c>
      <c r="U32" s="99" t="str">
        <f>IFERROR(_xll.qlRateHelperEarliestDate(N32,Trigger),"--")</f>
        <v>--</v>
      </c>
      <c r="V32" s="99" t="str">
        <f>IFERROR(_xll.qlRateHelperPillarDate(N32,Trigger),"--")</f>
        <v>--</v>
      </c>
      <c r="X32" s="4" t="str">
        <f t="shared" si="0"/>
        <v/>
      </c>
      <c r="Y32" s="4" t="e">
        <v>#N/A</v>
      </c>
      <c r="Z32" s="4" t="e">
        <v>#N/A</v>
      </c>
      <c r="AA32" s="4" t="str">
        <f>IFERROR(_xll.qlRateHelperQuoteName(Y32,Trigger),"")</f>
        <v/>
      </c>
      <c r="AB32" s="70" t="str">
        <f>IFERROR(_xll.qlRateHelperRate(Y32,Trigger),"")</f>
        <v/>
      </c>
      <c r="AC32" s="104" t="str">
        <f>IF(ISERROR(_xll.qlSwapRateHelperSpread($Y32)),IF(ISERROR(_xll.qlFuturesRateHelperConvexityAdjustment($Y32)),"",_xll.qlFuturesRateHelperConvexityAdjustment($Y32)),_xll.qlSwapRateHelperSpread($Y32))</f>
        <v/>
      </c>
      <c r="AD32" s="5" t="str">
        <f>IFERROR(_xll.qlRateHelperEarliestDate(Y32,Trigger),"")</f>
        <v/>
      </c>
      <c r="AE32" s="5" t="str">
        <f>IFERROR(_xll.qlRateHelperPillarDate(Y32,Trigger),"")</f>
        <v/>
      </c>
      <c r="AF32" s="70" t="e">
        <v>#N/A</v>
      </c>
      <c r="AG32" s="77" t="e">
        <v>#N/A</v>
      </c>
      <c r="AH32" s="80"/>
      <c r="AI32" s="170" t="e">
        <v>#N/A</v>
      </c>
      <c r="AJ32" s="171" t="e">
        <v>#N/A</v>
      </c>
      <c r="AK32" s="173" t="e">
        <f t="shared" si="3"/>
        <v>#N/A</v>
      </c>
      <c r="AL32" s="80" t="e">
        <v>#N/A</v>
      </c>
      <c r="AM32" s="162" t="e">
        <f t="shared" si="4"/>
        <v>#N/A</v>
      </c>
    </row>
    <row r="33" spans="1:39" ht="11.25" customHeight="1" x14ac:dyDescent="0.2">
      <c r="A33" s="59" t="s">
        <v>25</v>
      </c>
      <c r="B33" s="60" t="s">
        <v>98</v>
      </c>
      <c r="C33" s="61" t="s">
        <v>6</v>
      </c>
      <c r="D33" s="61" t="s">
        <v>8</v>
      </c>
      <c r="E33" s="61" t="s">
        <v>7</v>
      </c>
      <c r="F33" s="61" t="s">
        <v>125</v>
      </c>
      <c r="G33" s="61" t="str">
        <f t="shared" si="10"/>
        <v>Euribor1M</v>
      </c>
      <c r="H33" s="59" t="str">
        <f t="shared" si="11"/>
        <v>EURAB1E11Y_LCHQuote</v>
      </c>
      <c r="I33" s="155">
        <v>0</v>
      </c>
      <c r="J33" s="64"/>
      <c r="K33" s="64"/>
      <c r="L33" s="48"/>
      <c r="M33" s="10" t="str">
        <f t="shared" si="8"/>
        <v>Sw</v>
      </c>
      <c r="N33" s="94" t="str">
        <f t="shared" si="9"/>
        <v>--</v>
      </c>
      <c r="O33" s="94" t="str">
        <f t="shared" si="9"/>
        <v>--</v>
      </c>
      <c r="P33" s="146" t="str">
        <f>IFERROR(_xll.qlRateHelperQuoteName(N33,Trigger),"--")</f>
        <v>--</v>
      </c>
      <c r="Q33" s="98" t="str">
        <f>IFERROR(_xll.qlRateHelperQuoteValue($N33,Trigger),"--")</f>
        <v>--</v>
      </c>
      <c r="R33" s="141" t="b">
        <v>0</v>
      </c>
      <c r="S33" s="94">
        <v>10</v>
      </c>
      <c r="T33" s="94">
        <v>1</v>
      </c>
      <c r="U33" s="99" t="str">
        <f>IFERROR(_xll.qlRateHelperEarliestDate(N33,Trigger),"--")</f>
        <v>--</v>
      </c>
      <c r="V33" s="99" t="str">
        <f>IFERROR(_xll.qlRateHelperPillarDate(N33,Trigger),"--")</f>
        <v>--</v>
      </c>
      <c r="X33" s="4" t="str">
        <f t="shared" si="0"/>
        <v/>
      </c>
      <c r="Y33" s="4" t="e">
        <v>#N/A</v>
      </c>
      <c r="Z33" s="4" t="e">
        <v>#N/A</v>
      </c>
      <c r="AA33" s="4" t="str">
        <f>IFERROR(_xll.qlRateHelperQuoteName(Y33,Trigger),"")</f>
        <v/>
      </c>
      <c r="AB33" s="70" t="str">
        <f>IFERROR(_xll.qlRateHelperRate(Y33,Trigger),"")</f>
        <v/>
      </c>
      <c r="AC33" s="104" t="str">
        <f>IF(ISERROR(_xll.qlSwapRateHelperSpread($Y33)),IF(ISERROR(_xll.qlFuturesRateHelperConvexityAdjustment($Y33)),"",_xll.qlFuturesRateHelperConvexityAdjustment($Y33)),_xll.qlSwapRateHelperSpread($Y33))</f>
        <v/>
      </c>
      <c r="AD33" s="5" t="str">
        <f>IFERROR(_xll.qlRateHelperEarliestDate(Y33,Trigger),"")</f>
        <v/>
      </c>
      <c r="AE33" s="5" t="str">
        <f>IFERROR(_xll.qlRateHelperPillarDate(Y33,Trigger),"")</f>
        <v/>
      </c>
      <c r="AF33" s="70" t="e">
        <v>#N/A</v>
      </c>
      <c r="AG33" s="77" t="e">
        <v>#N/A</v>
      </c>
      <c r="AH33" s="80"/>
      <c r="AI33" s="170" t="e">
        <v>#N/A</v>
      </c>
      <c r="AJ33" s="171" t="e">
        <v>#N/A</v>
      </c>
      <c r="AK33" s="173" t="e">
        <f t="shared" si="3"/>
        <v>#N/A</v>
      </c>
      <c r="AL33" s="80" t="e">
        <v>#N/A</v>
      </c>
      <c r="AM33" s="162" t="e">
        <f t="shared" si="4"/>
        <v>#N/A</v>
      </c>
    </row>
    <row r="34" spans="1:39" ht="11.25" customHeight="1" x14ac:dyDescent="0.2">
      <c r="A34" s="59" t="s">
        <v>25</v>
      </c>
      <c r="B34" s="60" t="s">
        <v>61</v>
      </c>
      <c r="C34" s="61" t="s">
        <v>6</v>
      </c>
      <c r="D34" s="61" t="s">
        <v>8</v>
      </c>
      <c r="E34" s="61" t="s">
        <v>7</v>
      </c>
      <c r="F34" s="61" t="s">
        <v>125</v>
      </c>
      <c r="G34" s="61" t="str">
        <f t="shared" si="10"/>
        <v>Euribor1M</v>
      </c>
      <c r="H34" s="59" t="str">
        <f t="shared" si="11"/>
        <v>EURAB1E12Y_LCHQuote</v>
      </c>
      <c r="I34" s="155">
        <v>0</v>
      </c>
      <c r="J34" s="64"/>
      <c r="K34" s="64"/>
      <c r="L34" s="48"/>
      <c r="M34" s="10" t="str">
        <f t="shared" si="8"/>
        <v>Sw</v>
      </c>
      <c r="N34" s="94" t="str">
        <f t="shared" si="9"/>
        <v>--</v>
      </c>
      <c r="O34" s="94" t="str">
        <f t="shared" si="9"/>
        <v>--</v>
      </c>
      <c r="P34" s="146" t="str">
        <f>IFERROR(_xll.qlRateHelperQuoteName(N34,Trigger),"--")</f>
        <v>--</v>
      </c>
      <c r="Q34" s="98" t="str">
        <f>IFERROR(_xll.qlRateHelperQuoteValue($N34,Trigger),"--")</f>
        <v>--</v>
      </c>
      <c r="R34" s="141" t="b">
        <v>0</v>
      </c>
      <c r="S34" s="94">
        <v>10</v>
      </c>
      <c r="T34" s="94">
        <v>1</v>
      </c>
      <c r="U34" s="99" t="str">
        <f>IFERROR(_xll.qlRateHelperEarliestDate(N34,Trigger),"--")</f>
        <v>--</v>
      </c>
      <c r="V34" s="99" t="str">
        <f>IFERROR(_xll.qlRateHelperPillarDate(N34,Trigger),"--")</f>
        <v>--</v>
      </c>
      <c r="X34" s="4" t="str">
        <f t="shared" si="0"/>
        <v/>
      </c>
      <c r="Y34" s="4" t="e">
        <v>#N/A</v>
      </c>
      <c r="Z34" s="4" t="e">
        <v>#N/A</v>
      </c>
      <c r="AA34" s="4" t="str">
        <f>IFERROR(_xll.qlRateHelperQuoteName(Y34,Trigger),"")</f>
        <v/>
      </c>
      <c r="AB34" s="70" t="str">
        <f>IFERROR(_xll.qlRateHelperRate(Y34,Trigger),"")</f>
        <v/>
      </c>
      <c r="AC34" s="104" t="str">
        <f>IF(ISERROR(_xll.qlSwapRateHelperSpread($Y34)),IF(ISERROR(_xll.qlFuturesRateHelperConvexityAdjustment($Y34)),"",_xll.qlFuturesRateHelperConvexityAdjustment($Y34)),_xll.qlSwapRateHelperSpread($Y34))</f>
        <v/>
      </c>
      <c r="AD34" s="5" t="str">
        <f>IFERROR(_xll.qlRateHelperEarliestDate(Y34,Trigger),"")</f>
        <v/>
      </c>
      <c r="AE34" s="5" t="str">
        <f>IFERROR(_xll.qlRateHelperPillarDate(Y34,Trigger),"")</f>
        <v/>
      </c>
      <c r="AF34" s="70" t="e">
        <v>#N/A</v>
      </c>
      <c r="AG34" s="77" t="e">
        <v>#N/A</v>
      </c>
      <c r="AH34" s="80"/>
      <c r="AI34" s="170" t="e">
        <v>#N/A</v>
      </c>
      <c r="AJ34" s="171" t="e">
        <v>#N/A</v>
      </c>
      <c r="AK34" s="173" t="e">
        <f t="shared" si="3"/>
        <v>#N/A</v>
      </c>
      <c r="AL34" s="80" t="e">
        <v>#N/A</v>
      </c>
      <c r="AM34" s="162" t="e">
        <f t="shared" si="4"/>
        <v>#N/A</v>
      </c>
    </row>
    <row r="35" spans="1:39" ht="11.25" customHeight="1" x14ac:dyDescent="0.2">
      <c r="A35" s="59" t="s">
        <v>25</v>
      </c>
      <c r="B35" s="60" t="s">
        <v>99</v>
      </c>
      <c r="C35" s="61" t="s">
        <v>6</v>
      </c>
      <c r="D35" s="61" t="s">
        <v>8</v>
      </c>
      <c r="E35" s="61" t="s">
        <v>7</v>
      </c>
      <c r="F35" s="61" t="s">
        <v>125</v>
      </c>
      <c r="G35" s="61" t="str">
        <f t="shared" si="10"/>
        <v>Euribor1M</v>
      </c>
      <c r="H35" s="59" t="str">
        <f t="shared" si="11"/>
        <v>EURAB1E13Y_LCHQuote</v>
      </c>
      <c r="I35" s="155">
        <v>0</v>
      </c>
      <c r="J35" s="64"/>
      <c r="K35" s="64"/>
      <c r="L35" s="48"/>
      <c r="M35" s="10" t="str">
        <f t="shared" si="8"/>
        <v>Sw</v>
      </c>
      <c r="N35" s="94" t="str">
        <f t="shared" si="9"/>
        <v>--</v>
      </c>
      <c r="O35" s="94" t="str">
        <f t="shared" si="9"/>
        <v>--</v>
      </c>
      <c r="P35" s="146" t="str">
        <f>IFERROR(_xll.qlRateHelperQuoteName(N35,Trigger),"--")</f>
        <v>--</v>
      </c>
      <c r="Q35" s="98" t="str">
        <f>IFERROR(_xll.qlRateHelperQuoteValue($N35,Trigger),"--")</f>
        <v>--</v>
      </c>
      <c r="R35" s="141" t="b">
        <v>0</v>
      </c>
      <c r="S35" s="94">
        <v>10</v>
      </c>
      <c r="T35" s="94">
        <v>1</v>
      </c>
      <c r="U35" s="99" t="str">
        <f>IFERROR(_xll.qlRateHelperEarliestDate(N35,Trigger),"--")</f>
        <v>--</v>
      </c>
      <c r="V35" s="99" t="str">
        <f>IFERROR(_xll.qlRateHelperPillarDate(N35,Trigger),"--")</f>
        <v>--</v>
      </c>
      <c r="X35" s="4" t="str">
        <f t="shared" ref="X35:X66" si="12">IFERROR(INDEX($M$3:$M$89,MATCH(AA35,$P$3:$P$89,0),1),"")</f>
        <v/>
      </c>
      <c r="Y35" s="4" t="e">
        <v>#N/A</v>
      </c>
      <c r="Z35" s="4" t="e">
        <v>#N/A</v>
      </c>
      <c r="AA35" s="4" t="str">
        <f>IFERROR(_xll.qlRateHelperQuoteName(Y35,Trigger),"")</f>
        <v/>
      </c>
      <c r="AB35" s="70" t="str">
        <f>IFERROR(_xll.qlRateHelperRate(Y35,Trigger),"")</f>
        <v/>
      </c>
      <c r="AC35" s="104" t="str">
        <f>IF(ISERROR(_xll.qlSwapRateHelperSpread($Y35)),IF(ISERROR(_xll.qlFuturesRateHelperConvexityAdjustment($Y35)),"",_xll.qlFuturesRateHelperConvexityAdjustment($Y35)),_xll.qlSwapRateHelperSpread($Y35))</f>
        <v/>
      </c>
      <c r="AD35" s="5" t="str">
        <f>IFERROR(_xll.qlRateHelperEarliestDate(Y35,Trigger),"")</f>
        <v/>
      </c>
      <c r="AE35" s="5" t="str">
        <f>IFERROR(_xll.qlRateHelperPillarDate(Y35,Trigger),"")</f>
        <v/>
      </c>
      <c r="AF35" s="70" t="e">
        <v>#N/A</v>
      </c>
      <c r="AG35" s="77" t="e">
        <v>#N/A</v>
      </c>
      <c r="AI35" s="170" t="e">
        <v>#N/A</v>
      </c>
      <c r="AJ35" s="171" t="e">
        <v>#N/A</v>
      </c>
      <c r="AK35" s="173" t="e">
        <f t="shared" si="3"/>
        <v>#N/A</v>
      </c>
      <c r="AL35" s="80" t="e">
        <v>#N/A</v>
      </c>
      <c r="AM35" s="162" t="e">
        <f t="shared" si="4"/>
        <v>#N/A</v>
      </c>
    </row>
    <row r="36" spans="1:39" ht="11.25" customHeight="1" x14ac:dyDescent="0.2">
      <c r="A36" s="59" t="s">
        <v>25</v>
      </c>
      <c r="B36" s="60" t="s">
        <v>100</v>
      </c>
      <c r="C36" s="61" t="s">
        <v>6</v>
      </c>
      <c r="D36" s="61" t="s">
        <v>8</v>
      </c>
      <c r="E36" s="61" t="s">
        <v>7</v>
      </c>
      <c r="F36" s="61" t="s">
        <v>125</v>
      </c>
      <c r="G36" s="61" t="str">
        <f t="shared" si="10"/>
        <v>Euribor1M</v>
      </c>
      <c r="H36" s="59" t="str">
        <f t="shared" si="11"/>
        <v>EURAB1E14Y_LCHQuote</v>
      </c>
      <c r="I36" s="155">
        <v>0</v>
      </c>
      <c r="J36" s="64"/>
      <c r="K36" s="64"/>
      <c r="L36" s="48"/>
      <c r="M36" s="10" t="str">
        <f t="shared" si="8"/>
        <v>Sw</v>
      </c>
      <c r="N36" s="94" t="str">
        <f t="shared" si="9"/>
        <v>--</v>
      </c>
      <c r="O36" s="94" t="str">
        <f t="shared" si="9"/>
        <v>--</v>
      </c>
      <c r="P36" s="146" t="str">
        <f>IFERROR(_xll.qlRateHelperQuoteName(N36,Trigger),"--")</f>
        <v>--</v>
      </c>
      <c r="Q36" s="98" t="str">
        <f>IFERROR(_xll.qlRateHelperQuoteValue($N36,Trigger),"--")</f>
        <v>--</v>
      </c>
      <c r="R36" s="141" t="b">
        <v>0</v>
      </c>
      <c r="S36" s="94">
        <v>10</v>
      </c>
      <c r="T36" s="94">
        <v>1</v>
      </c>
      <c r="U36" s="99" t="str">
        <f>IFERROR(_xll.qlRateHelperEarliestDate(N36,Trigger),"--")</f>
        <v>--</v>
      </c>
      <c r="V36" s="99" t="str">
        <f>IFERROR(_xll.qlRateHelperPillarDate(N36,Trigger),"--")</f>
        <v>--</v>
      </c>
      <c r="X36" s="4" t="str">
        <f t="shared" si="12"/>
        <v/>
      </c>
      <c r="Y36" s="4" t="e">
        <v>#N/A</v>
      </c>
      <c r="Z36" s="4" t="e">
        <v>#N/A</v>
      </c>
      <c r="AA36" s="4" t="str">
        <f>IFERROR(_xll.qlRateHelperQuoteName(Y36,Trigger),"")</f>
        <v/>
      </c>
      <c r="AB36" s="70" t="str">
        <f>IFERROR(_xll.qlRateHelperRate(Y36,Trigger),"")</f>
        <v/>
      </c>
      <c r="AC36" s="104" t="str">
        <f>IF(ISERROR(_xll.qlSwapRateHelperSpread($Y36)),IF(ISERROR(_xll.qlFuturesRateHelperConvexityAdjustment($Y36)),"",_xll.qlFuturesRateHelperConvexityAdjustment($Y36)),_xll.qlSwapRateHelperSpread($Y36))</f>
        <v/>
      </c>
      <c r="AD36" s="5" t="str">
        <f>IFERROR(_xll.qlRateHelperEarliestDate(Y36,Trigger),"")</f>
        <v/>
      </c>
      <c r="AE36" s="5" t="str">
        <f>IFERROR(_xll.qlRateHelperPillarDate(Y36,Trigger),"")</f>
        <v/>
      </c>
      <c r="AF36" s="70" t="e">
        <v>#N/A</v>
      </c>
      <c r="AG36" s="77" t="e">
        <v>#N/A</v>
      </c>
      <c r="AI36" s="170" t="e">
        <v>#N/A</v>
      </c>
      <c r="AJ36" s="171" t="e">
        <v>#N/A</v>
      </c>
      <c r="AK36" s="173" t="e">
        <f t="shared" si="3"/>
        <v>#N/A</v>
      </c>
      <c r="AL36" s="80" t="e">
        <v>#N/A</v>
      </c>
      <c r="AM36" s="162" t="e">
        <f t="shared" si="4"/>
        <v>#N/A</v>
      </c>
    </row>
    <row r="37" spans="1:39" ht="11.25" customHeight="1" x14ac:dyDescent="0.2">
      <c r="A37" s="59" t="s">
        <v>25</v>
      </c>
      <c r="B37" s="60" t="s">
        <v>62</v>
      </c>
      <c r="C37" s="61" t="s">
        <v>6</v>
      </c>
      <c r="D37" s="61" t="s">
        <v>8</v>
      </c>
      <c r="E37" s="61" t="s">
        <v>7</v>
      </c>
      <c r="F37" s="61" t="s">
        <v>125</v>
      </c>
      <c r="G37" s="61" t="str">
        <f t="shared" si="10"/>
        <v>Euribor1M</v>
      </c>
      <c r="H37" s="59" t="str">
        <f t="shared" si="11"/>
        <v>EURAB1E15Y_LCHQuote</v>
      </c>
      <c r="I37" s="155">
        <v>0</v>
      </c>
      <c r="J37" s="64"/>
      <c r="K37" s="64"/>
      <c r="L37" s="48"/>
      <c r="M37" s="10" t="str">
        <f t="shared" si="8"/>
        <v>Sw</v>
      </c>
      <c r="N37" s="94" t="str">
        <f t="shared" si="9"/>
        <v>--</v>
      </c>
      <c r="O37" s="94" t="str">
        <f t="shared" si="9"/>
        <v>--</v>
      </c>
      <c r="P37" s="146" t="str">
        <f>IFERROR(_xll.qlRateHelperQuoteName(N37,Trigger),"--")</f>
        <v>--</v>
      </c>
      <c r="Q37" s="98" t="str">
        <f>IFERROR(_xll.qlRateHelperQuoteValue($N37,Trigger),"--")</f>
        <v>--</v>
      </c>
      <c r="R37" s="141" t="b">
        <v>0</v>
      </c>
      <c r="S37" s="94">
        <v>10</v>
      </c>
      <c r="T37" s="94">
        <v>1</v>
      </c>
      <c r="U37" s="99" t="str">
        <f>IFERROR(_xll.qlRateHelperEarliestDate(N37,Trigger),"--")</f>
        <v>--</v>
      </c>
      <c r="V37" s="99" t="str">
        <f>IFERROR(_xll.qlRateHelperPillarDate(N37,Trigger),"--")</f>
        <v>--</v>
      </c>
      <c r="X37" s="4" t="str">
        <f t="shared" si="12"/>
        <v/>
      </c>
      <c r="Y37" s="4" t="e">
        <v>#N/A</v>
      </c>
      <c r="Z37" s="4" t="e">
        <v>#N/A</v>
      </c>
      <c r="AA37" s="4" t="str">
        <f>IFERROR(_xll.qlRateHelperQuoteName(Y37,Trigger),"")</f>
        <v/>
      </c>
      <c r="AB37" s="70" t="str">
        <f>IFERROR(_xll.qlRateHelperRate(Y37,Trigger),"")</f>
        <v/>
      </c>
      <c r="AC37" s="104" t="str">
        <f>IF(ISERROR(_xll.qlSwapRateHelperSpread($Y37)),IF(ISERROR(_xll.qlFuturesRateHelperConvexityAdjustment($Y37)),"",_xll.qlFuturesRateHelperConvexityAdjustment($Y37)),_xll.qlSwapRateHelperSpread($Y37))</f>
        <v/>
      </c>
      <c r="AD37" s="5" t="str">
        <f>IFERROR(_xll.qlRateHelperEarliestDate(Y37,Trigger),"")</f>
        <v/>
      </c>
      <c r="AE37" s="5" t="str">
        <f>IFERROR(_xll.qlRateHelperPillarDate(Y37,Trigger),"")</f>
        <v/>
      </c>
      <c r="AF37" s="70" t="e">
        <v>#N/A</v>
      </c>
      <c r="AG37" s="77" t="e">
        <v>#N/A</v>
      </c>
      <c r="AI37" s="170" t="e">
        <v>#N/A</v>
      </c>
      <c r="AJ37" s="171" t="e">
        <v>#N/A</v>
      </c>
      <c r="AK37" s="173" t="e">
        <f t="shared" si="3"/>
        <v>#N/A</v>
      </c>
      <c r="AL37" s="80" t="e">
        <v>#N/A</v>
      </c>
      <c r="AM37" s="162" t="e">
        <f t="shared" si="4"/>
        <v>#N/A</v>
      </c>
    </row>
    <row r="38" spans="1:39" ht="11.25" customHeight="1" x14ac:dyDescent="0.2">
      <c r="A38" s="59" t="s">
        <v>25</v>
      </c>
      <c r="B38" s="60" t="s">
        <v>101</v>
      </c>
      <c r="C38" s="61" t="s">
        <v>6</v>
      </c>
      <c r="D38" s="61" t="s">
        <v>8</v>
      </c>
      <c r="E38" s="61" t="s">
        <v>7</v>
      </c>
      <c r="F38" s="61" t="s">
        <v>125</v>
      </c>
      <c r="G38" s="61" t="str">
        <f t="shared" si="10"/>
        <v>Euribor1M</v>
      </c>
      <c r="H38" s="59" t="str">
        <f t="shared" si="11"/>
        <v>EURAB1E16Y_LCHQuote</v>
      </c>
      <c r="I38" s="155">
        <v>0</v>
      </c>
      <c r="J38" s="64"/>
      <c r="K38" s="64"/>
      <c r="L38" s="48"/>
      <c r="M38" s="10" t="str">
        <f t="shared" si="8"/>
        <v>Sw</v>
      </c>
      <c r="N38" s="94" t="str">
        <f t="shared" si="9"/>
        <v>--</v>
      </c>
      <c r="O38" s="94" t="str">
        <f t="shared" si="9"/>
        <v>--</v>
      </c>
      <c r="P38" s="146" t="str">
        <f>IFERROR(_xll.qlRateHelperQuoteName(N38,Trigger),"--")</f>
        <v>--</v>
      </c>
      <c r="Q38" s="98" t="str">
        <f>IFERROR(_xll.qlRateHelperQuoteValue($N38,Trigger),"--")</f>
        <v>--</v>
      </c>
      <c r="R38" s="141" t="b">
        <v>0</v>
      </c>
      <c r="S38" s="94">
        <v>10</v>
      </c>
      <c r="T38" s="94">
        <v>1</v>
      </c>
      <c r="U38" s="99" t="str">
        <f>IFERROR(_xll.qlRateHelperEarliestDate(N38,Trigger),"--")</f>
        <v>--</v>
      </c>
      <c r="V38" s="99" t="str">
        <f>IFERROR(_xll.qlRateHelperPillarDate(N38,Trigger),"--")</f>
        <v>--</v>
      </c>
      <c r="X38" s="4" t="str">
        <f t="shared" si="12"/>
        <v/>
      </c>
      <c r="Y38" s="4" t="e">
        <v>#N/A</v>
      </c>
      <c r="Z38" s="4" t="e">
        <v>#N/A</v>
      </c>
      <c r="AA38" s="4" t="str">
        <f>IFERROR(_xll.qlRateHelperQuoteName(Y38,Trigger),"")</f>
        <v/>
      </c>
      <c r="AB38" s="70" t="str">
        <f>IFERROR(_xll.qlRateHelperRate(Y38,Trigger),"")</f>
        <v/>
      </c>
      <c r="AC38" s="104" t="str">
        <f>IF(ISERROR(_xll.qlSwapRateHelperSpread($Y38)),IF(ISERROR(_xll.qlFuturesRateHelperConvexityAdjustment($Y38)),"",_xll.qlFuturesRateHelperConvexityAdjustment($Y38)),_xll.qlSwapRateHelperSpread($Y38))</f>
        <v/>
      </c>
      <c r="AD38" s="5" t="str">
        <f>IFERROR(_xll.qlRateHelperEarliestDate(Y38,Trigger),"")</f>
        <v/>
      </c>
      <c r="AE38" s="5" t="str">
        <f>IFERROR(_xll.qlRateHelperPillarDate(Y38,Trigger),"")</f>
        <v/>
      </c>
      <c r="AF38" s="70" t="e">
        <v>#N/A</v>
      </c>
      <c r="AG38" s="77" t="e">
        <v>#N/A</v>
      </c>
      <c r="AI38" s="170" t="e">
        <v>#N/A</v>
      </c>
      <c r="AJ38" s="171" t="e">
        <v>#N/A</v>
      </c>
      <c r="AK38" s="173" t="e">
        <f t="shared" si="3"/>
        <v>#N/A</v>
      </c>
      <c r="AL38" s="80" t="e">
        <v>#N/A</v>
      </c>
      <c r="AM38" s="162" t="e">
        <f t="shared" si="4"/>
        <v>#N/A</v>
      </c>
    </row>
    <row r="39" spans="1:39" ht="11.25" customHeight="1" x14ac:dyDescent="0.2">
      <c r="A39" s="59" t="s">
        <v>25</v>
      </c>
      <c r="B39" s="60" t="s">
        <v>102</v>
      </c>
      <c r="C39" s="61" t="s">
        <v>6</v>
      </c>
      <c r="D39" s="61" t="s">
        <v>8</v>
      </c>
      <c r="E39" s="61" t="s">
        <v>7</v>
      </c>
      <c r="F39" s="61" t="s">
        <v>125</v>
      </c>
      <c r="G39" s="61" t="str">
        <f t="shared" si="10"/>
        <v>Euribor1M</v>
      </c>
      <c r="H39" s="59" t="str">
        <f t="shared" si="11"/>
        <v>EURAB1E17Y_LCHQuote</v>
      </c>
      <c r="I39" s="155">
        <v>0</v>
      </c>
      <c r="J39" s="64"/>
      <c r="K39" s="64"/>
      <c r="L39" s="48"/>
      <c r="M39" s="10" t="str">
        <f t="shared" si="8"/>
        <v>Sw</v>
      </c>
      <c r="N39" s="94" t="str">
        <f t="shared" si="9"/>
        <v>--</v>
      </c>
      <c r="O39" s="94" t="str">
        <f t="shared" si="9"/>
        <v>--</v>
      </c>
      <c r="P39" s="146" t="str">
        <f>IFERROR(_xll.qlRateHelperQuoteName(N39,Trigger),"--")</f>
        <v>--</v>
      </c>
      <c r="Q39" s="98" t="str">
        <f>IFERROR(_xll.qlRateHelperQuoteValue($N39,Trigger),"--")</f>
        <v>--</v>
      </c>
      <c r="R39" s="141" t="b">
        <v>0</v>
      </c>
      <c r="S39" s="94">
        <v>10</v>
      </c>
      <c r="T39" s="94">
        <v>1</v>
      </c>
      <c r="U39" s="99" t="str">
        <f>IFERROR(_xll.qlRateHelperEarliestDate(N39,Trigger),"--")</f>
        <v>--</v>
      </c>
      <c r="V39" s="99" t="str">
        <f>IFERROR(_xll.qlRateHelperPillarDate(N39,Trigger),"--")</f>
        <v>--</v>
      </c>
      <c r="X39" s="4" t="str">
        <f t="shared" si="12"/>
        <v/>
      </c>
      <c r="Y39" s="4" t="e">
        <v>#N/A</v>
      </c>
      <c r="Z39" s="4" t="e">
        <v>#N/A</v>
      </c>
      <c r="AA39" s="4" t="str">
        <f>IFERROR(_xll.qlRateHelperQuoteName(Y39,Trigger),"")</f>
        <v/>
      </c>
      <c r="AB39" s="70" t="str">
        <f>IFERROR(_xll.qlRateHelperRate(Y39,Trigger),"")</f>
        <v/>
      </c>
      <c r="AC39" s="104" t="str">
        <f>IF(ISERROR(_xll.qlSwapRateHelperSpread($Y39)),IF(ISERROR(_xll.qlFuturesRateHelperConvexityAdjustment($Y39)),"",_xll.qlFuturesRateHelperConvexityAdjustment($Y39)),_xll.qlSwapRateHelperSpread($Y39))</f>
        <v/>
      </c>
      <c r="AD39" s="5" t="str">
        <f>IFERROR(_xll.qlRateHelperEarliestDate(Y39,Trigger),"")</f>
        <v/>
      </c>
      <c r="AE39" s="5" t="str">
        <f>IFERROR(_xll.qlRateHelperPillarDate(Y39,Trigger),"")</f>
        <v/>
      </c>
      <c r="AF39" s="70" t="e">
        <v>#N/A</v>
      </c>
      <c r="AG39" s="77" t="e">
        <v>#N/A</v>
      </c>
      <c r="AI39" s="170" t="e">
        <v>#N/A</v>
      </c>
      <c r="AJ39" s="171" t="e">
        <v>#N/A</v>
      </c>
      <c r="AK39" s="173" t="e">
        <f t="shared" si="3"/>
        <v>#N/A</v>
      </c>
      <c r="AL39" s="80" t="e">
        <v>#N/A</v>
      </c>
      <c r="AM39" s="162" t="e">
        <f t="shared" si="4"/>
        <v>#N/A</v>
      </c>
    </row>
    <row r="40" spans="1:39" ht="11.25" customHeight="1" x14ac:dyDescent="0.2">
      <c r="A40" s="59" t="s">
        <v>25</v>
      </c>
      <c r="B40" s="60" t="s">
        <v>103</v>
      </c>
      <c r="C40" s="61" t="s">
        <v>6</v>
      </c>
      <c r="D40" s="61" t="s">
        <v>8</v>
      </c>
      <c r="E40" s="61" t="s">
        <v>7</v>
      </c>
      <c r="F40" s="61" t="s">
        <v>125</v>
      </c>
      <c r="G40" s="61" t="str">
        <f t="shared" si="10"/>
        <v>Euribor1M</v>
      </c>
      <c r="H40" s="59" t="str">
        <f t="shared" si="11"/>
        <v>EURAB1E18Y_LCHQuote</v>
      </c>
      <c r="I40" s="155">
        <v>0</v>
      </c>
      <c r="J40" s="64"/>
      <c r="K40" s="64"/>
      <c r="L40" s="48"/>
      <c r="M40" s="10" t="str">
        <f t="shared" si="8"/>
        <v>Sw</v>
      </c>
      <c r="N40" s="94" t="str">
        <f t="shared" si="9"/>
        <v>--</v>
      </c>
      <c r="O40" s="94" t="str">
        <f t="shared" si="9"/>
        <v>--</v>
      </c>
      <c r="P40" s="146" t="str">
        <f>IFERROR(_xll.qlRateHelperQuoteName(N40,Trigger),"--")</f>
        <v>--</v>
      </c>
      <c r="Q40" s="98" t="str">
        <f>IFERROR(_xll.qlRateHelperQuoteValue($N40,Trigger),"--")</f>
        <v>--</v>
      </c>
      <c r="R40" s="141" t="b">
        <v>0</v>
      </c>
      <c r="S40" s="94">
        <v>10</v>
      </c>
      <c r="T40" s="94">
        <v>1</v>
      </c>
      <c r="U40" s="99" t="str">
        <f>IFERROR(_xll.qlRateHelperEarliestDate(N40,Trigger),"--")</f>
        <v>--</v>
      </c>
      <c r="V40" s="99" t="str">
        <f>IFERROR(_xll.qlRateHelperPillarDate(N40,Trigger),"--")</f>
        <v>--</v>
      </c>
      <c r="X40" s="4" t="str">
        <f t="shared" si="12"/>
        <v/>
      </c>
      <c r="Y40" s="4" t="e">
        <v>#N/A</v>
      </c>
      <c r="Z40" s="4" t="e">
        <v>#N/A</v>
      </c>
      <c r="AA40" s="4" t="str">
        <f>IFERROR(_xll.qlRateHelperQuoteName(Y40,Trigger),"")</f>
        <v/>
      </c>
      <c r="AB40" s="70" t="str">
        <f>IFERROR(_xll.qlRateHelperRate(Y40,Trigger),"")</f>
        <v/>
      </c>
      <c r="AC40" s="104" t="str">
        <f>IF(ISERROR(_xll.qlSwapRateHelperSpread($Y40)),IF(ISERROR(_xll.qlFuturesRateHelperConvexityAdjustment($Y40)),"",_xll.qlFuturesRateHelperConvexityAdjustment($Y40)),_xll.qlSwapRateHelperSpread($Y40))</f>
        <v/>
      </c>
      <c r="AD40" s="5" t="str">
        <f>IFERROR(_xll.qlRateHelperEarliestDate(Y40,Trigger),"")</f>
        <v/>
      </c>
      <c r="AE40" s="5" t="str">
        <f>IFERROR(_xll.qlRateHelperPillarDate(Y40,Trigger),"")</f>
        <v/>
      </c>
      <c r="AF40" s="70" t="e">
        <v>#N/A</v>
      </c>
      <c r="AG40" s="77" t="e">
        <v>#N/A</v>
      </c>
      <c r="AI40" s="170" t="e">
        <v>#N/A</v>
      </c>
      <c r="AJ40" s="171" t="e">
        <v>#N/A</v>
      </c>
      <c r="AK40" s="173" t="e">
        <f t="shared" si="3"/>
        <v>#N/A</v>
      </c>
      <c r="AL40" s="80" t="e">
        <v>#N/A</v>
      </c>
      <c r="AM40" s="162" t="e">
        <f t="shared" si="4"/>
        <v>#N/A</v>
      </c>
    </row>
    <row r="41" spans="1:39" ht="11.25" customHeight="1" x14ac:dyDescent="0.2">
      <c r="A41" s="59" t="s">
        <v>25</v>
      </c>
      <c r="B41" s="60" t="s">
        <v>104</v>
      </c>
      <c r="C41" s="61" t="s">
        <v>6</v>
      </c>
      <c r="D41" s="61" t="s">
        <v>8</v>
      </c>
      <c r="E41" s="61" t="s">
        <v>7</v>
      </c>
      <c r="F41" s="61" t="s">
        <v>125</v>
      </c>
      <c r="G41" s="61" t="str">
        <f t="shared" si="10"/>
        <v>Euribor1M</v>
      </c>
      <c r="H41" s="59" t="str">
        <f t="shared" si="11"/>
        <v>EURAB1E19Y_LCHQuote</v>
      </c>
      <c r="I41" s="155">
        <v>0</v>
      </c>
      <c r="J41" s="64"/>
      <c r="K41" s="64"/>
      <c r="M41" s="10" t="str">
        <f t="shared" si="8"/>
        <v>Sw</v>
      </c>
      <c r="N41" s="94" t="str">
        <f t="shared" si="9"/>
        <v>--</v>
      </c>
      <c r="O41" s="94" t="str">
        <f t="shared" si="9"/>
        <v>--</v>
      </c>
      <c r="P41" s="146" t="str">
        <f>IFERROR(_xll.qlRateHelperQuoteName(N41,Trigger),"--")</f>
        <v>--</v>
      </c>
      <c r="Q41" s="98" t="str">
        <f>IFERROR(_xll.qlRateHelperQuoteValue($N41,Trigger),"--")</f>
        <v>--</v>
      </c>
      <c r="R41" s="141" t="b">
        <v>0</v>
      </c>
      <c r="S41" s="94">
        <v>10</v>
      </c>
      <c r="T41" s="94">
        <v>1</v>
      </c>
      <c r="U41" s="99" t="str">
        <f>IFERROR(_xll.qlRateHelperEarliestDate(N41,Trigger),"--")</f>
        <v>--</v>
      </c>
      <c r="V41" s="99" t="str">
        <f>IFERROR(_xll.qlRateHelperPillarDate(N41,Trigger),"--")</f>
        <v>--</v>
      </c>
      <c r="X41" s="4" t="str">
        <f t="shared" si="12"/>
        <v/>
      </c>
      <c r="Y41" s="4" t="e">
        <v>#N/A</v>
      </c>
      <c r="Z41" s="4" t="e">
        <v>#N/A</v>
      </c>
      <c r="AA41" s="4" t="str">
        <f>IFERROR(_xll.qlRateHelperQuoteName(Y41,Trigger),"")</f>
        <v/>
      </c>
      <c r="AB41" s="70" t="str">
        <f>IFERROR(_xll.qlRateHelperRate(Y41,Trigger),"")</f>
        <v/>
      </c>
      <c r="AC41" s="104" t="str">
        <f>IF(ISERROR(_xll.qlSwapRateHelperSpread($Y41)),IF(ISERROR(_xll.qlFuturesRateHelperConvexityAdjustment($Y41)),"",_xll.qlFuturesRateHelperConvexityAdjustment($Y41)),_xll.qlSwapRateHelperSpread($Y41))</f>
        <v/>
      </c>
      <c r="AD41" s="5" t="str">
        <f>IFERROR(_xll.qlRateHelperEarliestDate(Y41,Trigger),"")</f>
        <v/>
      </c>
      <c r="AE41" s="5" t="str">
        <f>IFERROR(_xll.qlRateHelperPillarDate(Y41,Trigger),"")</f>
        <v/>
      </c>
      <c r="AF41" s="70" t="e">
        <v>#N/A</v>
      </c>
      <c r="AG41" s="77" t="e">
        <v>#N/A</v>
      </c>
      <c r="AI41" s="170" t="e">
        <v>#N/A</v>
      </c>
      <c r="AJ41" s="171" t="e">
        <v>#N/A</v>
      </c>
      <c r="AK41" s="173" t="e">
        <f t="shared" si="3"/>
        <v>#N/A</v>
      </c>
      <c r="AL41" s="80" t="e">
        <v>#N/A</v>
      </c>
      <c r="AM41" s="162" t="e">
        <f t="shared" si="4"/>
        <v>#N/A</v>
      </c>
    </row>
    <row r="42" spans="1:39" ht="11.25" customHeight="1" x14ac:dyDescent="0.2">
      <c r="A42" s="59" t="s">
        <v>25</v>
      </c>
      <c r="B42" s="60" t="s">
        <v>63</v>
      </c>
      <c r="C42" s="61" t="s">
        <v>6</v>
      </c>
      <c r="D42" s="61" t="s">
        <v>8</v>
      </c>
      <c r="E42" s="61" t="s">
        <v>7</v>
      </c>
      <c r="F42" s="61" t="s">
        <v>125</v>
      </c>
      <c r="G42" s="61" t="str">
        <f t="shared" si="10"/>
        <v>Euribor1M</v>
      </c>
      <c r="H42" s="59" t="str">
        <f t="shared" si="11"/>
        <v>EURAB1E20Y_LCHQuote</v>
      </c>
      <c r="I42" s="155">
        <v>0</v>
      </c>
      <c r="J42" s="64"/>
      <c r="K42" s="64"/>
      <c r="M42" s="10" t="str">
        <f t="shared" si="8"/>
        <v>Sw</v>
      </c>
      <c r="N42" s="94" t="str">
        <f t="shared" si="9"/>
        <v>--</v>
      </c>
      <c r="O42" s="94" t="str">
        <f t="shared" si="9"/>
        <v>--</v>
      </c>
      <c r="P42" s="146" t="str">
        <f>IFERROR(_xll.qlRateHelperQuoteName(N42,Trigger),"--")</f>
        <v>--</v>
      </c>
      <c r="Q42" s="98" t="str">
        <f>IFERROR(_xll.qlRateHelperQuoteValue($N42,Trigger),"--")</f>
        <v>--</v>
      </c>
      <c r="R42" s="141" t="b">
        <v>0</v>
      </c>
      <c r="S42" s="94">
        <v>10</v>
      </c>
      <c r="T42" s="94">
        <v>1</v>
      </c>
      <c r="U42" s="99" t="str">
        <f>IFERROR(_xll.qlRateHelperEarliestDate(N42,Trigger),"--")</f>
        <v>--</v>
      </c>
      <c r="V42" s="99" t="str">
        <f>IFERROR(_xll.qlRateHelperPillarDate(N42,Trigger),"--")</f>
        <v>--</v>
      </c>
      <c r="X42" s="4" t="str">
        <f t="shared" si="12"/>
        <v/>
      </c>
      <c r="Y42" s="4" t="e">
        <v>#N/A</v>
      </c>
      <c r="Z42" s="4" t="e">
        <v>#N/A</v>
      </c>
      <c r="AA42" s="4" t="str">
        <f>IFERROR(_xll.qlRateHelperQuoteName(Y42,Trigger),"")</f>
        <v/>
      </c>
      <c r="AB42" s="70" t="str">
        <f>IFERROR(_xll.qlRateHelperRate(Y42,Trigger),"")</f>
        <v/>
      </c>
      <c r="AC42" s="104" t="str">
        <f>IF(ISERROR(_xll.qlSwapRateHelperSpread($Y42)),IF(ISERROR(_xll.qlFuturesRateHelperConvexityAdjustment($Y42)),"",_xll.qlFuturesRateHelperConvexityAdjustment($Y42)),_xll.qlSwapRateHelperSpread($Y42))</f>
        <v/>
      </c>
      <c r="AD42" s="5" t="str">
        <f>IFERROR(_xll.qlRateHelperEarliestDate(Y42,Trigger),"")</f>
        <v/>
      </c>
      <c r="AE42" s="5" t="str">
        <f>IFERROR(_xll.qlRateHelperPillarDate(Y42,Trigger),"")</f>
        <v/>
      </c>
      <c r="AF42" s="70" t="e">
        <v>#N/A</v>
      </c>
      <c r="AG42" s="77" t="e">
        <v>#N/A</v>
      </c>
      <c r="AI42" s="170" t="e">
        <v>#N/A</v>
      </c>
      <c r="AJ42" s="171" t="e">
        <v>#N/A</v>
      </c>
      <c r="AK42" s="173" t="e">
        <f t="shared" si="3"/>
        <v>#N/A</v>
      </c>
      <c r="AL42" s="80" t="e">
        <v>#N/A</v>
      </c>
      <c r="AM42" s="162" t="e">
        <f t="shared" si="4"/>
        <v>#N/A</v>
      </c>
    </row>
    <row r="43" spans="1:39" ht="11.25" customHeight="1" x14ac:dyDescent="0.2">
      <c r="A43" s="59" t="s">
        <v>25</v>
      </c>
      <c r="B43" s="60" t="s">
        <v>105</v>
      </c>
      <c r="C43" s="61" t="s">
        <v>6</v>
      </c>
      <c r="D43" s="61" t="s">
        <v>8</v>
      </c>
      <c r="E43" s="61" t="s">
        <v>7</v>
      </c>
      <c r="F43" s="61" t="s">
        <v>125</v>
      </c>
      <c r="G43" s="61" t="str">
        <f t="shared" si="10"/>
        <v>Euribor1M</v>
      </c>
      <c r="H43" s="59" t="str">
        <f t="shared" si="11"/>
        <v>EURAB1E21Y_LCHQuote</v>
      </c>
      <c r="I43" s="155">
        <v>0</v>
      </c>
      <c r="J43" s="64"/>
      <c r="K43" s="64"/>
      <c r="M43" s="10" t="str">
        <f t="shared" si="8"/>
        <v>Sw</v>
      </c>
      <c r="N43" s="94" t="str">
        <f t="shared" si="9"/>
        <v>--</v>
      </c>
      <c r="O43" s="94" t="str">
        <f t="shared" si="9"/>
        <v>--</v>
      </c>
      <c r="P43" s="146" t="str">
        <f>IFERROR(_xll.qlRateHelperQuoteName(N43,Trigger),"--")</f>
        <v>--</v>
      </c>
      <c r="Q43" s="98" t="str">
        <f>IFERROR(_xll.qlRateHelperQuoteValue($N43,Trigger),"--")</f>
        <v>--</v>
      </c>
      <c r="R43" s="141" t="b">
        <v>0</v>
      </c>
      <c r="S43" s="94">
        <v>10</v>
      </c>
      <c r="T43" s="94">
        <v>1</v>
      </c>
      <c r="U43" s="99" t="str">
        <f>IFERROR(_xll.qlRateHelperEarliestDate(N43,Trigger),"--")</f>
        <v>--</v>
      </c>
      <c r="V43" s="99" t="str">
        <f>IFERROR(_xll.qlRateHelperPillarDate(N43,Trigger),"--")</f>
        <v>--</v>
      </c>
      <c r="X43" s="4" t="str">
        <f t="shared" si="12"/>
        <v/>
      </c>
      <c r="Y43" s="4" t="e">
        <v>#N/A</v>
      </c>
      <c r="Z43" s="4" t="e">
        <v>#N/A</v>
      </c>
      <c r="AA43" s="4" t="str">
        <f>IFERROR(_xll.qlRateHelperQuoteName(Y43,Trigger),"")</f>
        <v/>
      </c>
      <c r="AB43" s="70" t="str">
        <f>IFERROR(_xll.qlRateHelperRate(Y43,Trigger),"")</f>
        <v/>
      </c>
      <c r="AC43" s="104" t="str">
        <f>IF(ISERROR(_xll.qlSwapRateHelperSpread($Y43)),IF(ISERROR(_xll.qlFuturesRateHelperConvexityAdjustment($Y43)),"",_xll.qlFuturesRateHelperConvexityAdjustment($Y43)),_xll.qlSwapRateHelperSpread($Y43))</f>
        <v/>
      </c>
      <c r="AD43" s="5" t="str">
        <f>IFERROR(_xll.qlRateHelperEarliestDate(Y43,Trigger),"")</f>
        <v/>
      </c>
      <c r="AE43" s="5" t="str">
        <f>IFERROR(_xll.qlRateHelperPillarDate(Y43,Trigger),"")</f>
        <v/>
      </c>
      <c r="AF43" s="70" t="e">
        <v>#N/A</v>
      </c>
      <c r="AG43" s="77" t="e">
        <v>#N/A</v>
      </c>
      <c r="AI43" s="170" t="e">
        <v>#N/A</v>
      </c>
      <c r="AJ43" s="171" t="e">
        <v>#N/A</v>
      </c>
      <c r="AK43" s="173" t="e">
        <f t="shared" si="3"/>
        <v>#N/A</v>
      </c>
      <c r="AL43" s="80" t="e">
        <v>#N/A</v>
      </c>
      <c r="AM43" s="162" t="e">
        <f t="shared" si="4"/>
        <v>#N/A</v>
      </c>
    </row>
    <row r="44" spans="1:39" ht="11.25" customHeight="1" x14ac:dyDescent="0.2">
      <c r="A44" s="59" t="s">
        <v>25</v>
      </c>
      <c r="B44" s="60" t="s">
        <v>106</v>
      </c>
      <c r="C44" s="61" t="s">
        <v>6</v>
      </c>
      <c r="D44" s="61" t="s">
        <v>8</v>
      </c>
      <c r="E44" s="61" t="s">
        <v>7</v>
      </c>
      <c r="F44" s="61" t="s">
        <v>125</v>
      </c>
      <c r="G44" s="61" t="str">
        <f t="shared" si="10"/>
        <v>Euribor1M</v>
      </c>
      <c r="H44" s="59" t="str">
        <f t="shared" si="11"/>
        <v>EURAB1E22Y_LCHQuote</v>
      </c>
      <c r="I44" s="155">
        <v>0</v>
      </c>
      <c r="J44" s="64"/>
      <c r="K44" s="64"/>
      <c r="M44" s="10" t="str">
        <f t="shared" si="8"/>
        <v>Sw</v>
      </c>
      <c r="N44" s="94" t="str">
        <f t="shared" si="9"/>
        <v>--</v>
      </c>
      <c r="O44" s="94" t="str">
        <f t="shared" si="9"/>
        <v>--</v>
      </c>
      <c r="P44" s="146" t="str">
        <f>IFERROR(_xll.qlRateHelperQuoteName(N44,Trigger),"--")</f>
        <v>--</v>
      </c>
      <c r="Q44" s="98" t="str">
        <f>IFERROR(_xll.qlRateHelperQuoteValue($N44,Trigger),"--")</f>
        <v>--</v>
      </c>
      <c r="R44" s="141" t="b">
        <v>0</v>
      </c>
      <c r="S44" s="94">
        <v>10</v>
      </c>
      <c r="T44" s="94">
        <v>1</v>
      </c>
      <c r="U44" s="99" t="str">
        <f>IFERROR(_xll.qlRateHelperEarliestDate(N44,Trigger),"--")</f>
        <v>--</v>
      </c>
      <c r="V44" s="99" t="str">
        <f>IFERROR(_xll.qlRateHelperPillarDate(N44,Trigger),"--")</f>
        <v>--</v>
      </c>
      <c r="X44" s="4" t="str">
        <f t="shared" si="12"/>
        <v/>
      </c>
      <c r="Y44" s="4" t="e">
        <v>#N/A</v>
      </c>
      <c r="Z44" s="4" t="e">
        <v>#N/A</v>
      </c>
      <c r="AA44" s="4" t="str">
        <f>IFERROR(_xll.qlRateHelperQuoteName(Y44,Trigger),"")</f>
        <v/>
      </c>
      <c r="AB44" s="70" t="str">
        <f>IFERROR(_xll.qlRateHelperRate(Y44,Trigger),"")</f>
        <v/>
      </c>
      <c r="AC44" s="104" t="str">
        <f>IF(ISERROR(_xll.qlSwapRateHelperSpread($Y44)),IF(ISERROR(_xll.qlFuturesRateHelperConvexityAdjustment($Y44)),"",_xll.qlFuturesRateHelperConvexityAdjustment($Y44)),_xll.qlSwapRateHelperSpread($Y44))</f>
        <v/>
      </c>
      <c r="AD44" s="5" t="str">
        <f>IFERROR(_xll.qlRateHelperEarliestDate(Y44,Trigger),"")</f>
        <v/>
      </c>
      <c r="AE44" s="5" t="str">
        <f>IFERROR(_xll.qlRateHelperPillarDate(Y44,Trigger),"")</f>
        <v/>
      </c>
      <c r="AF44" s="70" t="e">
        <v>#N/A</v>
      </c>
      <c r="AG44" s="77" t="e">
        <v>#N/A</v>
      </c>
      <c r="AI44" s="170" t="e">
        <v>#N/A</v>
      </c>
      <c r="AJ44" s="171" t="e">
        <v>#N/A</v>
      </c>
      <c r="AK44" s="173" t="e">
        <f t="shared" si="3"/>
        <v>#N/A</v>
      </c>
      <c r="AL44" s="80" t="e">
        <v>#N/A</v>
      </c>
      <c r="AM44" s="162" t="e">
        <f t="shared" si="4"/>
        <v>#N/A</v>
      </c>
    </row>
    <row r="45" spans="1:39" ht="11.25" customHeight="1" x14ac:dyDescent="0.2">
      <c r="A45" s="59" t="s">
        <v>25</v>
      </c>
      <c r="B45" s="60" t="s">
        <v>107</v>
      </c>
      <c r="C45" s="61" t="s">
        <v>6</v>
      </c>
      <c r="D45" s="61" t="s">
        <v>8</v>
      </c>
      <c r="E45" s="61" t="s">
        <v>7</v>
      </c>
      <c r="F45" s="61" t="s">
        <v>125</v>
      </c>
      <c r="G45" s="61" t="str">
        <f t="shared" si="10"/>
        <v>Euribor1M</v>
      </c>
      <c r="H45" s="59" t="str">
        <f t="shared" si="11"/>
        <v>EURAB1E23Y_LCHQuote</v>
      </c>
      <c r="I45" s="155">
        <v>0</v>
      </c>
      <c r="J45" s="64"/>
      <c r="K45" s="64"/>
      <c r="M45" s="10" t="str">
        <f t="shared" si="8"/>
        <v>Sw</v>
      </c>
      <c r="N45" s="94" t="str">
        <f t="shared" si="9"/>
        <v>--</v>
      </c>
      <c r="O45" s="94" t="str">
        <f t="shared" si="9"/>
        <v>--</v>
      </c>
      <c r="P45" s="146" t="str">
        <f>IFERROR(_xll.qlRateHelperQuoteName(N45,Trigger),"--")</f>
        <v>--</v>
      </c>
      <c r="Q45" s="98" t="str">
        <f>IFERROR(_xll.qlRateHelperQuoteValue($N45,Trigger),"--")</f>
        <v>--</v>
      </c>
      <c r="R45" s="141" t="b">
        <v>0</v>
      </c>
      <c r="S45" s="94">
        <v>10</v>
      </c>
      <c r="T45" s="94">
        <v>1</v>
      </c>
      <c r="U45" s="99" t="str">
        <f>IFERROR(_xll.qlRateHelperEarliestDate(N45,Trigger),"--")</f>
        <v>--</v>
      </c>
      <c r="V45" s="99" t="str">
        <f>IFERROR(_xll.qlRateHelperPillarDate(N45,Trigger),"--")</f>
        <v>--</v>
      </c>
      <c r="X45" s="4" t="str">
        <f t="shared" si="12"/>
        <v/>
      </c>
      <c r="Y45" s="4" t="e">
        <v>#N/A</v>
      </c>
      <c r="Z45" s="4" t="e">
        <v>#N/A</v>
      </c>
      <c r="AA45" s="4" t="str">
        <f>IFERROR(_xll.qlRateHelperQuoteName(Y45,Trigger),"")</f>
        <v/>
      </c>
      <c r="AB45" s="70" t="str">
        <f>IFERROR(_xll.qlRateHelperRate(Y45,Trigger),"")</f>
        <v/>
      </c>
      <c r="AC45" s="104" t="str">
        <f>IF(ISERROR(_xll.qlSwapRateHelperSpread($Y45)),IF(ISERROR(_xll.qlFuturesRateHelperConvexityAdjustment($Y45)),"",_xll.qlFuturesRateHelperConvexityAdjustment($Y45)),_xll.qlSwapRateHelperSpread($Y45))</f>
        <v/>
      </c>
      <c r="AD45" s="5" t="str">
        <f>IFERROR(_xll.qlRateHelperEarliestDate(Y45,Trigger),"")</f>
        <v/>
      </c>
      <c r="AE45" s="5" t="str">
        <f>IFERROR(_xll.qlRateHelperPillarDate(Y45,Trigger),"")</f>
        <v/>
      </c>
      <c r="AF45" s="70" t="e">
        <v>#N/A</v>
      </c>
      <c r="AG45" s="77" t="e">
        <v>#N/A</v>
      </c>
      <c r="AI45" s="170" t="e">
        <v>#N/A</v>
      </c>
      <c r="AJ45" s="171" t="e">
        <v>#N/A</v>
      </c>
      <c r="AK45" s="173" t="e">
        <f t="shared" si="3"/>
        <v>#N/A</v>
      </c>
      <c r="AL45" s="80" t="e">
        <v>#N/A</v>
      </c>
      <c r="AM45" s="162" t="e">
        <f t="shared" si="4"/>
        <v>#N/A</v>
      </c>
    </row>
    <row r="46" spans="1:39" ht="11.25" customHeight="1" x14ac:dyDescent="0.2">
      <c r="A46" s="59" t="s">
        <v>25</v>
      </c>
      <c r="B46" s="60" t="s">
        <v>108</v>
      </c>
      <c r="C46" s="61" t="s">
        <v>6</v>
      </c>
      <c r="D46" s="61" t="s">
        <v>8</v>
      </c>
      <c r="E46" s="61" t="s">
        <v>7</v>
      </c>
      <c r="F46" s="61" t="s">
        <v>125</v>
      </c>
      <c r="G46" s="61" t="str">
        <f t="shared" si="10"/>
        <v>Euribor1M</v>
      </c>
      <c r="H46" s="59" t="str">
        <f t="shared" si="11"/>
        <v>EURAB1E24Y_LCHQuote</v>
      </c>
      <c r="I46" s="155">
        <v>0</v>
      </c>
      <c r="J46" s="64"/>
      <c r="K46" s="64"/>
      <c r="M46" s="10" t="str">
        <f t="shared" si="8"/>
        <v>Sw</v>
      </c>
      <c r="N46" s="94" t="str">
        <f t="shared" si="9"/>
        <v>--</v>
      </c>
      <c r="O46" s="94" t="str">
        <f t="shared" si="9"/>
        <v>--</v>
      </c>
      <c r="P46" s="146" t="str">
        <f>IFERROR(_xll.qlRateHelperQuoteName(N46,Trigger),"--")</f>
        <v>--</v>
      </c>
      <c r="Q46" s="98" t="str">
        <f>IFERROR(_xll.qlRateHelperQuoteValue($N46,Trigger),"--")</f>
        <v>--</v>
      </c>
      <c r="R46" s="141" t="b">
        <v>0</v>
      </c>
      <c r="S46" s="94">
        <v>10</v>
      </c>
      <c r="T46" s="94">
        <v>1</v>
      </c>
      <c r="U46" s="99" t="str">
        <f>IFERROR(_xll.qlRateHelperEarliestDate(N46,Trigger),"--")</f>
        <v>--</v>
      </c>
      <c r="V46" s="99" t="str">
        <f>IFERROR(_xll.qlRateHelperPillarDate(N46,Trigger),"--")</f>
        <v>--</v>
      </c>
      <c r="X46" s="4" t="str">
        <f t="shared" si="12"/>
        <v/>
      </c>
      <c r="Y46" s="4" t="e">
        <v>#N/A</v>
      </c>
      <c r="Z46" s="4" t="e">
        <v>#N/A</v>
      </c>
      <c r="AA46" s="4" t="str">
        <f>IFERROR(_xll.qlRateHelperQuoteName(Y46,Trigger),"")</f>
        <v/>
      </c>
      <c r="AB46" s="70" t="str">
        <f>IFERROR(_xll.qlRateHelperRate(Y46,Trigger),"")</f>
        <v/>
      </c>
      <c r="AC46" s="104" t="str">
        <f>IF(ISERROR(_xll.qlSwapRateHelperSpread($Y46)),IF(ISERROR(_xll.qlFuturesRateHelperConvexityAdjustment($Y46)),"",_xll.qlFuturesRateHelperConvexityAdjustment($Y46)),_xll.qlSwapRateHelperSpread($Y46))</f>
        <v/>
      </c>
      <c r="AD46" s="5" t="str">
        <f>IFERROR(_xll.qlRateHelperEarliestDate(Y46,Trigger),"")</f>
        <v/>
      </c>
      <c r="AE46" s="5" t="str">
        <f>IFERROR(_xll.qlRateHelperPillarDate(Y46,Trigger),"")</f>
        <v/>
      </c>
      <c r="AF46" s="70" t="e">
        <v>#N/A</v>
      </c>
      <c r="AG46" s="77" t="e">
        <v>#N/A</v>
      </c>
      <c r="AI46" s="170" t="e">
        <v>#N/A</v>
      </c>
      <c r="AJ46" s="171" t="e">
        <v>#N/A</v>
      </c>
      <c r="AK46" s="173" t="e">
        <f t="shared" si="3"/>
        <v>#N/A</v>
      </c>
      <c r="AL46" s="80" t="e">
        <v>#N/A</v>
      </c>
      <c r="AM46" s="162" t="e">
        <f t="shared" si="4"/>
        <v>#N/A</v>
      </c>
    </row>
    <row r="47" spans="1:39" ht="11.25" customHeight="1" x14ac:dyDescent="0.2">
      <c r="A47" s="59" t="s">
        <v>25</v>
      </c>
      <c r="B47" s="60" t="s">
        <v>64</v>
      </c>
      <c r="C47" s="61" t="s">
        <v>6</v>
      </c>
      <c r="D47" s="61" t="s">
        <v>8</v>
      </c>
      <c r="E47" s="61" t="s">
        <v>7</v>
      </c>
      <c r="F47" s="61" t="s">
        <v>125</v>
      </c>
      <c r="G47" s="61" t="str">
        <f t="shared" si="10"/>
        <v>Euribor1M</v>
      </c>
      <c r="H47" s="59" t="str">
        <f t="shared" si="11"/>
        <v>EURAB1E25Y_LCHQuote</v>
      </c>
      <c r="I47" s="155">
        <v>0</v>
      </c>
      <c r="J47" s="64"/>
      <c r="K47" s="64"/>
      <c r="M47" s="10" t="str">
        <f t="shared" si="8"/>
        <v>Sw</v>
      </c>
      <c r="N47" s="94" t="str">
        <f t="shared" si="9"/>
        <v>--</v>
      </c>
      <c r="O47" s="94" t="str">
        <f t="shared" si="9"/>
        <v>--</v>
      </c>
      <c r="P47" s="146" t="str">
        <f>IFERROR(_xll.qlRateHelperQuoteName(N47,Trigger),"--")</f>
        <v>--</v>
      </c>
      <c r="Q47" s="98" t="str">
        <f>IFERROR(_xll.qlRateHelperQuoteValue($N47,Trigger),"--")</f>
        <v>--</v>
      </c>
      <c r="R47" s="141" t="b">
        <v>0</v>
      </c>
      <c r="S47" s="94">
        <v>10</v>
      </c>
      <c r="T47" s="94">
        <v>1</v>
      </c>
      <c r="U47" s="99" t="str">
        <f>IFERROR(_xll.qlRateHelperEarliestDate(N47,Trigger),"--")</f>
        <v>--</v>
      </c>
      <c r="V47" s="99" t="str">
        <f>IFERROR(_xll.qlRateHelperPillarDate(N47,Trigger),"--")</f>
        <v>--</v>
      </c>
      <c r="X47" s="4" t="str">
        <f t="shared" si="12"/>
        <v/>
      </c>
      <c r="Y47" s="4" t="e">
        <v>#N/A</v>
      </c>
      <c r="Z47" s="4" t="e">
        <v>#N/A</v>
      </c>
      <c r="AA47" s="4" t="str">
        <f>IFERROR(_xll.qlRateHelperQuoteName(Y47,Trigger),"")</f>
        <v/>
      </c>
      <c r="AB47" s="70" t="str">
        <f>IFERROR(_xll.qlRateHelperRate(Y47,Trigger),"")</f>
        <v/>
      </c>
      <c r="AC47" s="104" t="str">
        <f>IF(ISERROR(_xll.qlSwapRateHelperSpread($Y47)),IF(ISERROR(_xll.qlFuturesRateHelperConvexityAdjustment($Y47)),"",_xll.qlFuturesRateHelperConvexityAdjustment($Y47)),_xll.qlSwapRateHelperSpread($Y47))</f>
        <v/>
      </c>
      <c r="AD47" s="5" t="str">
        <f>IFERROR(_xll.qlRateHelperEarliestDate(Y47,Trigger),"")</f>
        <v/>
      </c>
      <c r="AE47" s="5" t="str">
        <f>IFERROR(_xll.qlRateHelperPillarDate(Y47,Trigger),"")</f>
        <v/>
      </c>
      <c r="AF47" s="70" t="e">
        <v>#N/A</v>
      </c>
      <c r="AG47" s="77" t="e">
        <v>#N/A</v>
      </c>
      <c r="AI47" s="170" t="e">
        <v>#N/A</v>
      </c>
      <c r="AJ47" s="171" t="e">
        <v>#N/A</v>
      </c>
      <c r="AK47" s="173" t="e">
        <f t="shared" si="3"/>
        <v>#N/A</v>
      </c>
      <c r="AL47" s="80" t="e">
        <v>#N/A</v>
      </c>
      <c r="AM47" s="162" t="e">
        <f t="shared" si="4"/>
        <v>#N/A</v>
      </c>
    </row>
    <row r="48" spans="1:39" ht="11.25" customHeight="1" x14ac:dyDescent="0.2">
      <c r="A48" s="59" t="s">
        <v>25</v>
      </c>
      <c r="B48" s="60" t="s">
        <v>109</v>
      </c>
      <c r="C48" s="61" t="s">
        <v>6</v>
      </c>
      <c r="D48" s="61" t="s">
        <v>8</v>
      </c>
      <c r="E48" s="61" t="s">
        <v>7</v>
      </c>
      <c r="F48" s="61" t="s">
        <v>125</v>
      </c>
      <c r="G48" s="61" t="str">
        <f t="shared" si="10"/>
        <v>Euribor1M</v>
      </c>
      <c r="H48" s="59" t="str">
        <f t="shared" si="11"/>
        <v>EURAB1E26Y_LCHQuote</v>
      </c>
      <c r="I48" s="155">
        <v>0</v>
      </c>
      <c r="J48" s="64"/>
      <c r="K48" s="64"/>
      <c r="M48" s="10" t="str">
        <f t="shared" si="8"/>
        <v>Sw</v>
      </c>
      <c r="N48" s="94" t="str">
        <f t="shared" si="9"/>
        <v>--</v>
      </c>
      <c r="O48" s="94" t="str">
        <f t="shared" si="9"/>
        <v>--</v>
      </c>
      <c r="P48" s="146" t="str">
        <f>IFERROR(_xll.qlRateHelperQuoteName(N48,Trigger),"--")</f>
        <v>--</v>
      </c>
      <c r="Q48" s="98" t="str">
        <f>IFERROR(_xll.qlRateHelperQuoteValue($N48,Trigger),"--")</f>
        <v>--</v>
      </c>
      <c r="R48" s="141" t="b">
        <v>0</v>
      </c>
      <c r="S48" s="94">
        <v>10</v>
      </c>
      <c r="T48" s="94">
        <v>1</v>
      </c>
      <c r="U48" s="99" t="str">
        <f>IFERROR(_xll.qlRateHelperEarliestDate(N48,Trigger),"--")</f>
        <v>--</v>
      </c>
      <c r="V48" s="99" t="str">
        <f>IFERROR(_xll.qlRateHelperPillarDate(N48,Trigger),"--")</f>
        <v>--</v>
      </c>
      <c r="X48" s="4" t="str">
        <f t="shared" si="12"/>
        <v/>
      </c>
      <c r="Y48" s="4" t="e">
        <v>#N/A</v>
      </c>
      <c r="Z48" s="4" t="e">
        <v>#N/A</v>
      </c>
      <c r="AA48" s="4" t="str">
        <f>IFERROR(_xll.qlRateHelperQuoteName(Y48,Trigger),"")</f>
        <v/>
      </c>
      <c r="AB48" s="70" t="str">
        <f>IFERROR(_xll.qlRateHelperRate(Y48,Trigger),"")</f>
        <v/>
      </c>
      <c r="AC48" s="104" t="str">
        <f>IF(ISERROR(_xll.qlSwapRateHelperSpread($Y48)),IF(ISERROR(_xll.qlFuturesRateHelperConvexityAdjustment($Y48)),"",_xll.qlFuturesRateHelperConvexityAdjustment($Y48)),_xll.qlSwapRateHelperSpread($Y48))</f>
        <v/>
      </c>
      <c r="AD48" s="5" t="str">
        <f>IFERROR(_xll.qlRateHelperEarliestDate(Y48,Trigger),"")</f>
        <v/>
      </c>
      <c r="AE48" s="5" t="str">
        <f>IFERROR(_xll.qlRateHelperPillarDate(Y48,Trigger),"")</f>
        <v/>
      </c>
      <c r="AF48" s="70" t="e">
        <v>#N/A</v>
      </c>
      <c r="AG48" s="77" t="e">
        <v>#N/A</v>
      </c>
      <c r="AI48" s="170" t="e">
        <v>#N/A</v>
      </c>
      <c r="AJ48" s="171" t="e">
        <v>#N/A</v>
      </c>
      <c r="AK48" s="173" t="e">
        <f t="shared" si="3"/>
        <v>#N/A</v>
      </c>
      <c r="AL48" s="80" t="e">
        <v>#N/A</v>
      </c>
      <c r="AM48" s="162" t="e">
        <f t="shared" si="4"/>
        <v>#N/A</v>
      </c>
    </row>
    <row r="49" spans="1:39" ht="11.25" customHeight="1" x14ac:dyDescent="0.2">
      <c r="A49" s="59" t="s">
        <v>25</v>
      </c>
      <c r="B49" s="60" t="s">
        <v>65</v>
      </c>
      <c r="C49" s="61" t="s">
        <v>6</v>
      </c>
      <c r="D49" s="61" t="s">
        <v>8</v>
      </c>
      <c r="E49" s="61" t="s">
        <v>7</v>
      </c>
      <c r="F49" s="61" t="s">
        <v>125</v>
      </c>
      <c r="G49" s="61" t="str">
        <f t="shared" si="10"/>
        <v>Euribor1M</v>
      </c>
      <c r="H49" s="59" t="str">
        <f t="shared" si="11"/>
        <v>EURAB1E27Y_LCHQuote</v>
      </c>
      <c r="I49" s="155">
        <v>0</v>
      </c>
      <c r="J49" s="64"/>
      <c r="K49" s="64"/>
      <c r="M49" s="10" t="str">
        <f t="shared" si="8"/>
        <v>Sw</v>
      </c>
      <c r="N49" s="94" t="str">
        <f t="shared" si="9"/>
        <v>--</v>
      </c>
      <c r="O49" s="94" t="str">
        <f t="shared" si="9"/>
        <v>--</v>
      </c>
      <c r="P49" s="146" t="str">
        <f>IFERROR(_xll.qlRateHelperQuoteName(N49,Trigger),"--")</f>
        <v>--</v>
      </c>
      <c r="Q49" s="98" t="str">
        <f>IFERROR(_xll.qlRateHelperQuoteValue($N49,Trigger),"--")</f>
        <v>--</v>
      </c>
      <c r="R49" s="141" t="b">
        <v>0</v>
      </c>
      <c r="S49" s="94">
        <v>10</v>
      </c>
      <c r="T49" s="94">
        <v>1</v>
      </c>
      <c r="U49" s="99" t="str">
        <f>IFERROR(_xll.qlRateHelperEarliestDate(N49,Trigger),"--")</f>
        <v>--</v>
      </c>
      <c r="V49" s="99" t="str">
        <f>IFERROR(_xll.qlRateHelperPillarDate(N49,Trigger),"--")</f>
        <v>--</v>
      </c>
      <c r="X49" s="4" t="str">
        <f t="shared" si="12"/>
        <v/>
      </c>
      <c r="Y49" s="4" t="e">
        <v>#N/A</v>
      </c>
      <c r="Z49" s="4" t="e">
        <v>#N/A</v>
      </c>
      <c r="AA49" s="4" t="str">
        <f>IFERROR(_xll.qlRateHelperQuoteName(Y49,Trigger),"")</f>
        <v/>
      </c>
      <c r="AB49" s="70" t="str">
        <f>IFERROR(_xll.qlRateHelperRate(Y49,Trigger),"")</f>
        <v/>
      </c>
      <c r="AC49" s="104" t="str">
        <f>IF(ISERROR(_xll.qlSwapRateHelperSpread($Y49)),IF(ISERROR(_xll.qlFuturesRateHelperConvexityAdjustment($Y49)),"",_xll.qlFuturesRateHelperConvexityAdjustment($Y49)),_xll.qlSwapRateHelperSpread($Y49))</f>
        <v/>
      </c>
      <c r="AD49" s="5" t="str">
        <f>IFERROR(_xll.qlRateHelperEarliestDate(Y49,Trigger),"")</f>
        <v/>
      </c>
      <c r="AE49" s="5" t="str">
        <f>IFERROR(_xll.qlRateHelperPillarDate(Y49,Trigger),"")</f>
        <v/>
      </c>
      <c r="AF49" s="70" t="e">
        <v>#N/A</v>
      </c>
      <c r="AG49" s="77" t="e">
        <v>#N/A</v>
      </c>
      <c r="AI49" s="170" t="e">
        <v>#N/A</v>
      </c>
      <c r="AJ49" s="171" t="e">
        <v>#N/A</v>
      </c>
      <c r="AK49" s="173" t="e">
        <f t="shared" si="3"/>
        <v>#N/A</v>
      </c>
      <c r="AL49" s="80" t="e">
        <v>#N/A</v>
      </c>
      <c r="AM49" s="162" t="e">
        <f t="shared" si="4"/>
        <v>#N/A</v>
      </c>
    </row>
    <row r="50" spans="1:39" ht="11.25" customHeight="1" x14ac:dyDescent="0.2">
      <c r="A50" s="59" t="s">
        <v>25</v>
      </c>
      <c r="B50" s="60" t="s">
        <v>110</v>
      </c>
      <c r="C50" s="61" t="s">
        <v>6</v>
      </c>
      <c r="D50" s="61" t="s">
        <v>8</v>
      </c>
      <c r="E50" s="61" t="s">
        <v>7</v>
      </c>
      <c r="F50" s="61" t="s">
        <v>125</v>
      </c>
      <c r="G50" s="61" t="str">
        <f t="shared" si="10"/>
        <v>Euribor1M</v>
      </c>
      <c r="H50" s="59" t="str">
        <f t="shared" si="11"/>
        <v>EURAB1E28Y_LCHQuote</v>
      </c>
      <c r="I50" s="155">
        <v>0</v>
      </c>
      <c r="J50" s="64"/>
      <c r="K50" s="64"/>
      <c r="M50" s="10" t="str">
        <f t="shared" si="8"/>
        <v>Sw</v>
      </c>
      <c r="N50" s="94" t="str">
        <f t="shared" si="9"/>
        <v>--</v>
      </c>
      <c r="O50" s="94" t="str">
        <f t="shared" si="9"/>
        <v>--</v>
      </c>
      <c r="P50" s="146" t="str">
        <f>IFERROR(_xll.qlRateHelperQuoteName(N50,Trigger),"--")</f>
        <v>--</v>
      </c>
      <c r="Q50" s="98" t="str">
        <f>IFERROR(_xll.qlRateHelperQuoteValue($N50,Trigger),"--")</f>
        <v>--</v>
      </c>
      <c r="R50" s="141" t="b">
        <v>0</v>
      </c>
      <c r="S50" s="94">
        <v>10</v>
      </c>
      <c r="T50" s="94">
        <v>1</v>
      </c>
      <c r="U50" s="99" t="str">
        <f>IFERROR(_xll.qlRateHelperEarliestDate(N50,Trigger),"--")</f>
        <v>--</v>
      </c>
      <c r="V50" s="99" t="str">
        <f>IFERROR(_xll.qlRateHelperPillarDate(N50,Trigger),"--")</f>
        <v>--</v>
      </c>
      <c r="X50" s="4" t="str">
        <f t="shared" si="12"/>
        <v/>
      </c>
      <c r="Y50" s="4" t="e">
        <v>#N/A</v>
      </c>
      <c r="Z50" s="4" t="e">
        <v>#N/A</v>
      </c>
      <c r="AA50" s="4" t="str">
        <f>IFERROR(_xll.qlRateHelperQuoteName(Y50,Trigger),"")</f>
        <v/>
      </c>
      <c r="AB50" s="70" t="str">
        <f>IFERROR(_xll.qlRateHelperRate(Y50,Trigger),"")</f>
        <v/>
      </c>
      <c r="AC50" s="104" t="str">
        <f>IF(ISERROR(_xll.qlSwapRateHelperSpread($Y50)),IF(ISERROR(_xll.qlFuturesRateHelperConvexityAdjustment($Y50)),"",_xll.qlFuturesRateHelperConvexityAdjustment($Y50)),_xll.qlSwapRateHelperSpread($Y50))</f>
        <v/>
      </c>
      <c r="AD50" s="5" t="str">
        <f>IFERROR(_xll.qlRateHelperEarliestDate(Y50,Trigger),"")</f>
        <v/>
      </c>
      <c r="AE50" s="5" t="str">
        <f>IFERROR(_xll.qlRateHelperPillarDate(Y50,Trigger),"")</f>
        <v/>
      </c>
      <c r="AF50" s="70" t="e">
        <v>#N/A</v>
      </c>
      <c r="AG50" s="77" t="e">
        <v>#N/A</v>
      </c>
      <c r="AI50" s="170" t="e">
        <v>#N/A</v>
      </c>
      <c r="AJ50" s="171" t="e">
        <v>#N/A</v>
      </c>
      <c r="AK50" s="173" t="e">
        <f t="shared" si="3"/>
        <v>#N/A</v>
      </c>
      <c r="AL50" s="80" t="e">
        <v>#N/A</v>
      </c>
      <c r="AM50" s="162" t="e">
        <f t="shared" si="4"/>
        <v>#N/A</v>
      </c>
    </row>
    <row r="51" spans="1:39" ht="11.25" customHeight="1" x14ac:dyDescent="0.2">
      <c r="A51" s="59" t="s">
        <v>25</v>
      </c>
      <c r="B51" s="60" t="s">
        <v>111</v>
      </c>
      <c r="C51" s="61" t="s">
        <v>6</v>
      </c>
      <c r="D51" s="61" t="s">
        <v>8</v>
      </c>
      <c r="E51" s="61" t="s">
        <v>7</v>
      </c>
      <c r="F51" s="61" t="s">
        <v>125</v>
      </c>
      <c r="G51" s="61" t="str">
        <f t="shared" si="10"/>
        <v>Euribor1M</v>
      </c>
      <c r="H51" s="59" t="str">
        <f t="shared" si="11"/>
        <v>EURAB1E29Y_LCHQuote</v>
      </c>
      <c r="I51" s="155">
        <v>0</v>
      </c>
      <c r="J51" s="64"/>
      <c r="K51" s="64"/>
      <c r="M51" s="10" t="str">
        <f t="shared" si="8"/>
        <v>Sw</v>
      </c>
      <c r="N51" s="94" t="str">
        <f t="shared" si="9"/>
        <v>--</v>
      </c>
      <c r="O51" s="94" t="str">
        <f t="shared" si="9"/>
        <v>--</v>
      </c>
      <c r="P51" s="146" t="str">
        <f>IFERROR(_xll.qlRateHelperQuoteName(N51,Trigger),"--")</f>
        <v>--</v>
      </c>
      <c r="Q51" s="98" t="str">
        <f>IFERROR(_xll.qlRateHelperQuoteValue($N51,Trigger),"--")</f>
        <v>--</v>
      </c>
      <c r="R51" s="141" t="b">
        <v>0</v>
      </c>
      <c r="S51" s="94">
        <v>10</v>
      </c>
      <c r="T51" s="94">
        <v>1</v>
      </c>
      <c r="U51" s="99" t="str">
        <f>IFERROR(_xll.qlRateHelperEarliestDate(N51,Trigger),"--")</f>
        <v>--</v>
      </c>
      <c r="V51" s="99" t="str">
        <f>IFERROR(_xll.qlRateHelperPillarDate(N51,Trigger),"--")</f>
        <v>--</v>
      </c>
      <c r="X51" s="4" t="str">
        <f t="shared" si="12"/>
        <v/>
      </c>
      <c r="Y51" s="4" t="e">
        <v>#N/A</v>
      </c>
      <c r="Z51" s="4" t="e">
        <v>#N/A</v>
      </c>
      <c r="AA51" s="4" t="str">
        <f>IFERROR(_xll.qlRateHelperQuoteName(Y51,Trigger),"")</f>
        <v/>
      </c>
      <c r="AB51" s="70" t="str">
        <f>IFERROR(_xll.qlRateHelperRate(Y51,Trigger),"")</f>
        <v/>
      </c>
      <c r="AC51" s="104" t="str">
        <f>IF(ISERROR(_xll.qlSwapRateHelperSpread($Y51)),IF(ISERROR(_xll.qlFuturesRateHelperConvexityAdjustment($Y51)),"",_xll.qlFuturesRateHelperConvexityAdjustment($Y51)),_xll.qlSwapRateHelperSpread($Y51))</f>
        <v/>
      </c>
      <c r="AD51" s="5" t="str">
        <f>IFERROR(_xll.qlRateHelperEarliestDate(Y51,Trigger),"")</f>
        <v/>
      </c>
      <c r="AE51" s="5" t="str">
        <f>IFERROR(_xll.qlRateHelperPillarDate(Y51,Trigger),"")</f>
        <v/>
      </c>
      <c r="AF51" s="70" t="e">
        <v>#N/A</v>
      </c>
      <c r="AG51" s="77" t="e">
        <v>#N/A</v>
      </c>
      <c r="AI51" s="170" t="e">
        <v>#N/A</v>
      </c>
      <c r="AJ51" s="171" t="e">
        <v>#N/A</v>
      </c>
      <c r="AK51" s="173" t="e">
        <f t="shared" si="3"/>
        <v>#N/A</v>
      </c>
      <c r="AL51" s="80" t="e">
        <v>#N/A</v>
      </c>
      <c r="AM51" s="162" t="e">
        <f t="shared" si="4"/>
        <v>#N/A</v>
      </c>
    </row>
    <row r="52" spans="1:39" ht="11.25" customHeight="1" x14ac:dyDescent="0.2">
      <c r="A52" s="59" t="s">
        <v>25</v>
      </c>
      <c r="B52" s="60" t="s">
        <v>66</v>
      </c>
      <c r="C52" s="61" t="s">
        <v>6</v>
      </c>
      <c r="D52" s="61" t="s">
        <v>8</v>
      </c>
      <c r="E52" s="61" t="s">
        <v>7</v>
      </c>
      <c r="F52" s="61" t="s">
        <v>125</v>
      </c>
      <c r="G52" s="61" t="str">
        <f t="shared" si="10"/>
        <v>Euribor1M</v>
      </c>
      <c r="H52" s="59" t="str">
        <f t="shared" si="11"/>
        <v>EURAB1E30Y_LCHQuote</v>
      </c>
      <c r="I52" s="155">
        <v>0</v>
      </c>
      <c r="J52" s="64"/>
      <c r="K52" s="64"/>
      <c r="M52" s="10" t="str">
        <f t="shared" si="8"/>
        <v>Sw</v>
      </c>
      <c r="N52" s="94" t="str">
        <f t="shared" si="9"/>
        <v>--</v>
      </c>
      <c r="O52" s="94" t="str">
        <f t="shared" si="9"/>
        <v>--</v>
      </c>
      <c r="P52" s="146" t="str">
        <f>IFERROR(_xll.qlRateHelperQuoteName(N52,Trigger),"--")</f>
        <v>--</v>
      </c>
      <c r="Q52" s="98" t="str">
        <f>IFERROR(_xll.qlRateHelperQuoteValue($N52,Trigger),"--")</f>
        <v>--</v>
      </c>
      <c r="R52" s="141" t="b">
        <v>0</v>
      </c>
      <c r="S52" s="94">
        <v>10</v>
      </c>
      <c r="T52" s="94">
        <v>1</v>
      </c>
      <c r="U52" s="99" t="str">
        <f>IFERROR(_xll.qlRateHelperEarliestDate(N52,Trigger),"--")</f>
        <v>--</v>
      </c>
      <c r="V52" s="99" t="str">
        <f>IFERROR(_xll.qlRateHelperPillarDate(N52,Trigger),"--")</f>
        <v>--</v>
      </c>
      <c r="X52" s="4" t="str">
        <f t="shared" si="12"/>
        <v/>
      </c>
      <c r="Y52" s="4" t="e">
        <v>#N/A</v>
      </c>
      <c r="Z52" s="4" t="e">
        <v>#N/A</v>
      </c>
      <c r="AA52" s="4" t="str">
        <f>IFERROR(_xll.qlRateHelperQuoteName(Y52,Trigger),"")</f>
        <v/>
      </c>
      <c r="AB52" s="70" t="str">
        <f>IFERROR(_xll.qlRateHelperRate(Y52,Trigger),"")</f>
        <v/>
      </c>
      <c r="AC52" s="104" t="str">
        <f>IF(ISERROR(_xll.qlSwapRateHelperSpread($Y52)),IF(ISERROR(_xll.qlFuturesRateHelperConvexityAdjustment($Y52)),"",_xll.qlFuturesRateHelperConvexityAdjustment($Y52)),_xll.qlSwapRateHelperSpread($Y52))</f>
        <v/>
      </c>
      <c r="AD52" s="5" t="str">
        <f>IFERROR(_xll.qlRateHelperEarliestDate(Y52,Trigger),"")</f>
        <v/>
      </c>
      <c r="AE52" s="5" t="str">
        <f>IFERROR(_xll.qlRateHelperPillarDate(Y52,Trigger),"")</f>
        <v/>
      </c>
      <c r="AF52" s="70" t="e">
        <v>#N/A</v>
      </c>
      <c r="AG52" s="77" t="e">
        <v>#N/A</v>
      </c>
      <c r="AI52" s="170" t="e">
        <v>#N/A</v>
      </c>
      <c r="AJ52" s="171" t="e">
        <v>#N/A</v>
      </c>
      <c r="AK52" s="173" t="e">
        <f t="shared" si="3"/>
        <v>#N/A</v>
      </c>
      <c r="AL52" s="80" t="e">
        <v>#N/A</v>
      </c>
      <c r="AM52" s="162" t="e">
        <f t="shared" si="4"/>
        <v>#N/A</v>
      </c>
    </row>
    <row r="53" spans="1:39" ht="11.25" customHeight="1" x14ac:dyDescent="0.2">
      <c r="A53" s="59" t="s">
        <v>25</v>
      </c>
      <c r="B53" s="60" t="s">
        <v>67</v>
      </c>
      <c r="C53" s="61" t="s">
        <v>6</v>
      </c>
      <c r="D53" s="61" t="s">
        <v>8</v>
      </c>
      <c r="E53" s="61" t="s">
        <v>7</v>
      </c>
      <c r="F53" s="61" t="s">
        <v>125</v>
      </c>
      <c r="G53" s="61" t="str">
        <f t="shared" si="10"/>
        <v>Euribor1M</v>
      </c>
      <c r="H53" s="59" t="str">
        <f t="shared" si="11"/>
        <v>EURAB1E35Y_LCHQuote</v>
      </c>
      <c r="I53" s="155">
        <v>0</v>
      </c>
      <c r="J53" s="64"/>
      <c r="K53" s="64"/>
      <c r="M53" s="68" t="str">
        <f t="shared" ref="M53:M89" si="13">A59</f>
        <v>BasSw</v>
      </c>
      <c r="N53" s="131" t="str">
        <f t="shared" ref="N53:O89" si="14">IF(ISBLANK(J59),"--",J59)</f>
        <v>--</v>
      </c>
      <c r="O53" s="131" t="str">
        <f t="shared" si="14"/>
        <v>--</v>
      </c>
      <c r="P53" s="145" t="str">
        <f>IFERROR(_xll.qlRateHelperQuoteName(N53,Trigger),"--")</f>
        <v>--</v>
      </c>
      <c r="Q53" s="133" t="str">
        <f>IFERROR(_xll.qlRateHelperQuoteValue($N53,Trigger),"--")</f>
        <v>--</v>
      </c>
      <c r="R53" s="137" t="b">
        <v>0</v>
      </c>
      <c r="S53" s="131">
        <v>10</v>
      </c>
      <c r="T53" s="131">
        <v>1</v>
      </c>
      <c r="U53" s="134" t="str">
        <f>IFERROR(_xll.qlRateHelperEarliestDate(N53,Trigger),"--")</f>
        <v>--</v>
      </c>
      <c r="V53" s="134" t="str">
        <f>IFERROR(_xll.qlRateHelperPillarDate(N53,Trigger),"--")</f>
        <v>--</v>
      </c>
      <c r="X53" s="4" t="str">
        <f t="shared" si="12"/>
        <v/>
      </c>
      <c r="Y53" s="4" t="e">
        <v>#N/A</v>
      </c>
      <c r="Z53" s="4" t="e">
        <v>#N/A</v>
      </c>
      <c r="AA53" s="4" t="str">
        <f>IFERROR(_xll.qlRateHelperQuoteName(Y53,Trigger),"")</f>
        <v/>
      </c>
      <c r="AB53" s="70" t="str">
        <f>IFERROR(_xll.qlRateHelperRate(Y53,Trigger),"")</f>
        <v/>
      </c>
      <c r="AC53" s="104" t="str">
        <f>IF(ISERROR(_xll.qlSwapRateHelperSpread($Y53)),IF(ISERROR(_xll.qlFuturesRateHelperConvexityAdjustment($Y53)),"",_xll.qlFuturesRateHelperConvexityAdjustment($Y53)),_xll.qlSwapRateHelperSpread($Y53))</f>
        <v/>
      </c>
      <c r="AD53" s="5" t="str">
        <f>IFERROR(_xll.qlRateHelperEarliestDate(Y53,Trigger),"")</f>
        <v/>
      </c>
      <c r="AE53" s="5" t="str">
        <f>IFERROR(_xll.qlRateHelperPillarDate(Y53,Trigger),"")</f>
        <v/>
      </c>
      <c r="AF53" s="70" t="e">
        <v>#N/A</v>
      </c>
      <c r="AG53" s="77" t="e">
        <v>#N/A</v>
      </c>
      <c r="AI53" s="170" t="e">
        <v>#N/A</v>
      </c>
      <c r="AJ53" s="171" t="e">
        <v>#N/A</v>
      </c>
      <c r="AK53" s="173" t="e">
        <f t="shared" si="3"/>
        <v>#N/A</v>
      </c>
      <c r="AL53" s="80" t="e">
        <v>#N/A</v>
      </c>
      <c r="AM53" s="162" t="e">
        <f t="shared" si="4"/>
        <v>#N/A</v>
      </c>
    </row>
    <row r="54" spans="1:39" ht="11.25" customHeight="1" x14ac:dyDescent="0.2">
      <c r="A54" s="59" t="s">
        <v>25</v>
      </c>
      <c r="B54" s="60" t="s">
        <v>68</v>
      </c>
      <c r="C54" s="61" t="s">
        <v>6</v>
      </c>
      <c r="D54" s="61" t="s">
        <v>8</v>
      </c>
      <c r="E54" s="61" t="s">
        <v>7</v>
      </c>
      <c r="F54" s="61" t="s">
        <v>125</v>
      </c>
      <c r="G54" s="61" t="str">
        <f t="shared" si="10"/>
        <v>Euribor1M</v>
      </c>
      <c r="H54" s="59" t="str">
        <f t="shared" si="11"/>
        <v>EURAB1E40Y_LCHQuote</v>
      </c>
      <c r="I54" s="155">
        <v>0</v>
      </c>
      <c r="J54" s="64"/>
      <c r="K54" s="64"/>
      <c r="M54" s="10" t="str">
        <f t="shared" si="13"/>
        <v>BasSw</v>
      </c>
      <c r="N54" s="94" t="str">
        <f t="shared" si="14"/>
        <v>--</v>
      </c>
      <c r="O54" s="94" t="str">
        <f t="shared" si="14"/>
        <v>--</v>
      </c>
      <c r="P54" s="146" t="str">
        <f>IFERROR(_xll.qlRateHelperQuoteName(N54,Trigger),"--")</f>
        <v>--</v>
      </c>
      <c r="Q54" s="98" t="str">
        <f>IFERROR(_xll.qlRateHelperQuoteValue($N54,Trigger),"--")</f>
        <v>--</v>
      </c>
      <c r="R54" s="141" t="b">
        <v>0</v>
      </c>
      <c r="S54" s="94">
        <v>10</v>
      </c>
      <c r="T54" s="94">
        <v>1</v>
      </c>
      <c r="U54" s="99" t="str">
        <f>IFERROR(_xll.qlRateHelperEarliestDate(N54,Trigger),"--")</f>
        <v>--</v>
      </c>
      <c r="V54" s="99" t="str">
        <f>IFERROR(_xll.qlRateHelperPillarDate(N54,Trigger),"--")</f>
        <v>--</v>
      </c>
      <c r="X54" s="4" t="str">
        <f t="shared" si="12"/>
        <v/>
      </c>
      <c r="Y54" s="4" t="e">
        <v>#N/A</v>
      </c>
      <c r="Z54" s="4" t="e">
        <v>#N/A</v>
      </c>
      <c r="AA54" s="4" t="str">
        <f>IFERROR(_xll.qlRateHelperQuoteName(Y54,Trigger),"")</f>
        <v/>
      </c>
      <c r="AB54" s="70" t="str">
        <f>IFERROR(_xll.qlRateHelperRate(Y54,Trigger),"")</f>
        <v/>
      </c>
      <c r="AC54" s="104" t="str">
        <f>IF(ISERROR(_xll.qlSwapRateHelperSpread($Y54)),IF(ISERROR(_xll.qlFuturesRateHelperConvexityAdjustment($Y54)),"",_xll.qlFuturesRateHelperConvexityAdjustment($Y54)),_xll.qlSwapRateHelperSpread($Y54))</f>
        <v/>
      </c>
      <c r="AD54" s="5" t="str">
        <f>IFERROR(_xll.qlRateHelperEarliestDate(Y54,Trigger),"")</f>
        <v/>
      </c>
      <c r="AE54" s="5" t="str">
        <f>IFERROR(_xll.qlRateHelperPillarDate(Y54,Trigger),"")</f>
        <v/>
      </c>
      <c r="AF54" s="70" t="e">
        <v>#N/A</v>
      </c>
      <c r="AG54" s="77" t="e">
        <v>#N/A</v>
      </c>
      <c r="AI54" s="170" t="e">
        <v>#N/A</v>
      </c>
      <c r="AJ54" s="171" t="e">
        <v>#N/A</v>
      </c>
      <c r="AK54" s="173" t="e">
        <f t="shared" si="3"/>
        <v>#N/A</v>
      </c>
      <c r="AL54" s="80" t="e">
        <v>#N/A</v>
      </c>
      <c r="AM54" s="162" t="e">
        <f t="shared" si="4"/>
        <v>#N/A</v>
      </c>
    </row>
    <row r="55" spans="1:39" ht="11.25" customHeight="1" x14ac:dyDescent="0.2">
      <c r="A55" s="59" t="s">
        <v>25</v>
      </c>
      <c r="B55" s="60" t="s">
        <v>69</v>
      </c>
      <c r="C55" s="61" t="s">
        <v>6</v>
      </c>
      <c r="D55" s="61" t="s">
        <v>8</v>
      </c>
      <c r="E55" s="61" t="s">
        <v>7</v>
      </c>
      <c r="F55" s="61" t="s">
        <v>125</v>
      </c>
      <c r="G55" s="61" t="str">
        <f t="shared" si="10"/>
        <v>Euribor1M</v>
      </c>
      <c r="H55" s="59" t="str">
        <f t="shared" si="11"/>
        <v>EURAB1E50Y_LCHQuote</v>
      </c>
      <c r="I55" s="155">
        <v>0</v>
      </c>
      <c r="J55" s="64"/>
      <c r="K55" s="64"/>
      <c r="M55" s="10" t="str">
        <f t="shared" si="13"/>
        <v>BasSw</v>
      </c>
      <c r="N55" s="94" t="str">
        <f t="shared" si="14"/>
        <v>--</v>
      </c>
      <c r="O55" s="94" t="str">
        <f t="shared" si="14"/>
        <v>--</v>
      </c>
      <c r="P55" s="146" t="str">
        <f>IFERROR(_xll.qlRateHelperQuoteName(N55,Trigger),"--")</f>
        <v>--</v>
      </c>
      <c r="Q55" s="98" t="str">
        <f>IFERROR(_xll.qlRateHelperQuoteValue($N55,Trigger),"--")</f>
        <v>--</v>
      </c>
      <c r="R55" s="141" t="b">
        <v>0</v>
      </c>
      <c r="S55" s="94">
        <v>10</v>
      </c>
      <c r="T55" s="94">
        <v>1</v>
      </c>
      <c r="U55" s="99" t="str">
        <f>IFERROR(_xll.qlRateHelperEarliestDate(N55,Trigger),"--")</f>
        <v>--</v>
      </c>
      <c r="V55" s="99" t="str">
        <f>IFERROR(_xll.qlRateHelperPillarDate(N55,Trigger),"--")</f>
        <v>--</v>
      </c>
      <c r="X55" s="4" t="str">
        <f t="shared" si="12"/>
        <v/>
      </c>
      <c r="Y55" s="4" t="e">
        <v>#N/A</v>
      </c>
      <c r="Z55" s="4" t="e">
        <v>#N/A</v>
      </c>
      <c r="AA55" s="4" t="str">
        <f>IFERROR(_xll.qlRateHelperQuoteName(Y55,Trigger),"")</f>
        <v/>
      </c>
      <c r="AB55" s="70" t="str">
        <f>IFERROR(_xll.qlRateHelperRate(Y55,Trigger),"")</f>
        <v/>
      </c>
      <c r="AC55" s="104" t="str">
        <f>IF(ISERROR(_xll.qlSwapRateHelperSpread($Y55)),IF(ISERROR(_xll.qlFuturesRateHelperConvexityAdjustment($Y55)),"",_xll.qlFuturesRateHelperConvexityAdjustment($Y55)),_xll.qlSwapRateHelperSpread($Y55))</f>
        <v/>
      </c>
      <c r="AD55" s="5" t="str">
        <f>IFERROR(_xll.qlRateHelperEarliestDate(Y55,Trigger),"")</f>
        <v/>
      </c>
      <c r="AE55" s="5" t="str">
        <f>IFERROR(_xll.qlRateHelperPillarDate(Y55,Trigger),"")</f>
        <v/>
      </c>
      <c r="AF55" s="70" t="e">
        <v>#N/A</v>
      </c>
      <c r="AG55" s="77" t="e">
        <v>#N/A</v>
      </c>
      <c r="AI55" s="170" t="e">
        <v>#N/A</v>
      </c>
      <c r="AJ55" s="171" t="e">
        <v>#N/A</v>
      </c>
      <c r="AK55" s="173" t="e">
        <f t="shared" si="3"/>
        <v>#N/A</v>
      </c>
      <c r="AL55" s="80" t="e">
        <v>#N/A</v>
      </c>
      <c r="AM55" s="162" t="e">
        <f t="shared" si="4"/>
        <v>#N/A</v>
      </c>
    </row>
    <row r="56" spans="1:39" ht="11.25" customHeight="1" x14ac:dyDescent="0.2">
      <c r="A56" s="1" t="s">
        <v>25</v>
      </c>
      <c r="B56" s="8" t="s">
        <v>112</v>
      </c>
      <c r="C56" s="7" t="s">
        <v>6</v>
      </c>
      <c r="D56" s="7" t="s">
        <v>8</v>
      </c>
      <c r="E56" s="7" t="s">
        <v>7</v>
      </c>
      <c r="F56" s="7" t="s">
        <v>125</v>
      </c>
      <c r="G56" s="7" t="str">
        <f t="shared" si="10"/>
        <v>Euribor1M</v>
      </c>
      <c r="H56" s="1" t="str">
        <f t="shared" si="11"/>
        <v>EURAB1E60Y_LCHQuote</v>
      </c>
      <c r="I56" s="156">
        <v>0</v>
      </c>
      <c r="J56" s="3"/>
      <c r="K56" s="3"/>
      <c r="M56" s="10" t="str">
        <f t="shared" si="13"/>
        <v>BasSw</v>
      </c>
      <c r="N56" s="94" t="str">
        <f t="shared" si="14"/>
        <v>--</v>
      </c>
      <c r="O56" s="94" t="str">
        <f t="shared" si="14"/>
        <v>--</v>
      </c>
      <c r="P56" s="146" t="str">
        <f>IFERROR(_xll.qlRateHelperQuoteName(N56,Trigger),"--")</f>
        <v>--</v>
      </c>
      <c r="Q56" s="98" t="str">
        <f>IFERROR(_xll.qlRateHelperQuoteValue($N56,Trigger),"--")</f>
        <v>--</v>
      </c>
      <c r="R56" s="141" t="b">
        <v>0</v>
      </c>
      <c r="S56" s="94">
        <v>10</v>
      </c>
      <c r="T56" s="94">
        <v>1</v>
      </c>
      <c r="U56" s="99" t="str">
        <f>IFERROR(_xll.qlRateHelperEarliestDate(N56,Trigger),"--")</f>
        <v>--</v>
      </c>
      <c r="V56" s="99" t="str">
        <f>IFERROR(_xll.qlRateHelperPillarDate(N56,Trigger),"--")</f>
        <v>--</v>
      </c>
      <c r="X56" s="4" t="str">
        <f t="shared" si="12"/>
        <v/>
      </c>
      <c r="Y56" s="4" t="e">
        <v>#N/A</v>
      </c>
      <c r="Z56" s="4" t="e">
        <v>#N/A</v>
      </c>
      <c r="AA56" s="4" t="str">
        <f>IFERROR(_xll.qlRateHelperQuoteName(Y56,Trigger),"")</f>
        <v/>
      </c>
      <c r="AB56" s="70" t="str">
        <f>IFERROR(_xll.qlRateHelperRate(Y56,Trigger),"")</f>
        <v/>
      </c>
      <c r="AC56" s="104" t="str">
        <f>IF(ISERROR(_xll.qlSwapRateHelperSpread($Y56)),IF(ISERROR(_xll.qlFuturesRateHelperConvexityAdjustment($Y56)),"",_xll.qlFuturesRateHelperConvexityAdjustment($Y56)),_xll.qlSwapRateHelperSpread($Y56))</f>
        <v/>
      </c>
      <c r="AD56" s="5" t="str">
        <f>IFERROR(_xll.qlRateHelperEarliestDate(Y56,Trigger),"")</f>
        <v/>
      </c>
      <c r="AE56" s="5" t="str">
        <f>IFERROR(_xll.qlRateHelperPillarDate(Y56,Trigger),"")</f>
        <v/>
      </c>
      <c r="AF56" s="70" t="e">
        <v>#N/A</v>
      </c>
      <c r="AG56" s="77" t="e">
        <v>#N/A</v>
      </c>
      <c r="AI56" s="170" t="e">
        <v>#N/A</v>
      </c>
      <c r="AJ56" s="171" t="e">
        <v>#N/A</v>
      </c>
      <c r="AK56" s="173" t="e">
        <f t="shared" si="3"/>
        <v>#N/A</v>
      </c>
      <c r="AL56" s="80" t="e">
        <v>#N/A</v>
      </c>
      <c r="AM56" s="162" t="e">
        <f t="shared" si="4"/>
        <v>#N/A</v>
      </c>
    </row>
    <row r="57" spans="1:39" ht="11.25" customHeight="1" x14ac:dyDescent="0.2">
      <c r="G57" s="50" t="s">
        <v>126</v>
      </c>
      <c r="H57" s="103" t="s">
        <v>130</v>
      </c>
      <c r="M57" s="10" t="str">
        <f t="shared" si="13"/>
        <v>BasSw</v>
      </c>
      <c r="N57" s="94" t="str">
        <f t="shared" si="14"/>
        <v>obj_005ef#0005</v>
      </c>
      <c r="O57" s="94" t="str">
        <f t="shared" si="14"/>
        <v>obj_00595#0005</v>
      </c>
      <c r="P57" s="146" t="str">
        <f>IFERROR(_xll.qlRateHelperQuoteName(N57,Trigger),"--")</f>
        <v>EUR1E6E2Y_LCHQuote</v>
      </c>
      <c r="Q57" s="98">
        <f>IFERROR(_xll.qlRateHelperQuoteValue($N57,Trigger),"--")</f>
        <v>-7.7074999999999995E-4</v>
      </c>
      <c r="R57" s="141" t="b">
        <v>1</v>
      </c>
      <c r="S57" s="94">
        <v>10</v>
      </c>
      <c r="T57" s="94">
        <v>1</v>
      </c>
      <c r="U57" s="99">
        <f>IFERROR(_xll.qlRateHelperEarliestDate(N57,Trigger),"--")</f>
        <v>42250</v>
      </c>
      <c r="V57" s="99">
        <f>IFERROR(_xll.qlRateHelperPillarDate(N57,Trigger),"--")</f>
        <v>42982</v>
      </c>
      <c r="X57" s="4" t="str">
        <f t="shared" si="12"/>
        <v/>
      </c>
      <c r="Y57" s="4" t="e">
        <v>#N/A</v>
      </c>
      <c r="Z57" s="4" t="e">
        <v>#N/A</v>
      </c>
      <c r="AA57" s="4" t="str">
        <f>IFERROR(_xll.qlRateHelperQuoteName(Y57,Trigger),"")</f>
        <v/>
      </c>
      <c r="AB57" s="70" t="str">
        <f>IFERROR(_xll.qlRateHelperRate(Y57,Trigger),"")</f>
        <v/>
      </c>
      <c r="AC57" s="104" t="str">
        <f>IF(ISERROR(_xll.qlSwapRateHelperSpread($Y57)),IF(ISERROR(_xll.qlFuturesRateHelperConvexityAdjustment($Y57)),"",_xll.qlFuturesRateHelperConvexityAdjustment($Y57)),_xll.qlSwapRateHelperSpread($Y57))</f>
        <v/>
      </c>
      <c r="AD57" s="5" t="str">
        <f>IFERROR(_xll.qlRateHelperEarliestDate(Y57,Trigger),"")</f>
        <v/>
      </c>
      <c r="AE57" s="5" t="str">
        <f>IFERROR(_xll.qlRateHelperPillarDate(Y57,Trigger),"")</f>
        <v/>
      </c>
      <c r="AF57" s="70" t="e">
        <v>#N/A</v>
      </c>
      <c r="AG57" s="77" t="e">
        <v>#N/A</v>
      </c>
      <c r="AI57" s="170" t="e">
        <v>#N/A</v>
      </c>
      <c r="AJ57" s="171" t="e">
        <v>#N/A</v>
      </c>
      <c r="AK57" s="173" t="e">
        <f t="shared" si="3"/>
        <v>#N/A</v>
      </c>
      <c r="AL57" s="80" t="e">
        <v>#N/A</v>
      </c>
      <c r="AM57" s="162" t="e">
        <f t="shared" si="4"/>
        <v>#N/A</v>
      </c>
    </row>
    <row r="58" spans="1:39" ht="11.25" customHeight="1" x14ac:dyDescent="0.2">
      <c r="A58" s="65" t="s">
        <v>9</v>
      </c>
      <c r="B58" s="65" t="s">
        <v>29</v>
      </c>
      <c r="C58" s="65" t="s">
        <v>114</v>
      </c>
      <c r="D58" s="65" t="s">
        <v>5</v>
      </c>
      <c r="E58" s="65" t="s">
        <v>34</v>
      </c>
      <c r="F58" s="65" t="s">
        <v>115</v>
      </c>
      <c r="G58" s="65" t="s">
        <v>4</v>
      </c>
      <c r="H58" s="65" t="s">
        <v>1</v>
      </c>
      <c r="I58" s="65" t="s">
        <v>113</v>
      </c>
      <c r="J58" s="65" t="s">
        <v>150</v>
      </c>
      <c r="K58" s="65" t="s">
        <v>151</v>
      </c>
      <c r="M58" s="10" t="str">
        <f t="shared" si="13"/>
        <v>BasSw</v>
      </c>
      <c r="N58" s="94" t="str">
        <f t="shared" si="14"/>
        <v>obj_005f7#0005</v>
      </c>
      <c r="O58" s="94" t="str">
        <f t="shared" si="14"/>
        <v>obj_00597#0005</v>
      </c>
      <c r="P58" s="146" t="str">
        <f>IFERROR(_xll.qlRateHelperQuoteName(N58,Trigger),"--")</f>
        <v>EUR1E6E3Y_LCHQuote</v>
      </c>
      <c r="Q58" s="98">
        <f>IFERROR(_xll.qlRateHelperQuoteValue($N58,Trigger),"--")</f>
        <v>-2.5000000000000001E-5</v>
      </c>
      <c r="R58" s="141" t="b">
        <v>1</v>
      </c>
      <c r="S58" s="94">
        <v>10</v>
      </c>
      <c r="T58" s="94">
        <v>1</v>
      </c>
      <c r="U58" s="99">
        <f>IFERROR(_xll.qlRateHelperEarliestDate(N58,Trigger),"--")</f>
        <v>42250</v>
      </c>
      <c r="V58" s="99">
        <f>IFERROR(_xll.qlRateHelperPillarDate(N58,Trigger),"--")</f>
        <v>43346</v>
      </c>
      <c r="X58" s="4" t="str">
        <f t="shared" si="12"/>
        <v/>
      </c>
      <c r="Y58" s="4" t="e">
        <v>#N/A</v>
      </c>
      <c r="Z58" s="4" t="e">
        <v>#N/A</v>
      </c>
      <c r="AA58" s="4" t="str">
        <f>IFERROR(_xll.qlRateHelperQuoteName(Y58,Trigger),"")</f>
        <v/>
      </c>
      <c r="AB58" s="70" t="str">
        <f>IFERROR(_xll.qlRateHelperRate(Y58,Trigger),"")</f>
        <v/>
      </c>
      <c r="AC58" s="104" t="str">
        <f>IF(ISERROR(_xll.qlSwapRateHelperSpread($Y58)),IF(ISERROR(_xll.qlFuturesRateHelperConvexityAdjustment($Y58)),"",_xll.qlFuturesRateHelperConvexityAdjustment($Y58)),_xll.qlSwapRateHelperSpread($Y58))</f>
        <v/>
      </c>
      <c r="AD58" s="5" t="str">
        <f>IFERROR(_xll.qlRateHelperEarliestDate(Y58,Trigger),"")</f>
        <v/>
      </c>
      <c r="AE58" s="5" t="str">
        <f>IFERROR(_xll.qlRateHelperPillarDate(Y58,Trigger),"")</f>
        <v/>
      </c>
      <c r="AF58" s="70" t="e">
        <v>#N/A</v>
      </c>
      <c r="AG58" s="77" t="e">
        <v>#N/A</v>
      </c>
      <c r="AI58" s="170" t="e">
        <v>#N/A</v>
      </c>
      <c r="AJ58" s="171" t="e">
        <v>#N/A</v>
      </c>
      <c r="AK58" s="173" t="e">
        <f t="shared" si="3"/>
        <v>#N/A</v>
      </c>
      <c r="AL58" s="80" t="e">
        <v>#N/A</v>
      </c>
      <c r="AM58" s="162" t="e">
        <f t="shared" si="4"/>
        <v>#N/A</v>
      </c>
    </row>
    <row r="59" spans="1:39" ht="11.25" customHeight="1" x14ac:dyDescent="0.2">
      <c r="A59" s="59" t="s">
        <v>118</v>
      </c>
      <c r="B59" s="60" t="s">
        <v>28</v>
      </c>
      <c r="C59" s="61" t="s">
        <v>6</v>
      </c>
      <c r="D59" s="61" t="s">
        <v>8</v>
      </c>
      <c r="E59" s="61" t="s">
        <v>7</v>
      </c>
      <c r="F59" s="61" t="s">
        <v>27</v>
      </c>
      <c r="G59" s="61" t="str">
        <f t="shared" ref="G59:G95" si="15">PROPER(Currency)&amp;FamilyName&amp;Tenor</f>
        <v>Euribor1M</v>
      </c>
      <c r="H59" s="59" t="str">
        <f t="shared" ref="H59:H95" si="16">IF(LCHQuoteOverwrite,Currency&amp;"1E6E"&amp;B59&amp;LCHQuoteSuffix,Currency&amp;$G$57&amp;$H$57&amp;"BASIS"&amp;B59&amp;QuoteSuffix)</f>
        <v>EUR1E6E1Y_LCHQuote</v>
      </c>
      <c r="I59" s="155">
        <v>0</v>
      </c>
      <c r="J59" s="64"/>
      <c r="K59" s="64"/>
      <c r="M59" s="10" t="str">
        <f t="shared" si="13"/>
        <v>BasSw</v>
      </c>
      <c r="N59" s="94" t="str">
        <f t="shared" si="14"/>
        <v>obj_00600#0005</v>
      </c>
      <c r="O59" s="94" t="str">
        <f t="shared" si="14"/>
        <v>obj_0058f#0005</v>
      </c>
      <c r="P59" s="146" t="str">
        <f>IFERROR(_xll.qlRateHelperQuoteName(N59,Trigger),"--")</f>
        <v>EUR1E6E4Y_LCHQuote</v>
      </c>
      <c r="Q59" s="98">
        <f>IFERROR(_xll.qlRateHelperQuoteValue($N59,Trigger),"--")</f>
        <v>1.1312500000000001E-3</v>
      </c>
      <c r="R59" s="141" t="b">
        <v>1</v>
      </c>
      <c r="S59" s="94">
        <v>10</v>
      </c>
      <c r="T59" s="94">
        <v>1</v>
      </c>
      <c r="U59" s="99">
        <f>IFERROR(_xll.qlRateHelperEarliestDate(N59,Trigger),"--")</f>
        <v>42250</v>
      </c>
      <c r="V59" s="99">
        <f>IFERROR(_xll.qlRateHelperPillarDate(N59,Trigger),"--")</f>
        <v>43711</v>
      </c>
      <c r="X59" s="4" t="str">
        <f t="shared" si="12"/>
        <v/>
      </c>
      <c r="Y59" s="4" t="e">
        <v>#N/A</v>
      </c>
      <c r="Z59" s="4" t="e">
        <v>#N/A</v>
      </c>
      <c r="AA59" s="4" t="str">
        <f>IFERROR(_xll.qlRateHelperQuoteName(Y59,Trigger),"")</f>
        <v/>
      </c>
      <c r="AB59" s="70" t="str">
        <f>IFERROR(_xll.qlRateHelperRate(Y59,Trigger),"")</f>
        <v/>
      </c>
      <c r="AC59" s="104" t="str">
        <f>IF(ISERROR(_xll.qlSwapRateHelperSpread($Y59)),IF(ISERROR(_xll.qlFuturesRateHelperConvexityAdjustment($Y59)),"",_xll.qlFuturesRateHelperConvexityAdjustment($Y59)),_xll.qlSwapRateHelperSpread($Y59))</f>
        <v/>
      </c>
      <c r="AD59" s="5" t="str">
        <f>IFERROR(_xll.qlRateHelperEarliestDate(Y59,Trigger),"")</f>
        <v/>
      </c>
      <c r="AE59" s="5" t="str">
        <f>IFERROR(_xll.qlRateHelperPillarDate(Y59,Trigger),"")</f>
        <v/>
      </c>
      <c r="AF59" s="70" t="e">
        <v>#N/A</v>
      </c>
      <c r="AG59" s="77" t="e">
        <v>#N/A</v>
      </c>
      <c r="AI59" s="170" t="e">
        <v>#N/A</v>
      </c>
      <c r="AJ59" s="171" t="e">
        <v>#N/A</v>
      </c>
      <c r="AK59" s="173" t="e">
        <f t="shared" si="3"/>
        <v>#N/A</v>
      </c>
      <c r="AL59" s="80" t="e">
        <v>#N/A</v>
      </c>
      <c r="AM59" s="162" t="e">
        <f t="shared" si="4"/>
        <v>#N/A</v>
      </c>
    </row>
    <row r="60" spans="1:39" ht="11.25" customHeight="1" x14ac:dyDescent="0.2">
      <c r="A60" s="59" t="s">
        <v>118</v>
      </c>
      <c r="B60" s="60" t="s">
        <v>49</v>
      </c>
      <c r="C60" s="61" t="s">
        <v>6</v>
      </c>
      <c r="D60" s="61" t="s">
        <v>8</v>
      </c>
      <c r="E60" s="61" t="s">
        <v>7</v>
      </c>
      <c r="F60" s="61" t="s">
        <v>27</v>
      </c>
      <c r="G60" s="61" t="str">
        <f t="shared" si="15"/>
        <v>Euribor1M</v>
      </c>
      <c r="H60" s="59" t="str">
        <f t="shared" si="16"/>
        <v>EUR1E6E15M_LCHQuote</v>
      </c>
      <c r="I60" s="155">
        <v>0</v>
      </c>
      <c r="J60" s="64"/>
      <c r="K60" s="64"/>
      <c r="M60" s="10" t="str">
        <f t="shared" si="13"/>
        <v>BasSw</v>
      </c>
      <c r="N60" s="94" t="str">
        <f t="shared" si="14"/>
        <v>obj_005ed#0005</v>
      </c>
      <c r="O60" s="94" t="str">
        <f t="shared" si="14"/>
        <v>obj_0058a#0005</v>
      </c>
      <c r="P60" s="146" t="str">
        <f>IFERROR(_xll.qlRateHelperQuoteName(N60,Trigger),"--")</f>
        <v>EUR1E6E5Y_LCHQuote</v>
      </c>
      <c r="Q60" s="98">
        <f>IFERROR(_xll.qlRateHelperQuoteValue($N60,Trigger),"--")</f>
        <v>2.4989999999999999E-3</v>
      </c>
      <c r="R60" s="141" t="b">
        <v>1</v>
      </c>
      <c r="S60" s="94">
        <v>10</v>
      </c>
      <c r="T60" s="94">
        <v>1</v>
      </c>
      <c r="U60" s="99">
        <f>IFERROR(_xll.qlRateHelperEarliestDate(N60,Trigger),"--")</f>
        <v>42250</v>
      </c>
      <c r="V60" s="99">
        <f>IFERROR(_xll.qlRateHelperPillarDate(N60,Trigger),"--")</f>
        <v>44077</v>
      </c>
      <c r="X60" s="4" t="str">
        <f t="shared" si="12"/>
        <v/>
      </c>
      <c r="Y60" s="4" t="e">
        <v>#N/A</v>
      </c>
      <c r="Z60" s="4" t="e">
        <v>#N/A</v>
      </c>
      <c r="AA60" s="4" t="str">
        <f>IFERROR(_xll.qlRateHelperQuoteName(Y60,Trigger),"")</f>
        <v/>
      </c>
      <c r="AB60" s="70" t="str">
        <f>IFERROR(_xll.qlRateHelperRate(Y60,Trigger),"")</f>
        <v/>
      </c>
      <c r="AC60" s="104" t="str">
        <f>IF(ISERROR(_xll.qlSwapRateHelperSpread($Y60)),IF(ISERROR(_xll.qlFuturesRateHelperConvexityAdjustment($Y60)),"",_xll.qlFuturesRateHelperConvexityAdjustment($Y60)),_xll.qlSwapRateHelperSpread($Y60))</f>
        <v/>
      </c>
      <c r="AD60" s="5" t="str">
        <f>IFERROR(_xll.qlRateHelperEarliestDate(Y60,Trigger),"")</f>
        <v/>
      </c>
      <c r="AE60" s="5" t="str">
        <f>IFERROR(_xll.qlRateHelperPillarDate(Y60,Trigger),"")</f>
        <v/>
      </c>
      <c r="AF60" s="70" t="e">
        <v>#N/A</v>
      </c>
      <c r="AG60" s="77" t="e">
        <v>#N/A</v>
      </c>
      <c r="AI60" s="170" t="e">
        <v>#N/A</v>
      </c>
      <c r="AJ60" s="171" t="e">
        <v>#N/A</v>
      </c>
      <c r="AK60" s="173" t="e">
        <f t="shared" si="3"/>
        <v>#N/A</v>
      </c>
      <c r="AL60" s="80" t="e">
        <v>#N/A</v>
      </c>
      <c r="AM60" s="162" t="e">
        <f t="shared" si="4"/>
        <v>#N/A</v>
      </c>
    </row>
    <row r="61" spans="1:39" ht="11.25" customHeight="1" x14ac:dyDescent="0.2">
      <c r="A61" s="59" t="s">
        <v>118</v>
      </c>
      <c r="B61" s="60" t="s">
        <v>50</v>
      </c>
      <c r="C61" s="61" t="s">
        <v>6</v>
      </c>
      <c r="D61" s="61" t="s">
        <v>8</v>
      </c>
      <c r="E61" s="61" t="s">
        <v>7</v>
      </c>
      <c r="F61" s="61" t="s">
        <v>27</v>
      </c>
      <c r="G61" s="61" t="str">
        <f t="shared" si="15"/>
        <v>Euribor1M</v>
      </c>
      <c r="H61" s="59" t="str">
        <f t="shared" si="16"/>
        <v>EUR1E6E18M_LCHQuote</v>
      </c>
      <c r="I61" s="155">
        <v>0</v>
      </c>
      <c r="J61" s="64"/>
      <c r="K61" s="64"/>
      <c r="M61" s="10" t="str">
        <f t="shared" si="13"/>
        <v>BasSw</v>
      </c>
      <c r="N61" s="94" t="str">
        <f t="shared" si="14"/>
        <v>obj_005f3#0005</v>
      </c>
      <c r="O61" s="94" t="str">
        <f t="shared" si="14"/>
        <v>obj_0058b#0005</v>
      </c>
      <c r="P61" s="146" t="str">
        <f>IFERROR(_xll.qlRateHelperQuoteName(N61,Trigger),"--")</f>
        <v>EUR1E6E6Y_LCHQuote</v>
      </c>
      <c r="Q61" s="98">
        <f>IFERROR(_xll.qlRateHelperQuoteValue($N61,Trigger),"--")</f>
        <v>3.9692499999999997E-3</v>
      </c>
      <c r="R61" s="141" t="b">
        <v>1</v>
      </c>
      <c r="S61" s="94">
        <v>10</v>
      </c>
      <c r="T61" s="94">
        <v>1</v>
      </c>
      <c r="U61" s="99">
        <f>IFERROR(_xll.qlRateHelperEarliestDate(N61,Trigger),"--")</f>
        <v>42250</v>
      </c>
      <c r="V61" s="99">
        <f>IFERROR(_xll.qlRateHelperPillarDate(N61,Trigger),"--")</f>
        <v>44442</v>
      </c>
      <c r="X61" s="4" t="str">
        <f t="shared" si="12"/>
        <v/>
      </c>
      <c r="Y61" s="4" t="e">
        <v>#N/A</v>
      </c>
      <c r="Z61" s="4" t="e">
        <v>#N/A</v>
      </c>
      <c r="AA61" s="4" t="str">
        <f>IFERROR(_xll.qlRateHelperQuoteName(Y61,Trigger),"")</f>
        <v/>
      </c>
      <c r="AB61" s="70" t="str">
        <f>IFERROR(_xll.qlRateHelperRate(Y61,Trigger),"")</f>
        <v/>
      </c>
      <c r="AC61" s="104" t="str">
        <f>IF(ISERROR(_xll.qlSwapRateHelperSpread($Y61)),IF(ISERROR(_xll.qlFuturesRateHelperConvexityAdjustment($Y61)),"",_xll.qlFuturesRateHelperConvexityAdjustment($Y61)),_xll.qlSwapRateHelperSpread($Y61))</f>
        <v/>
      </c>
      <c r="AD61" s="5" t="str">
        <f>IFERROR(_xll.qlRateHelperEarliestDate(Y61,Trigger),"")</f>
        <v/>
      </c>
      <c r="AE61" s="5" t="str">
        <f>IFERROR(_xll.qlRateHelperPillarDate(Y61,Trigger),"")</f>
        <v/>
      </c>
      <c r="AF61" s="70" t="e">
        <v>#N/A</v>
      </c>
      <c r="AG61" s="77" t="e">
        <v>#N/A</v>
      </c>
      <c r="AI61" s="170" t="e">
        <v>#N/A</v>
      </c>
      <c r="AJ61" s="171" t="e">
        <v>#N/A</v>
      </c>
      <c r="AK61" s="173" t="e">
        <f t="shared" si="3"/>
        <v>#N/A</v>
      </c>
      <c r="AL61" s="80" t="e">
        <v>#N/A</v>
      </c>
      <c r="AM61" s="162" t="e">
        <f t="shared" si="4"/>
        <v>#N/A</v>
      </c>
    </row>
    <row r="62" spans="1:39" ht="11.25" customHeight="1" x14ac:dyDescent="0.2">
      <c r="A62" s="59" t="s">
        <v>118</v>
      </c>
      <c r="B62" s="60" t="s">
        <v>51</v>
      </c>
      <c r="C62" s="61" t="s">
        <v>6</v>
      </c>
      <c r="D62" s="61" t="s">
        <v>8</v>
      </c>
      <c r="E62" s="61" t="s">
        <v>7</v>
      </c>
      <c r="F62" s="61" t="s">
        <v>27</v>
      </c>
      <c r="G62" s="61" t="str">
        <f t="shared" si="15"/>
        <v>Euribor1M</v>
      </c>
      <c r="H62" s="59" t="str">
        <f t="shared" si="16"/>
        <v>EUR1E6E21M_LCHQuote</v>
      </c>
      <c r="I62" s="155">
        <v>0</v>
      </c>
      <c r="J62" s="64"/>
      <c r="K62" s="64"/>
      <c r="M62" s="10" t="str">
        <f t="shared" si="13"/>
        <v>BasSw</v>
      </c>
      <c r="N62" s="94" t="str">
        <f t="shared" si="14"/>
        <v>obj_005f4#0005</v>
      </c>
      <c r="O62" s="94" t="str">
        <f t="shared" si="14"/>
        <v>obj_0058d#0005</v>
      </c>
      <c r="P62" s="146" t="str">
        <f>IFERROR(_xll.qlRateHelperQuoteName(N62,Trigger),"--")</f>
        <v>EUR1E6E7Y_LCHQuote</v>
      </c>
      <c r="Q62" s="98">
        <f>IFERROR(_xll.qlRateHelperQuoteValue($N62,Trigger),"--")</f>
        <v>5.4479999999999997E-3</v>
      </c>
      <c r="R62" s="141" t="b">
        <v>1</v>
      </c>
      <c r="S62" s="94">
        <v>10</v>
      </c>
      <c r="T62" s="94">
        <v>1</v>
      </c>
      <c r="U62" s="99">
        <f>IFERROR(_xll.qlRateHelperEarliestDate(N62,Trigger),"--")</f>
        <v>42250</v>
      </c>
      <c r="V62" s="99">
        <f>IFERROR(_xll.qlRateHelperPillarDate(N62,Trigger),"--")</f>
        <v>44809</v>
      </c>
      <c r="X62" s="4" t="str">
        <f t="shared" si="12"/>
        <v/>
      </c>
      <c r="Y62" s="4" t="e">
        <v>#N/A</v>
      </c>
      <c r="Z62" s="4" t="e">
        <v>#N/A</v>
      </c>
      <c r="AA62" s="4" t="str">
        <f>IFERROR(_xll.qlRateHelperQuoteName(Y62,Trigger),"")</f>
        <v/>
      </c>
      <c r="AB62" s="70" t="str">
        <f>IFERROR(_xll.qlRateHelperRate(Y62,Trigger),"")</f>
        <v/>
      </c>
      <c r="AC62" s="104" t="str">
        <f>IF(ISERROR(_xll.qlSwapRateHelperSpread($Y62)),IF(ISERROR(_xll.qlFuturesRateHelperConvexityAdjustment($Y62)),"",_xll.qlFuturesRateHelperConvexityAdjustment($Y62)),_xll.qlSwapRateHelperSpread($Y62))</f>
        <v/>
      </c>
      <c r="AD62" s="5" t="str">
        <f>IFERROR(_xll.qlRateHelperEarliestDate(Y62,Trigger),"")</f>
        <v/>
      </c>
      <c r="AE62" s="5" t="str">
        <f>IFERROR(_xll.qlRateHelperPillarDate(Y62,Trigger),"")</f>
        <v/>
      </c>
      <c r="AF62" s="70" t="e">
        <v>#N/A</v>
      </c>
      <c r="AG62" s="77" t="e">
        <v>#N/A</v>
      </c>
      <c r="AI62" s="170" t="e">
        <v>#N/A</v>
      </c>
      <c r="AJ62" s="171" t="e">
        <v>#N/A</v>
      </c>
      <c r="AK62" s="173" t="e">
        <f t="shared" si="3"/>
        <v>#N/A</v>
      </c>
      <c r="AL62" s="80" t="e">
        <v>#N/A</v>
      </c>
      <c r="AM62" s="162" t="e">
        <f t="shared" si="4"/>
        <v>#N/A</v>
      </c>
    </row>
    <row r="63" spans="1:39" ht="11.25" customHeight="1" x14ac:dyDescent="0.2">
      <c r="A63" s="59" t="s">
        <v>118</v>
      </c>
      <c r="B63" s="60" t="s">
        <v>52</v>
      </c>
      <c r="C63" s="61" t="s">
        <v>6</v>
      </c>
      <c r="D63" s="61" t="s">
        <v>8</v>
      </c>
      <c r="E63" s="61" t="s">
        <v>7</v>
      </c>
      <c r="F63" s="61" t="s">
        <v>27</v>
      </c>
      <c r="G63" s="61" t="str">
        <f t="shared" si="15"/>
        <v>Euribor1M</v>
      </c>
      <c r="H63" s="59" t="str">
        <f t="shared" si="16"/>
        <v>EUR1E6E2Y_LCHQuote</v>
      </c>
      <c r="I63" s="155">
        <v>0</v>
      </c>
      <c r="J63" s="64" t="str">
        <f>_xll.qlSwapRateHelper2(,$H63,2,$B63,Calendar,$D63,$E63,$F63,$G63,$I63,$C63,Discounting1,PillarDate,,Permanent,Trigger,ObjectOverwrite)</f>
        <v>obj_005ef#0005</v>
      </c>
      <c r="K63" s="64" t="str">
        <f>_xll.qlSwapRateHelper2(,$H63,2,$B63,Calendar,$D63,$E63,$F63,$G63,$I63,$C63,Discounting2,PillarDate,,Permanent,Trigger,ObjectOverwrite)</f>
        <v>obj_00595#0005</v>
      </c>
      <c r="M63" s="10" t="str">
        <f t="shared" si="13"/>
        <v>BasSw</v>
      </c>
      <c r="N63" s="94" t="str">
        <f t="shared" si="14"/>
        <v>obj_005f1#0005</v>
      </c>
      <c r="O63" s="94" t="str">
        <f t="shared" si="14"/>
        <v>obj_00598#0005</v>
      </c>
      <c r="P63" s="146" t="str">
        <f>IFERROR(_xll.qlRateHelperQuoteName(N63,Trigger),"--")</f>
        <v>EUR1E6E8Y_LCHQuote</v>
      </c>
      <c r="Q63" s="98">
        <f>IFERROR(_xll.qlRateHelperQuoteValue($N63,Trigger),"--")</f>
        <v>6.8542500000000001E-3</v>
      </c>
      <c r="R63" s="141" t="b">
        <v>1</v>
      </c>
      <c r="S63" s="94">
        <v>10</v>
      </c>
      <c r="T63" s="94">
        <v>1</v>
      </c>
      <c r="U63" s="99">
        <f>IFERROR(_xll.qlRateHelperEarliestDate(N63,Trigger),"--")</f>
        <v>42250</v>
      </c>
      <c r="V63" s="99">
        <f>IFERROR(_xll.qlRateHelperPillarDate(N63,Trigger),"--")</f>
        <v>45173</v>
      </c>
      <c r="X63" s="4" t="str">
        <f t="shared" si="12"/>
        <v/>
      </c>
      <c r="Y63" s="4" t="e">
        <v>#N/A</v>
      </c>
      <c r="Z63" s="4" t="e">
        <v>#N/A</v>
      </c>
      <c r="AA63" s="4" t="str">
        <f>IFERROR(_xll.qlRateHelperQuoteName(Y63,Trigger),"")</f>
        <v/>
      </c>
      <c r="AB63" s="70" t="str">
        <f>IFERROR(_xll.qlRateHelperRate(Y63,Trigger),"")</f>
        <v/>
      </c>
      <c r="AC63" s="104" t="str">
        <f>IF(ISERROR(_xll.qlSwapRateHelperSpread($Y63)),IF(ISERROR(_xll.qlFuturesRateHelperConvexityAdjustment($Y63)),"",_xll.qlFuturesRateHelperConvexityAdjustment($Y63)),_xll.qlSwapRateHelperSpread($Y63))</f>
        <v/>
      </c>
      <c r="AD63" s="5" t="str">
        <f>IFERROR(_xll.qlRateHelperEarliestDate(Y63,Trigger),"")</f>
        <v/>
      </c>
      <c r="AE63" s="5" t="str">
        <f>IFERROR(_xll.qlRateHelperPillarDate(Y63,Trigger),"")</f>
        <v/>
      </c>
      <c r="AF63" s="70" t="e">
        <v>#N/A</v>
      </c>
      <c r="AG63" s="77" t="e">
        <v>#N/A</v>
      </c>
      <c r="AI63" s="170" t="e">
        <v>#N/A</v>
      </c>
      <c r="AJ63" s="171" t="e">
        <v>#N/A</v>
      </c>
      <c r="AK63" s="173" t="e">
        <f t="shared" si="3"/>
        <v>#N/A</v>
      </c>
      <c r="AL63" s="80" t="e">
        <v>#N/A</v>
      </c>
      <c r="AM63" s="162" t="e">
        <f t="shared" si="4"/>
        <v>#N/A</v>
      </c>
    </row>
    <row r="64" spans="1:39" ht="11.25" customHeight="1" x14ac:dyDescent="0.2">
      <c r="A64" s="59" t="s">
        <v>118</v>
      </c>
      <c r="B64" s="60" t="s">
        <v>53</v>
      </c>
      <c r="C64" s="61" t="s">
        <v>6</v>
      </c>
      <c r="D64" s="61" t="s">
        <v>8</v>
      </c>
      <c r="E64" s="61" t="s">
        <v>7</v>
      </c>
      <c r="F64" s="61" t="s">
        <v>27</v>
      </c>
      <c r="G64" s="61" t="str">
        <f t="shared" si="15"/>
        <v>Euribor1M</v>
      </c>
      <c r="H64" s="59" t="str">
        <f t="shared" si="16"/>
        <v>EUR1E6E3Y_LCHQuote</v>
      </c>
      <c r="I64" s="155">
        <v>0</v>
      </c>
      <c r="J64" s="64" t="str">
        <f>_xll.qlSwapRateHelper2(,$H64,2,$B64,Calendar,$D64,$E64,$F64,$G64,$I64,$C64,Discounting1,PillarDate,,Permanent,Trigger,ObjectOverwrite)</f>
        <v>obj_005f7#0005</v>
      </c>
      <c r="K64" s="64" t="str">
        <f>_xll.qlSwapRateHelper2(,$H64,2,$B64,Calendar,$D64,$E64,$F64,$G64,$I64,$C64,Discounting2,PillarDate,,Permanent,Trigger,ObjectOverwrite)</f>
        <v>obj_00597#0005</v>
      </c>
      <c r="M64" s="10" t="str">
        <f t="shared" si="13"/>
        <v>BasSw</v>
      </c>
      <c r="N64" s="94" t="str">
        <f t="shared" si="14"/>
        <v>obj_005f0#0005</v>
      </c>
      <c r="O64" s="94" t="str">
        <f t="shared" si="14"/>
        <v>obj_00596#0005</v>
      </c>
      <c r="P64" s="146" t="str">
        <f>IFERROR(_xll.qlRateHelperQuoteName(N64,Trigger),"--")</f>
        <v>EUR1E6E9Y_LCHQuote</v>
      </c>
      <c r="Q64" s="98">
        <f>IFERROR(_xll.qlRateHelperQuoteValue($N64,Trigger),"--")</f>
        <v>8.1569999999999993E-3</v>
      </c>
      <c r="R64" s="141" t="b">
        <v>1</v>
      </c>
      <c r="S64" s="94">
        <v>10</v>
      </c>
      <c r="T64" s="94">
        <v>1</v>
      </c>
      <c r="U64" s="99">
        <f>IFERROR(_xll.qlRateHelperEarliestDate(N64,Trigger),"--")</f>
        <v>42250</v>
      </c>
      <c r="V64" s="99">
        <f>IFERROR(_xll.qlRateHelperPillarDate(N64,Trigger),"--")</f>
        <v>45538</v>
      </c>
      <c r="X64" s="4" t="str">
        <f t="shared" si="12"/>
        <v/>
      </c>
      <c r="Y64" s="4" t="e">
        <v>#N/A</v>
      </c>
      <c r="Z64" s="4" t="e">
        <v>#N/A</v>
      </c>
      <c r="AA64" s="4" t="str">
        <f>IFERROR(_xll.qlRateHelperQuoteName(Y64,Trigger),"")</f>
        <v/>
      </c>
      <c r="AB64" s="70" t="str">
        <f>IFERROR(_xll.qlRateHelperRate(Y64,Trigger),"")</f>
        <v/>
      </c>
      <c r="AC64" s="104" t="str">
        <f>IF(ISERROR(_xll.qlSwapRateHelperSpread($Y64)),IF(ISERROR(_xll.qlFuturesRateHelperConvexityAdjustment($Y64)),"",_xll.qlFuturesRateHelperConvexityAdjustment($Y64)),_xll.qlSwapRateHelperSpread($Y64))</f>
        <v/>
      </c>
      <c r="AD64" s="5" t="str">
        <f>IFERROR(_xll.qlRateHelperEarliestDate(Y64,Trigger),"")</f>
        <v/>
      </c>
      <c r="AE64" s="5" t="str">
        <f>IFERROR(_xll.qlRateHelperPillarDate(Y64,Trigger),"")</f>
        <v/>
      </c>
      <c r="AF64" s="70" t="e">
        <v>#N/A</v>
      </c>
      <c r="AG64" s="77" t="e">
        <v>#N/A</v>
      </c>
      <c r="AI64" s="170" t="e">
        <v>#N/A</v>
      </c>
      <c r="AJ64" s="171" t="e">
        <v>#N/A</v>
      </c>
      <c r="AK64" s="173" t="e">
        <f t="shared" si="3"/>
        <v>#N/A</v>
      </c>
      <c r="AL64" s="80" t="e">
        <v>#N/A</v>
      </c>
      <c r="AM64" s="162" t="e">
        <f t="shared" si="4"/>
        <v>#N/A</v>
      </c>
    </row>
    <row r="65" spans="1:39" ht="11.25" customHeight="1" x14ac:dyDescent="0.2">
      <c r="A65" s="59" t="s">
        <v>118</v>
      </c>
      <c r="B65" s="60" t="s">
        <v>54</v>
      </c>
      <c r="C65" s="61" t="s">
        <v>6</v>
      </c>
      <c r="D65" s="61" t="s">
        <v>8</v>
      </c>
      <c r="E65" s="61" t="s">
        <v>7</v>
      </c>
      <c r="F65" s="61" t="s">
        <v>27</v>
      </c>
      <c r="G65" s="61" t="str">
        <f t="shared" si="15"/>
        <v>Euribor1M</v>
      </c>
      <c r="H65" s="59" t="str">
        <f t="shared" si="16"/>
        <v>EUR1E6E4Y_LCHQuote</v>
      </c>
      <c r="I65" s="155">
        <v>0</v>
      </c>
      <c r="J65" s="64" t="str">
        <f>_xll.qlSwapRateHelper2(,$H65,2,$B65,Calendar,$D65,$E65,$F65,$G65,$I65,$C65,Discounting1,PillarDate,,Permanent,Trigger,ObjectOverwrite)</f>
        <v>obj_00600#0005</v>
      </c>
      <c r="K65" s="64" t="str">
        <f>_xll.qlSwapRateHelper2(,$H65,2,$B65,Calendar,$D65,$E65,$F65,$G65,$I65,$C65,Discounting2,PillarDate,,Permanent,Trigger,ObjectOverwrite)</f>
        <v>obj_0058f#0005</v>
      </c>
      <c r="M65" s="10" t="str">
        <f t="shared" si="13"/>
        <v>BasSw</v>
      </c>
      <c r="N65" s="94" t="str">
        <f t="shared" si="14"/>
        <v>obj_005fb#0005</v>
      </c>
      <c r="O65" s="94" t="str">
        <f t="shared" si="14"/>
        <v>obj_00593#0005</v>
      </c>
      <c r="P65" s="146" t="str">
        <f>IFERROR(_xll.qlRateHelperQuoteName(N65,Trigger),"--")</f>
        <v>EUR1E6E10Y_LCHQuote</v>
      </c>
      <c r="Q65" s="98">
        <f>IFERROR(_xll.qlRateHelperQuoteValue($N65,Trigger),"--")</f>
        <v>9.2929999999999992E-3</v>
      </c>
      <c r="R65" s="141" t="b">
        <v>1</v>
      </c>
      <c r="S65" s="94">
        <v>10</v>
      </c>
      <c r="T65" s="94">
        <v>1</v>
      </c>
      <c r="U65" s="99">
        <f>IFERROR(_xll.qlRateHelperEarliestDate(N65,Trigger),"--")</f>
        <v>42250</v>
      </c>
      <c r="V65" s="99">
        <f>IFERROR(_xll.qlRateHelperPillarDate(N65,Trigger),"--")</f>
        <v>45903</v>
      </c>
      <c r="X65" s="4" t="str">
        <f t="shared" si="12"/>
        <v/>
      </c>
      <c r="Y65" s="4" t="e">
        <v>#N/A</v>
      </c>
      <c r="Z65" s="4" t="e">
        <v>#N/A</v>
      </c>
      <c r="AA65" s="4" t="str">
        <f>IFERROR(_xll.qlRateHelperQuoteName(Y65,Trigger),"")</f>
        <v/>
      </c>
      <c r="AB65" s="70" t="str">
        <f>IFERROR(_xll.qlRateHelperRate(Y65,Trigger),"")</f>
        <v/>
      </c>
      <c r="AC65" s="104" t="str">
        <f>IF(ISERROR(_xll.qlSwapRateHelperSpread($Y65)),IF(ISERROR(_xll.qlFuturesRateHelperConvexityAdjustment($Y65)),"",_xll.qlFuturesRateHelperConvexityAdjustment($Y65)),_xll.qlSwapRateHelperSpread($Y65))</f>
        <v/>
      </c>
      <c r="AD65" s="5" t="str">
        <f>IFERROR(_xll.qlRateHelperEarliestDate(Y65,Trigger),"")</f>
        <v/>
      </c>
      <c r="AE65" s="5" t="str">
        <f>IFERROR(_xll.qlRateHelperPillarDate(Y65,Trigger),"")</f>
        <v/>
      </c>
      <c r="AF65" s="70" t="e">
        <v>#N/A</v>
      </c>
      <c r="AG65" s="77" t="e">
        <v>#N/A</v>
      </c>
      <c r="AI65" s="170" t="e">
        <v>#N/A</v>
      </c>
      <c r="AJ65" s="171" t="e">
        <v>#N/A</v>
      </c>
      <c r="AK65" s="173" t="e">
        <f t="shared" si="3"/>
        <v>#N/A</v>
      </c>
      <c r="AL65" s="80" t="e">
        <v>#N/A</v>
      </c>
      <c r="AM65" s="162" t="e">
        <f t="shared" si="4"/>
        <v>#N/A</v>
      </c>
    </row>
    <row r="66" spans="1:39" ht="11.25" customHeight="1" x14ac:dyDescent="0.2">
      <c r="A66" s="59" t="s">
        <v>118</v>
      </c>
      <c r="B66" s="60" t="s">
        <v>55</v>
      </c>
      <c r="C66" s="61" t="s">
        <v>6</v>
      </c>
      <c r="D66" s="61" t="s">
        <v>8</v>
      </c>
      <c r="E66" s="61" t="s">
        <v>7</v>
      </c>
      <c r="F66" s="61" t="s">
        <v>27</v>
      </c>
      <c r="G66" s="61" t="str">
        <f t="shared" si="15"/>
        <v>Euribor1M</v>
      </c>
      <c r="H66" s="59" t="str">
        <f t="shared" si="16"/>
        <v>EUR1E6E5Y_LCHQuote</v>
      </c>
      <c r="I66" s="155">
        <v>0</v>
      </c>
      <c r="J66" s="64" t="str">
        <f>_xll.qlSwapRateHelper2(,$H66,2,$B66,Calendar,$D66,$E66,$F66,$G66,$I66,$C66,Discounting1,PillarDate,,Permanent,Trigger,ObjectOverwrite)</f>
        <v>obj_005ed#0005</v>
      </c>
      <c r="K66" s="64" t="str">
        <f>_xll.qlSwapRateHelper2(,$H66,2,$B66,Calendar,$D66,$E66,$F66,$G66,$I66,$C66,Discounting2,PillarDate,,Permanent,Trigger,ObjectOverwrite)</f>
        <v>obj_0058a#0005</v>
      </c>
      <c r="M66" s="10" t="str">
        <f t="shared" si="13"/>
        <v>BasSw</v>
      </c>
      <c r="N66" s="94" t="str">
        <f t="shared" si="14"/>
        <v>--</v>
      </c>
      <c r="O66" s="94" t="str">
        <f t="shared" si="14"/>
        <v>--</v>
      </c>
      <c r="P66" s="146" t="str">
        <f>IFERROR(_xll.qlRateHelperQuoteName(N66,Trigger),"--")</f>
        <v>--</v>
      </c>
      <c r="Q66" s="98" t="str">
        <f>IFERROR(_xll.qlRateHelperQuoteValue($N66,Trigger),"--")</f>
        <v>--</v>
      </c>
      <c r="R66" s="141" t="b">
        <v>0</v>
      </c>
      <c r="S66" s="94">
        <v>10</v>
      </c>
      <c r="T66" s="94">
        <v>1</v>
      </c>
      <c r="U66" s="99" t="str">
        <f>IFERROR(_xll.qlRateHelperEarliestDate(N66,Trigger),"--")</f>
        <v>--</v>
      </c>
      <c r="V66" s="99" t="str">
        <f>IFERROR(_xll.qlRateHelperPillarDate(N66,Trigger),"--")</f>
        <v>--</v>
      </c>
      <c r="X66" s="4" t="str">
        <f t="shared" si="12"/>
        <v/>
      </c>
      <c r="Y66" s="4" t="e">
        <v>#N/A</v>
      </c>
      <c r="Z66" s="4" t="e">
        <v>#N/A</v>
      </c>
      <c r="AA66" s="4" t="str">
        <f>IFERROR(_xll.qlRateHelperQuoteName(Y66,Trigger),"")</f>
        <v/>
      </c>
      <c r="AB66" s="70" t="str">
        <f>IFERROR(_xll.qlRateHelperRate(Y66,Trigger),"")</f>
        <v/>
      </c>
      <c r="AC66" s="104" t="str">
        <f>IF(ISERROR(_xll.qlSwapRateHelperSpread($Y66)),IF(ISERROR(_xll.qlFuturesRateHelperConvexityAdjustment($Y66)),"",_xll.qlFuturesRateHelperConvexityAdjustment($Y66)),_xll.qlSwapRateHelperSpread($Y66))</f>
        <v/>
      </c>
      <c r="AD66" s="5" t="str">
        <f>IFERROR(_xll.qlRateHelperEarliestDate(Y66,Trigger),"")</f>
        <v/>
      </c>
      <c r="AE66" s="5" t="str">
        <f>IFERROR(_xll.qlRateHelperPillarDate(Y66,Trigger),"")</f>
        <v/>
      </c>
      <c r="AF66" s="70" t="e">
        <v>#N/A</v>
      </c>
      <c r="AG66" s="77" t="e">
        <v>#N/A</v>
      </c>
      <c r="AI66" s="170" t="e">
        <v>#N/A</v>
      </c>
      <c r="AJ66" s="171" t="e">
        <v>#N/A</v>
      </c>
      <c r="AK66" s="173" t="e">
        <f t="shared" si="3"/>
        <v>#N/A</v>
      </c>
      <c r="AL66" s="80" t="e">
        <v>#N/A</v>
      </c>
      <c r="AM66" s="162" t="e">
        <f t="shared" si="4"/>
        <v>#N/A</v>
      </c>
    </row>
    <row r="67" spans="1:39" ht="11.25" customHeight="1" x14ac:dyDescent="0.2">
      <c r="A67" s="59" t="s">
        <v>118</v>
      </c>
      <c r="B67" s="60" t="s">
        <v>56</v>
      </c>
      <c r="C67" s="61" t="s">
        <v>6</v>
      </c>
      <c r="D67" s="61" t="s">
        <v>8</v>
      </c>
      <c r="E67" s="61" t="s">
        <v>7</v>
      </c>
      <c r="F67" s="61" t="s">
        <v>27</v>
      </c>
      <c r="G67" s="61" t="str">
        <f t="shared" si="15"/>
        <v>Euribor1M</v>
      </c>
      <c r="H67" s="59" t="str">
        <f t="shared" si="16"/>
        <v>EUR1E6E6Y_LCHQuote</v>
      </c>
      <c r="I67" s="155">
        <v>0</v>
      </c>
      <c r="J67" s="64" t="str">
        <f>_xll.qlSwapRateHelper2(,$H67,2,$B67,Calendar,$D67,$E67,$F67,$G67,$I67,$C67,Discounting1,PillarDate,,Permanent,Trigger,ObjectOverwrite)</f>
        <v>obj_005f3#0005</v>
      </c>
      <c r="K67" s="64" t="str">
        <f>_xll.qlSwapRateHelper2(,$H67,2,$B67,Calendar,$D67,$E67,$F67,$G67,$I67,$C67,Discounting2,PillarDate,,Permanent,Trigger,ObjectOverwrite)</f>
        <v>obj_0058b#0005</v>
      </c>
      <c r="M67" s="10" t="str">
        <f t="shared" si="13"/>
        <v>BasSw</v>
      </c>
      <c r="N67" s="94" t="str">
        <f t="shared" si="14"/>
        <v>obj_005fe#0005</v>
      </c>
      <c r="O67" s="94" t="str">
        <f t="shared" si="14"/>
        <v>obj_0058e#0005</v>
      </c>
      <c r="P67" s="146" t="str">
        <f>IFERROR(_xll.qlRateHelperQuoteName(N67,Trigger),"--")</f>
        <v>EUR1E6E12Y_LCHQuote</v>
      </c>
      <c r="Q67" s="98">
        <f>IFERROR(_xll.qlRateHelperQuoteValue($N67,Trigger),"--")</f>
        <v>1.1145499999999999E-2</v>
      </c>
      <c r="R67" s="141" t="b">
        <v>1</v>
      </c>
      <c r="S67" s="94">
        <v>10</v>
      </c>
      <c r="T67" s="94">
        <v>1</v>
      </c>
      <c r="U67" s="99">
        <f>IFERROR(_xll.qlRateHelperEarliestDate(N67,Trigger),"--")</f>
        <v>42250</v>
      </c>
      <c r="V67" s="99">
        <f>IFERROR(_xll.qlRateHelperPillarDate(N67,Trigger),"--")</f>
        <v>46633</v>
      </c>
      <c r="X67" s="4" t="str">
        <f t="shared" ref="X67:X89" si="17">IFERROR(INDEX($M$3:$M$89,MATCH(AA67,$P$3:$P$89,0),1),"")</f>
        <v/>
      </c>
      <c r="Y67" s="4" t="e">
        <v>#N/A</v>
      </c>
      <c r="Z67" s="4" t="e">
        <v>#N/A</v>
      </c>
      <c r="AA67" s="4" t="str">
        <f>IFERROR(_xll.qlRateHelperQuoteName(Y67,Trigger),"")</f>
        <v/>
      </c>
      <c r="AB67" s="70" t="str">
        <f>IFERROR(_xll.qlRateHelperRate(Y67,Trigger),"")</f>
        <v/>
      </c>
      <c r="AC67" s="104" t="str">
        <f>IF(ISERROR(_xll.qlSwapRateHelperSpread($Y67)),IF(ISERROR(_xll.qlFuturesRateHelperConvexityAdjustment($Y67)),"",_xll.qlFuturesRateHelperConvexityAdjustment($Y67)),_xll.qlSwapRateHelperSpread($Y67))</f>
        <v/>
      </c>
      <c r="AD67" s="5" t="str">
        <f>IFERROR(_xll.qlRateHelperEarliestDate(Y67,Trigger),"")</f>
        <v/>
      </c>
      <c r="AE67" s="5" t="str">
        <f>IFERROR(_xll.qlRateHelperPillarDate(Y67,Trigger),"")</f>
        <v/>
      </c>
      <c r="AF67" s="70" t="e">
        <v>#N/A</v>
      </c>
      <c r="AG67" s="77" t="e">
        <v>#N/A</v>
      </c>
      <c r="AI67" s="170" t="e">
        <v>#N/A</v>
      </c>
      <c r="AJ67" s="171" t="e">
        <v>#N/A</v>
      </c>
      <c r="AK67" s="173" t="e">
        <f t="shared" si="3"/>
        <v>#N/A</v>
      </c>
      <c r="AL67" s="80" t="e">
        <v>#N/A</v>
      </c>
      <c r="AM67" s="162" t="e">
        <f t="shared" si="4"/>
        <v>#N/A</v>
      </c>
    </row>
    <row r="68" spans="1:39" ht="11.25" customHeight="1" x14ac:dyDescent="0.2">
      <c r="A68" s="59" t="s">
        <v>118</v>
      </c>
      <c r="B68" s="60" t="s">
        <v>57</v>
      </c>
      <c r="C68" s="61" t="s">
        <v>6</v>
      </c>
      <c r="D68" s="61" t="s">
        <v>8</v>
      </c>
      <c r="E68" s="61" t="s">
        <v>7</v>
      </c>
      <c r="F68" s="61" t="s">
        <v>27</v>
      </c>
      <c r="G68" s="61" t="str">
        <f t="shared" si="15"/>
        <v>Euribor1M</v>
      </c>
      <c r="H68" s="59" t="str">
        <f t="shared" si="16"/>
        <v>EUR1E6E7Y_LCHQuote</v>
      </c>
      <c r="I68" s="155">
        <v>0</v>
      </c>
      <c r="J68" s="64" t="str">
        <f>_xll.qlSwapRateHelper2(,$H68,2,$B68,Calendar,$D68,$E68,$F68,$G68,$I68,$C68,Discounting1,PillarDate,,Permanent,Trigger,ObjectOverwrite)</f>
        <v>obj_005f4#0005</v>
      </c>
      <c r="K68" s="64" t="str">
        <f>_xll.qlSwapRateHelper2(,$H68,2,$B68,Calendar,$D68,$E68,$F68,$G68,$I68,$C68,Discounting2,PillarDate,,Permanent,Trigger,ObjectOverwrite)</f>
        <v>obj_0058d#0005</v>
      </c>
      <c r="M68" s="10" t="str">
        <f t="shared" si="13"/>
        <v>BasSw</v>
      </c>
      <c r="N68" s="94" t="str">
        <f t="shared" si="14"/>
        <v>--</v>
      </c>
      <c r="O68" s="94" t="str">
        <f t="shared" si="14"/>
        <v>--</v>
      </c>
      <c r="P68" s="146" t="str">
        <f>IFERROR(_xll.qlRateHelperQuoteName(N68,Trigger),"--")</f>
        <v>--</v>
      </c>
      <c r="Q68" s="98" t="str">
        <f>IFERROR(_xll.qlRateHelperQuoteValue($N68,Trigger),"--")</f>
        <v>--</v>
      </c>
      <c r="R68" s="141" t="b">
        <v>0</v>
      </c>
      <c r="S68" s="94">
        <v>10</v>
      </c>
      <c r="T68" s="94">
        <v>1</v>
      </c>
      <c r="U68" s="99" t="str">
        <f>IFERROR(_xll.qlRateHelperEarliestDate(N68,Trigger),"--")</f>
        <v>--</v>
      </c>
      <c r="V68" s="99" t="str">
        <f>IFERROR(_xll.qlRateHelperPillarDate(N68,Trigger),"--")</f>
        <v>--</v>
      </c>
      <c r="X68" s="4" t="str">
        <f t="shared" si="17"/>
        <v/>
      </c>
      <c r="Y68" s="4" t="e">
        <v>#N/A</v>
      </c>
      <c r="Z68" s="4" t="e">
        <v>#N/A</v>
      </c>
      <c r="AA68" s="4" t="str">
        <f>IFERROR(_xll.qlRateHelperQuoteName(Y68,Trigger),"")</f>
        <v/>
      </c>
      <c r="AB68" s="70" t="str">
        <f>IFERROR(_xll.qlRateHelperRate(Y68,Trigger),"")</f>
        <v/>
      </c>
      <c r="AC68" s="104" t="str">
        <f>IF(ISERROR(_xll.qlSwapRateHelperSpread($Y68)),IF(ISERROR(_xll.qlFuturesRateHelperConvexityAdjustment($Y68)),"",_xll.qlFuturesRateHelperConvexityAdjustment($Y68)),_xll.qlSwapRateHelperSpread($Y68))</f>
        <v/>
      </c>
      <c r="AD68" s="5" t="str">
        <f>IFERROR(_xll.qlRateHelperEarliestDate(Y68,Trigger),"")</f>
        <v/>
      </c>
      <c r="AE68" s="5" t="str">
        <f>IFERROR(_xll.qlRateHelperPillarDate(Y68,Trigger),"")</f>
        <v/>
      </c>
      <c r="AF68" s="70" t="e">
        <v>#N/A</v>
      </c>
      <c r="AG68" s="77" t="e">
        <v>#N/A</v>
      </c>
      <c r="AI68" s="170" t="e">
        <v>#N/A</v>
      </c>
      <c r="AJ68" s="171" t="e">
        <v>#N/A</v>
      </c>
      <c r="AK68" s="173" t="e">
        <f t="shared" ref="AK68:AK89" si="18">AF68-AJ68</f>
        <v>#N/A</v>
      </c>
      <c r="AL68" s="80" t="e">
        <v>#N/A</v>
      </c>
      <c r="AM68" s="162" t="e">
        <f t="shared" ref="AM68:AM89" si="19">AG68-AL68</f>
        <v>#N/A</v>
      </c>
    </row>
    <row r="69" spans="1:39" ht="11.25" customHeight="1" x14ac:dyDescent="0.2">
      <c r="A69" s="59" t="s">
        <v>118</v>
      </c>
      <c r="B69" s="60" t="s">
        <v>58</v>
      </c>
      <c r="C69" s="61" t="s">
        <v>6</v>
      </c>
      <c r="D69" s="61" t="s">
        <v>8</v>
      </c>
      <c r="E69" s="61" t="s">
        <v>7</v>
      </c>
      <c r="F69" s="61" t="s">
        <v>27</v>
      </c>
      <c r="G69" s="61" t="str">
        <f t="shared" si="15"/>
        <v>Euribor1M</v>
      </c>
      <c r="H69" s="59" t="str">
        <f t="shared" si="16"/>
        <v>EUR1E6E8Y_LCHQuote</v>
      </c>
      <c r="I69" s="155">
        <v>0</v>
      </c>
      <c r="J69" s="64" t="str">
        <f>_xll.qlSwapRateHelper2(,$H69,2,$B69,Calendar,$D69,$E69,$F69,$G69,$I69,$C69,Discounting1,PillarDate,,Permanent,Trigger,ObjectOverwrite)</f>
        <v>obj_005f1#0005</v>
      </c>
      <c r="K69" s="64" t="str">
        <f>_xll.qlSwapRateHelper2(,$H69,2,$B69,Calendar,$D69,$E69,$F69,$G69,$I69,$C69,Discounting2,PillarDate,,Permanent,Trigger,ObjectOverwrite)</f>
        <v>obj_00598#0005</v>
      </c>
      <c r="M69" s="10" t="str">
        <f t="shared" si="13"/>
        <v>BasSw</v>
      </c>
      <c r="N69" s="94" t="str">
        <f t="shared" si="14"/>
        <v>--</v>
      </c>
      <c r="O69" s="94" t="str">
        <f t="shared" si="14"/>
        <v>--</v>
      </c>
      <c r="P69" s="146" t="str">
        <f>IFERROR(_xll.qlRateHelperQuoteName(N69,Trigger),"--")</f>
        <v>--</v>
      </c>
      <c r="Q69" s="98" t="str">
        <f>IFERROR(_xll.qlRateHelperQuoteValue($N69,Trigger),"--")</f>
        <v>--</v>
      </c>
      <c r="R69" s="141" t="b">
        <v>0</v>
      </c>
      <c r="S69" s="94">
        <v>10</v>
      </c>
      <c r="T69" s="94">
        <v>1</v>
      </c>
      <c r="U69" s="99" t="str">
        <f>IFERROR(_xll.qlRateHelperEarliestDate(N69,Trigger),"--")</f>
        <v>--</v>
      </c>
      <c r="V69" s="99" t="str">
        <f>IFERROR(_xll.qlRateHelperPillarDate(N69,Trigger),"--")</f>
        <v>--</v>
      </c>
      <c r="X69" s="4" t="str">
        <f t="shared" si="17"/>
        <v/>
      </c>
      <c r="Y69" s="4" t="e">
        <v>#N/A</v>
      </c>
      <c r="Z69" s="4" t="e">
        <v>#N/A</v>
      </c>
      <c r="AA69" s="4" t="str">
        <f>IFERROR(_xll.qlRateHelperQuoteName(Y69,Trigger),"")</f>
        <v/>
      </c>
      <c r="AB69" s="70" t="str">
        <f>IFERROR(_xll.qlRateHelperRate(Y69,Trigger),"")</f>
        <v/>
      </c>
      <c r="AC69" s="104" t="str">
        <f>IF(ISERROR(_xll.qlSwapRateHelperSpread($Y69)),IF(ISERROR(_xll.qlFuturesRateHelperConvexityAdjustment($Y69)),"",_xll.qlFuturesRateHelperConvexityAdjustment($Y69)),_xll.qlSwapRateHelperSpread($Y69))</f>
        <v/>
      </c>
      <c r="AD69" s="5" t="str">
        <f>IFERROR(_xll.qlRateHelperEarliestDate(Y69,Trigger),"")</f>
        <v/>
      </c>
      <c r="AE69" s="5" t="str">
        <f>IFERROR(_xll.qlRateHelperPillarDate(Y69,Trigger),"")</f>
        <v/>
      </c>
      <c r="AF69" s="70" t="e">
        <v>#N/A</v>
      </c>
      <c r="AG69" s="77" t="e">
        <v>#N/A</v>
      </c>
      <c r="AI69" s="170" t="e">
        <v>#N/A</v>
      </c>
      <c r="AJ69" s="171" t="e">
        <v>#N/A</v>
      </c>
      <c r="AK69" s="173" t="e">
        <f t="shared" si="18"/>
        <v>#N/A</v>
      </c>
      <c r="AL69" s="80" t="e">
        <v>#N/A</v>
      </c>
      <c r="AM69" s="162" t="e">
        <f t="shared" si="19"/>
        <v>#N/A</v>
      </c>
    </row>
    <row r="70" spans="1:39" ht="11.25" customHeight="1" x14ac:dyDescent="0.2">
      <c r="A70" s="59" t="s">
        <v>118</v>
      </c>
      <c r="B70" s="60" t="s">
        <v>59</v>
      </c>
      <c r="C70" s="61" t="s">
        <v>6</v>
      </c>
      <c r="D70" s="61" t="s">
        <v>8</v>
      </c>
      <c r="E70" s="61" t="s">
        <v>7</v>
      </c>
      <c r="F70" s="61" t="s">
        <v>27</v>
      </c>
      <c r="G70" s="61" t="str">
        <f t="shared" si="15"/>
        <v>Euribor1M</v>
      </c>
      <c r="H70" s="59" t="str">
        <f t="shared" si="16"/>
        <v>EUR1E6E9Y_LCHQuote</v>
      </c>
      <c r="I70" s="155">
        <v>0</v>
      </c>
      <c r="J70" s="64" t="str">
        <f>_xll.qlSwapRateHelper2(,$H70,2,$B70,Calendar,$D70,$E70,$F70,$G70,$I70,$C70,Discounting1,PillarDate,,Permanent,Trigger,ObjectOverwrite)</f>
        <v>obj_005f0#0005</v>
      </c>
      <c r="K70" s="64" t="str">
        <f>_xll.qlSwapRateHelper2(,$H70,2,$B70,Calendar,$D70,$E70,$F70,$G70,$I70,$C70,Discounting2,PillarDate,,Permanent,Trigger,ObjectOverwrite)</f>
        <v>obj_00596#0005</v>
      </c>
      <c r="M70" s="10" t="str">
        <f t="shared" si="13"/>
        <v>BasSw</v>
      </c>
      <c r="N70" s="94" t="str">
        <f t="shared" si="14"/>
        <v>obj_005f5#0005</v>
      </c>
      <c r="O70" s="94" t="str">
        <f t="shared" si="14"/>
        <v>obj_00599#0005</v>
      </c>
      <c r="P70" s="146" t="str">
        <f>IFERROR(_xll.qlRateHelperQuoteName(N70,Trigger),"--")</f>
        <v>EUR1E6E15Y_LCHQuote</v>
      </c>
      <c r="Q70" s="98">
        <f>IFERROR(_xll.qlRateHelperQuoteValue($N70,Trigger),"--")</f>
        <v>1.30755E-2</v>
      </c>
      <c r="R70" s="141" t="b">
        <v>1</v>
      </c>
      <c r="S70" s="94">
        <v>10</v>
      </c>
      <c r="T70" s="94">
        <v>1</v>
      </c>
      <c r="U70" s="99">
        <f>IFERROR(_xll.qlRateHelperEarliestDate(N70,Trigger),"--")</f>
        <v>42250</v>
      </c>
      <c r="V70" s="99">
        <f>IFERROR(_xll.qlRateHelperPillarDate(N70,Trigger),"--")</f>
        <v>47729</v>
      </c>
      <c r="X70" s="4" t="str">
        <f t="shared" si="17"/>
        <v/>
      </c>
      <c r="Y70" s="4" t="e">
        <v>#N/A</v>
      </c>
      <c r="Z70" s="4" t="e">
        <v>#N/A</v>
      </c>
      <c r="AA70" s="4" t="str">
        <f>IFERROR(_xll.qlRateHelperQuoteName(Y70,Trigger),"")</f>
        <v/>
      </c>
      <c r="AB70" s="70" t="str">
        <f>IFERROR(_xll.qlRateHelperRate(Y70,Trigger),"")</f>
        <v/>
      </c>
      <c r="AC70" s="104" t="str">
        <f>IF(ISERROR(_xll.qlSwapRateHelperSpread($Y70)),IF(ISERROR(_xll.qlFuturesRateHelperConvexityAdjustment($Y70)),"",_xll.qlFuturesRateHelperConvexityAdjustment($Y70)),_xll.qlSwapRateHelperSpread($Y70))</f>
        <v/>
      </c>
      <c r="AD70" s="5" t="str">
        <f>IFERROR(_xll.qlRateHelperEarliestDate(Y70,Trigger),"")</f>
        <v/>
      </c>
      <c r="AE70" s="5" t="str">
        <f>IFERROR(_xll.qlRateHelperPillarDate(Y70,Trigger),"")</f>
        <v/>
      </c>
      <c r="AF70" s="70" t="e">
        <v>#N/A</v>
      </c>
      <c r="AG70" s="77" t="e">
        <v>#N/A</v>
      </c>
      <c r="AI70" s="170" t="e">
        <v>#N/A</v>
      </c>
      <c r="AJ70" s="171" t="e">
        <v>#N/A</v>
      </c>
      <c r="AK70" s="173" t="e">
        <f t="shared" si="18"/>
        <v>#N/A</v>
      </c>
      <c r="AL70" s="80" t="e">
        <v>#N/A</v>
      </c>
      <c r="AM70" s="162" t="e">
        <f t="shared" si="19"/>
        <v>#N/A</v>
      </c>
    </row>
    <row r="71" spans="1:39" ht="11.25" customHeight="1" x14ac:dyDescent="0.2">
      <c r="A71" s="59" t="s">
        <v>118</v>
      </c>
      <c r="B71" s="60" t="s">
        <v>60</v>
      </c>
      <c r="C71" s="61" t="s">
        <v>6</v>
      </c>
      <c r="D71" s="61" t="s">
        <v>8</v>
      </c>
      <c r="E71" s="61" t="s">
        <v>7</v>
      </c>
      <c r="F71" s="61" t="s">
        <v>27</v>
      </c>
      <c r="G71" s="61" t="str">
        <f t="shared" si="15"/>
        <v>Euribor1M</v>
      </c>
      <c r="H71" s="59" t="str">
        <f t="shared" si="16"/>
        <v>EUR1E6E10Y_LCHQuote</v>
      </c>
      <c r="I71" s="155">
        <v>0</v>
      </c>
      <c r="J71" s="64" t="str">
        <f>_xll.qlSwapRateHelper2(,$H71,2,$B71,Calendar,$D71,$E71,$F71,$G71,$I71,$C71,Discounting1,PillarDate,,Permanent,Trigger,ObjectOverwrite)</f>
        <v>obj_005fb#0005</v>
      </c>
      <c r="K71" s="64" t="str">
        <f>_xll.qlSwapRateHelper2(,$H71,2,$B71,Calendar,$D71,$E71,$F71,$G71,$I71,$C71,Discounting2,PillarDate,,Permanent,Trigger,ObjectOverwrite)</f>
        <v>obj_00593#0005</v>
      </c>
      <c r="M71" s="10" t="str">
        <f t="shared" si="13"/>
        <v>BasSw</v>
      </c>
      <c r="N71" s="94" t="str">
        <f t="shared" si="14"/>
        <v>--</v>
      </c>
      <c r="O71" s="94" t="str">
        <f t="shared" si="14"/>
        <v>--</v>
      </c>
      <c r="P71" s="146" t="str">
        <f>IFERROR(_xll.qlRateHelperQuoteName(N71,Trigger),"--")</f>
        <v>--</v>
      </c>
      <c r="Q71" s="98" t="str">
        <f>IFERROR(_xll.qlRateHelperQuoteValue($N71,Trigger),"--")</f>
        <v>--</v>
      </c>
      <c r="R71" s="141" t="b">
        <v>0</v>
      </c>
      <c r="S71" s="94">
        <v>10</v>
      </c>
      <c r="T71" s="94">
        <v>1</v>
      </c>
      <c r="U71" s="99" t="str">
        <f>IFERROR(_xll.qlRateHelperEarliestDate(N71,Trigger),"--")</f>
        <v>--</v>
      </c>
      <c r="V71" s="99" t="str">
        <f>IFERROR(_xll.qlRateHelperPillarDate(N71,Trigger),"--")</f>
        <v>--</v>
      </c>
      <c r="X71" s="4" t="str">
        <f t="shared" si="17"/>
        <v/>
      </c>
      <c r="Y71" s="4" t="e">
        <v>#N/A</v>
      </c>
      <c r="Z71" s="4" t="e">
        <v>#N/A</v>
      </c>
      <c r="AA71" s="4" t="str">
        <f>IFERROR(_xll.qlRateHelperQuoteName(Y71,Trigger),"")</f>
        <v/>
      </c>
      <c r="AB71" s="70" t="str">
        <f>IFERROR(_xll.qlRateHelperRate(Y71,Trigger),"")</f>
        <v/>
      </c>
      <c r="AC71" s="104" t="str">
        <f>IF(ISERROR(_xll.qlSwapRateHelperSpread($Y71)),IF(ISERROR(_xll.qlFuturesRateHelperConvexityAdjustment($Y71)),"",_xll.qlFuturesRateHelperConvexityAdjustment($Y71)),_xll.qlSwapRateHelperSpread($Y71))</f>
        <v/>
      </c>
      <c r="AD71" s="5" t="str">
        <f>IFERROR(_xll.qlRateHelperEarliestDate(Y71,Trigger),"")</f>
        <v/>
      </c>
      <c r="AE71" s="5" t="str">
        <f>IFERROR(_xll.qlRateHelperPillarDate(Y71,Trigger),"")</f>
        <v/>
      </c>
      <c r="AF71" s="70" t="e">
        <v>#N/A</v>
      </c>
      <c r="AG71" s="77" t="e">
        <v>#N/A</v>
      </c>
      <c r="AI71" s="170" t="e">
        <v>#N/A</v>
      </c>
      <c r="AJ71" s="171" t="e">
        <v>#N/A</v>
      </c>
      <c r="AK71" s="173" t="e">
        <f t="shared" si="18"/>
        <v>#N/A</v>
      </c>
      <c r="AL71" s="80" t="e">
        <v>#N/A</v>
      </c>
      <c r="AM71" s="162" t="e">
        <f t="shared" si="19"/>
        <v>#N/A</v>
      </c>
    </row>
    <row r="72" spans="1:39" ht="11.25" customHeight="1" x14ac:dyDescent="0.2">
      <c r="A72" s="59" t="s">
        <v>118</v>
      </c>
      <c r="B72" s="60" t="s">
        <v>98</v>
      </c>
      <c r="C72" s="61" t="s">
        <v>6</v>
      </c>
      <c r="D72" s="61" t="s">
        <v>8</v>
      </c>
      <c r="E72" s="61" t="s">
        <v>7</v>
      </c>
      <c r="F72" s="61" t="s">
        <v>27</v>
      </c>
      <c r="G72" s="61" t="str">
        <f t="shared" si="15"/>
        <v>Euribor1M</v>
      </c>
      <c r="H72" s="59" t="str">
        <f t="shared" si="16"/>
        <v>EUR1E6E11Y_LCHQuote</v>
      </c>
      <c r="I72" s="155">
        <v>0</v>
      </c>
      <c r="J72" s="64"/>
      <c r="K72" s="64"/>
      <c r="M72" s="10" t="str">
        <f t="shared" si="13"/>
        <v>BasSw</v>
      </c>
      <c r="N72" s="94" t="str">
        <f t="shared" si="14"/>
        <v>--</v>
      </c>
      <c r="O72" s="94" t="str">
        <f t="shared" si="14"/>
        <v>--</v>
      </c>
      <c r="P72" s="146" t="str">
        <f>IFERROR(_xll.qlRateHelperQuoteName(N72,Trigger),"--")</f>
        <v>--</v>
      </c>
      <c r="Q72" s="98" t="str">
        <f>IFERROR(_xll.qlRateHelperQuoteValue($N72,Trigger),"--")</f>
        <v>--</v>
      </c>
      <c r="R72" s="141" t="b">
        <v>0</v>
      </c>
      <c r="S72" s="94">
        <v>10</v>
      </c>
      <c r="T72" s="94">
        <v>1</v>
      </c>
      <c r="U72" s="99" t="str">
        <f>IFERROR(_xll.qlRateHelperEarliestDate(N72,Trigger),"--")</f>
        <v>--</v>
      </c>
      <c r="V72" s="99" t="str">
        <f>IFERROR(_xll.qlRateHelperPillarDate(N72,Trigger),"--")</f>
        <v>--</v>
      </c>
      <c r="X72" s="4" t="str">
        <f t="shared" si="17"/>
        <v/>
      </c>
      <c r="Y72" s="4" t="e">
        <v>#N/A</v>
      </c>
      <c r="Z72" s="4" t="e">
        <v>#N/A</v>
      </c>
      <c r="AA72" s="4" t="str">
        <f>IFERROR(_xll.qlRateHelperQuoteName(Y72,Trigger),"")</f>
        <v/>
      </c>
      <c r="AB72" s="70" t="str">
        <f>IFERROR(_xll.qlRateHelperRate(Y72,Trigger),"")</f>
        <v/>
      </c>
      <c r="AC72" s="104" t="str">
        <f>IF(ISERROR(_xll.qlSwapRateHelperSpread($Y72)),IF(ISERROR(_xll.qlFuturesRateHelperConvexityAdjustment($Y72)),"",_xll.qlFuturesRateHelperConvexityAdjustment($Y72)),_xll.qlSwapRateHelperSpread($Y72))</f>
        <v/>
      </c>
      <c r="AD72" s="5" t="str">
        <f>IFERROR(_xll.qlRateHelperEarliestDate(Y72,Trigger),"")</f>
        <v/>
      </c>
      <c r="AE72" s="5" t="str">
        <f>IFERROR(_xll.qlRateHelperPillarDate(Y72,Trigger),"")</f>
        <v/>
      </c>
      <c r="AF72" s="70" t="e">
        <v>#N/A</v>
      </c>
      <c r="AG72" s="77" t="e">
        <v>#N/A</v>
      </c>
      <c r="AI72" s="170" t="e">
        <v>#N/A</v>
      </c>
      <c r="AJ72" s="171" t="e">
        <v>#N/A</v>
      </c>
      <c r="AK72" s="173" t="e">
        <f t="shared" si="18"/>
        <v>#N/A</v>
      </c>
      <c r="AL72" s="80" t="e">
        <v>#N/A</v>
      </c>
      <c r="AM72" s="162" t="e">
        <f t="shared" si="19"/>
        <v>#N/A</v>
      </c>
    </row>
    <row r="73" spans="1:39" ht="11.25" customHeight="1" x14ac:dyDescent="0.2">
      <c r="A73" s="59" t="s">
        <v>118</v>
      </c>
      <c r="B73" s="60" t="s">
        <v>61</v>
      </c>
      <c r="C73" s="61" t="s">
        <v>6</v>
      </c>
      <c r="D73" s="61" t="s">
        <v>8</v>
      </c>
      <c r="E73" s="61" t="s">
        <v>7</v>
      </c>
      <c r="F73" s="61" t="s">
        <v>27</v>
      </c>
      <c r="G73" s="61" t="str">
        <f t="shared" si="15"/>
        <v>Euribor1M</v>
      </c>
      <c r="H73" s="59" t="str">
        <f t="shared" si="16"/>
        <v>EUR1E6E12Y_LCHQuote</v>
      </c>
      <c r="I73" s="155">
        <v>0</v>
      </c>
      <c r="J73" s="64" t="str">
        <f>_xll.qlSwapRateHelper2(,$H73,2,$B73,Calendar,$D73,$E73,$F73,$G73,$I73,$C73,Discounting1,PillarDate,,Permanent,Trigger,ObjectOverwrite)</f>
        <v>obj_005fe#0005</v>
      </c>
      <c r="K73" s="64" t="str">
        <f>_xll.qlSwapRateHelper2(,$H73,2,$B73,Calendar,$D73,$E73,$F73,$G73,$I73,$C73,Discounting2,PillarDate,,Permanent,Trigger,ObjectOverwrite)</f>
        <v>obj_0058e#0005</v>
      </c>
      <c r="M73" s="10" t="str">
        <f t="shared" si="13"/>
        <v>BasSw</v>
      </c>
      <c r="N73" s="94" t="str">
        <f t="shared" si="14"/>
        <v>--</v>
      </c>
      <c r="O73" s="94" t="str">
        <f t="shared" si="14"/>
        <v>--</v>
      </c>
      <c r="P73" s="146" t="str">
        <f>IFERROR(_xll.qlRateHelperQuoteName(N73,Trigger),"--")</f>
        <v>--</v>
      </c>
      <c r="Q73" s="98" t="str">
        <f>IFERROR(_xll.qlRateHelperQuoteValue($N73,Trigger),"--")</f>
        <v>--</v>
      </c>
      <c r="R73" s="141" t="b">
        <v>0</v>
      </c>
      <c r="S73" s="94">
        <v>10</v>
      </c>
      <c r="T73" s="94">
        <v>1</v>
      </c>
      <c r="U73" s="99" t="str">
        <f>IFERROR(_xll.qlRateHelperEarliestDate(N73,Trigger),"--")</f>
        <v>--</v>
      </c>
      <c r="V73" s="99" t="str">
        <f>IFERROR(_xll.qlRateHelperPillarDate(N73,Trigger),"--")</f>
        <v>--</v>
      </c>
      <c r="X73" s="4" t="str">
        <f t="shared" si="17"/>
        <v/>
      </c>
      <c r="Y73" s="4" t="e">
        <v>#N/A</v>
      </c>
      <c r="Z73" s="4" t="e">
        <v>#N/A</v>
      </c>
      <c r="AA73" s="4" t="str">
        <f>IFERROR(_xll.qlRateHelperQuoteName(Y73,Trigger),"")</f>
        <v/>
      </c>
      <c r="AB73" s="70" t="str">
        <f>IFERROR(_xll.qlRateHelperRate(Y73,Trigger),"")</f>
        <v/>
      </c>
      <c r="AC73" s="104" t="str">
        <f>IF(ISERROR(_xll.qlSwapRateHelperSpread($Y73)),IF(ISERROR(_xll.qlFuturesRateHelperConvexityAdjustment($Y73)),"",_xll.qlFuturesRateHelperConvexityAdjustment($Y73)),_xll.qlSwapRateHelperSpread($Y73))</f>
        <v/>
      </c>
      <c r="AD73" s="5" t="str">
        <f>IFERROR(_xll.qlRateHelperEarliestDate(Y73,Trigger),"")</f>
        <v/>
      </c>
      <c r="AE73" s="5" t="str">
        <f>IFERROR(_xll.qlRateHelperPillarDate(Y73,Trigger),"")</f>
        <v/>
      </c>
      <c r="AF73" s="70" t="e">
        <v>#N/A</v>
      </c>
      <c r="AG73" s="77" t="e">
        <v>#N/A</v>
      </c>
      <c r="AI73" s="170" t="e">
        <v>#N/A</v>
      </c>
      <c r="AJ73" s="171" t="e">
        <v>#N/A</v>
      </c>
      <c r="AK73" s="173" t="e">
        <f t="shared" si="18"/>
        <v>#N/A</v>
      </c>
      <c r="AL73" s="80" t="e">
        <v>#N/A</v>
      </c>
      <c r="AM73" s="162" t="e">
        <f t="shared" si="19"/>
        <v>#N/A</v>
      </c>
    </row>
    <row r="74" spans="1:39" ht="11.25" customHeight="1" x14ac:dyDescent="0.2">
      <c r="A74" s="59" t="s">
        <v>118</v>
      </c>
      <c r="B74" s="60" t="s">
        <v>99</v>
      </c>
      <c r="C74" s="61" t="s">
        <v>6</v>
      </c>
      <c r="D74" s="61" t="s">
        <v>8</v>
      </c>
      <c r="E74" s="61" t="s">
        <v>7</v>
      </c>
      <c r="F74" s="61" t="s">
        <v>27</v>
      </c>
      <c r="G74" s="61" t="str">
        <f t="shared" si="15"/>
        <v>Euribor1M</v>
      </c>
      <c r="H74" s="59" t="str">
        <f t="shared" si="16"/>
        <v>EUR1E6E13Y_LCHQuote</v>
      </c>
      <c r="I74" s="155">
        <v>0</v>
      </c>
      <c r="J74" s="64"/>
      <c r="K74" s="64"/>
      <c r="M74" s="10" t="str">
        <f t="shared" si="13"/>
        <v>BasSw</v>
      </c>
      <c r="N74" s="94" t="str">
        <f t="shared" si="14"/>
        <v>--</v>
      </c>
      <c r="O74" s="94" t="str">
        <f t="shared" si="14"/>
        <v>--</v>
      </c>
      <c r="P74" s="146" t="str">
        <f>IFERROR(_xll.qlRateHelperQuoteName(N74,Trigger),"--")</f>
        <v>--</v>
      </c>
      <c r="Q74" s="98" t="str">
        <f>IFERROR(_xll.qlRateHelperQuoteValue($N74,Trigger),"--")</f>
        <v>--</v>
      </c>
      <c r="R74" s="141" t="b">
        <v>0</v>
      </c>
      <c r="S74" s="94">
        <v>10</v>
      </c>
      <c r="T74" s="94">
        <v>1</v>
      </c>
      <c r="U74" s="99" t="str">
        <f>IFERROR(_xll.qlRateHelperEarliestDate(N74,Trigger),"--")</f>
        <v>--</v>
      </c>
      <c r="V74" s="99" t="str">
        <f>IFERROR(_xll.qlRateHelperPillarDate(N74,Trigger),"--")</f>
        <v>--</v>
      </c>
      <c r="X74" s="4" t="str">
        <f t="shared" si="17"/>
        <v/>
      </c>
      <c r="Y74" s="4" t="e">
        <v>#N/A</v>
      </c>
      <c r="Z74" s="4" t="e">
        <v>#N/A</v>
      </c>
      <c r="AA74" s="4" t="str">
        <f>IFERROR(_xll.qlRateHelperQuoteName(Y74,Trigger),"")</f>
        <v/>
      </c>
      <c r="AB74" s="70" t="str">
        <f>IFERROR(_xll.qlRateHelperRate(Y74,Trigger),"")</f>
        <v/>
      </c>
      <c r="AC74" s="104" t="str">
        <f>IF(ISERROR(_xll.qlSwapRateHelperSpread($Y74)),IF(ISERROR(_xll.qlFuturesRateHelperConvexityAdjustment($Y74)),"",_xll.qlFuturesRateHelperConvexityAdjustment($Y74)),_xll.qlSwapRateHelperSpread($Y74))</f>
        <v/>
      </c>
      <c r="AD74" s="5" t="str">
        <f>IFERROR(_xll.qlRateHelperEarliestDate(Y74,Trigger),"")</f>
        <v/>
      </c>
      <c r="AE74" s="5" t="str">
        <f>IFERROR(_xll.qlRateHelperPillarDate(Y74,Trigger),"")</f>
        <v/>
      </c>
      <c r="AF74" s="70" t="e">
        <v>#N/A</v>
      </c>
      <c r="AG74" s="77" t="e">
        <v>#N/A</v>
      </c>
      <c r="AI74" s="170" t="e">
        <v>#N/A</v>
      </c>
      <c r="AJ74" s="171" t="e">
        <v>#N/A</v>
      </c>
      <c r="AK74" s="173" t="e">
        <f t="shared" si="18"/>
        <v>#N/A</v>
      </c>
      <c r="AL74" s="80" t="e">
        <v>#N/A</v>
      </c>
      <c r="AM74" s="162" t="e">
        <f t="shared" si="19"/>
        <v>#N/A</v>
      </c>
    </row>
    <row r="75" spans="1:39" ht="11.25" customHeight="1" x14ac:dyDescent="0.2">
      <c r="A75" s="59" t="s">
        <v>118</v>
      </c>
      <c r="B75" s="60" t="s">
        <v>100</v>
      </c>
      <c r="C75" s="61" t="s">
        <v>6</v>
      </c>
      <c r="D75" s="61" t="s">
        <v>8</v>
      </c>
      <c r="E75" s="61" t="s">
        <v>7</v>
      </c>
      <c r="F75" s="61" t="s">
        <v>27</v>
      </c>
      <c r="G75" s="61" t="str">
        <f t="shared" si="15"/>
        <v>Euribor1M</v>
      </c>
      <c r="H75" s="59" t="str">
        <f t="shared" si="16"/>
        <v>EUR1E6E14Y_LCHQuote</v>
      </c>
      <c r="I75" s="155">
        <v>0</v>
      </c>
      <c r="J75" s="64"/>
      <c r="K75" s="64"/>
      <c r="M75" s="10" t="str">
        <f t="shared" si="13"/>
        <v>BasSw</v>
      </c>
      <c r="N75" s="94" t="str">
        <f t="shared" si="14"/>
        <v>obj_005ee#0005</v>
      </c>
      <c r="O75" s="94" t="str">
        <f t="shared" si="14"/>
        <v>obj_00591#0005</v>
      </c>
      <c r="P75" s="146" t="str">
        <f>IFERROR(_xll.qlRateHelperQuoteName(N75,Trigger),"--")</f>
        <v>EUR1E6E20Y_LCHQuote</v>
      </c>
      <c r="Q75" s="98">
        <f>IFERROR(_xll.qlRateHelperQuoteValue($N75,Trigger),"--")</f>
        <v>1.46955E-2</v>
      </c>
      <c r="R75" s="141" t="b">
        <v>1</v>
      </c>
      <c r="S75" s="94">
        <v>10</v>
      </c>
      <c r="T75" s="94">
        <v>1</v>
      </c>
      <c r="U75" s="99">
        <f>IFERROR(_xll.qlRateHelperEarliestDate(N75,Trigger),"--")</f>
        <v>42250</v>
      </c>
      <c r="V75" s="99">
        <f>IFERROR(_xll.qlRateHelperPillarDate(N75,Trigger),"--")</f>
        <v>49555</v>
      </c>
      <c r="X75" s="4" t="str">
        <f t="shared" si="17"/>
        <v/>
      </c>
      <c r="Y75" s="4" t="e">
        <v>#N/A</v>
      </c>
      <c r="Z75" s="4" t="e">
        <v>#N/A</v>
      </c>
      <c r="AA75" s="4" t="str">
        <f>IFERROR(_xll.qlRateHelperQuoteName(Y75,Trigger),"")</f>
        <v/>
      </c>
      <c r="AB75" s="70" t="str">
        <f>IFERROR(_xll.qlRateHelperRate(Y75,Trigger),"")</f>
        <v/>
      </c>
      <c r="AC75" s="104" t="str">
        <f>IF(ISERROR(_xll.qlSwapRateHelperSpread($Y75)),IF(ISERROR(_xll.qlFuturesRateHelperConvexityAdjustment($Y75)),"",_xll.qlFuturesRateHelperConvexityAdjustment($Y75)),_xll.qlSwapRateHelperSpread($Y75))</f>
        <v/>
      </c>
      <c r="AD75" s="5" t="str">
        <f>IFERROR(_xll.qlRateHelperEarliestDate(Y75,Trigger),"")</f>
        <v/>
      </c>
      <c r="AE75" s="5" t="str">
        <f>IFERROR(_xll.qlRateHelperPillarDate(Y75,Trigger),"")</f>
        <v/>
      </c>
      <c r="AF75" s="70" t="e">
        <v>#N/A</v>
      </c>
      <c r="AG75" s="77" t="e">
        <v>#N/A</v>
      </c>
      <c r="AI75" s="170" t="e">
        <v>#N/A</v>
      </c>
      <c r="AJ75" s="171" t="e">
        <v>#N/A</v>
      </c>
      <c r="AK75" s="173" t="e">
        <f t="shared" si="18"/>
        <v>#N/A</v>
      </c>
      <c r="AL75" s="80" t="e">
        <v>#N/A</v>
      </c>
      <c r="AM75" s="162" t="e">
        <f t="shared" si="19"/>
        <v>#N/A</v>
      </c>
    </row>
    <row r="76" spans="1:39" ht="11.25" customHeight="1" x14ac:dyDescent="0.2">
      <c r="A76" s="59" t="s">
        <v>118</v>
      </c>
      <c r="B76" s="60" t="s">
        <v>62</v>
      </c>
      <c r="C76" s="61" t="s">
        <v>6</v>
      </c>
      <c r="D76" s="61" t="s">
        <v>8</v>
      </c>
      <c r="E76" s="61" t="s">
        <v>7</v>
      </c>
      <c r="F76" s="61" t="s">
        <v>27</v>
      </c>
      <c r="G76" s="61" t="str">
        <f t="shared" si="15"/>
        <v>Euribor1M</v>
      </c>
      <c r="H76" s="59" t="str">
        <f t="shared" si="16"/>
        <v>EUR1E6E15Y_LCHQuote</v>
      </c>
      <c r="I76" s="155">
        <v>0</v>
      </c>
      <c r="J76" s="64" t="str">
        <f>_xll.qlSwapRateHelper2(,$H76,2,$B76,Calendar,$D76,$E76,$F76,$G76,$I76,$C76,Discounting1,PillarDate,,Permanent,Trigger,ObjectOverwrite)</f>
        <v>obj_005f5#0005</v>
      </c>
      <c r="K76" s="64" t="str">
        <f>_xll.qlSwapRateHelper2(,$H76,2,$B76,Calendar,$D76,$E76,$F76,$G76,$I76,$C76,Discounting2,PillarDate,,Permanent,Trigger,ObjectOverwrite)</f>
        <v>obj_00599#0005</v>
      </c>
      <c r="M76" s="10" t="str">
        <f t="shared" si="13"/>
        <v>BasSw</v>
      </c>
      <c r="N76" s="94" t="str">
        <f t="shared" si="14"/>
        <v>--</v>
      </c>
      <c r="O76" s="94" t="str">
        <f t="shared" si="14"/>
        <v>--</v>
      </c>
      <c r="P76" s="146" t="str">
        <f>IFERROR(_xll.qlRateHelperQuoteName(N76,Trigger),"--")</f>
        <v>--</v>
      </c>
      <c r="Q76" s="98" t="str">
        <f>IFERROR(_xll.qlRateHelperQuoteValue($N76,Trigger),"--")</f>
        <v>--</v>
      </c>
      <c r="R76" s="141" t="b">
        <v>0</v>
      </c>
      <c r="S76" s="94">
        <v>10</v>
      </c>
      <c r="T76" s="94">
        <v>1</v>
      </c>
      <c r="U76" s="99" t="str">
        <f>IFERROR(_xll.qlRateHelperEarliestDate(N76,Trigger),"--")</f>
        <v>--</v>
      </c>
      <c r="V76" s="99" t="str">
        <f>IFERROR(_xll.qlRateHelperPillarDate(N76,Trigger),"--")</f>
        <v>--</v>
      </c>
      <c r="X76" s="4" t="str">
        <f t="shared" si="17"/>
        <v/>
      </c>
      <c r="Y76" s="4" t="e">
        <v>#N/A</v>
      </c>
      <c r="Z76" s="4" t="e">
        <v>#N/A</v>
      </c>
      <c r="AA76" s="4" t="str">
        <f>IFERROR(_xll.qlRateHelperQuoteName(Y76,Trigger),"")</f>
        <v/>
      </c>
      <c r="AB76" s="70" t="str">
        <f>IFERROR(_xll.qlRateHelperRate(Y76,Trigger),"")</f>
        <v/>
      </c>
      <c r="AC76" s="104" t="str">
        <f>IF(ISERROR(_xll.qlSwapRateHelperSpread($Y76)),IF(ISERROR(_xll.qlFuturesRateHelperConvexityAdjustment($Y76)),"",_xll.qlFuturesRateHelperConvexityAdjustment($Y76)),_xll.qlSwapRateHelperSpread($Y76))</f>
        <v/>
      </c>
      <c r="AD76" s="5" t="str">
        <f>IFERROR(_xll.qlRateHelperEarliestDate(Y76,Trigger),"")</f>
        <v/>
      </c>
      <c r="AE76" s="5" t="str">
        <f>IFERROR(_xll.qlRateHelperPillarDate(Y76,Trigger),"")</f>
        <v/>
      </c>
      <c r="AF76" s="70" t="e">
        <v>#N/A</v>
      </c>
      <c r="AG76" s="77" t="e">
        <v>#N/A</v>
      </c>
      <c r="AI76" s="170" t="e">
        <v>#N/A</v>
      </c>
      <c r="AJ76" s="171" t="e">
        <v>#N/A</v>
      </c>
      <c r="AK76" s="173" t="e">
        <f t="shared" si="18"/>
        <v>#N/A</v>
      </c>
      <c r="AL76" s="80" t="e">
        <v>#N/A</v>
      </c>
      <c r="AM76" s="162" t="e">
        <f t="shared" si="19"/>
        <v>#N/A</v>
      </c>
    </row>
    <row r="77" spans="1:39" ht="11.25" customHeight="1" x14ac:dyDescent="0.2">
      <c r="A77" s="59" t="s">
        <v>118</v>
      </c>
      <c r="B77" s="60" t="s">
        <v>101</v>
      </c>
      <c r="C77" s="61" t="s">
        <v>6</v>
      </c>
      <c r="D77" s="61" t="s">
        <v>8</v>
      </c>
      <c r="E77" s="61" t="s">
        <v>7</v>
      </c>
      <c r="F77" s="61" t="s">
        <v>27</v>
      </c>
      <c r="G77" s="61" t="str">
        <f t="shared" si="15"/>
        <v>Euribor1M</v>
      </c>
      <c r="H77" s="59" t="str">
        <f t="shared" si="16"/>
        <v>EUR1E6E16Y_LCHQuote</v>
      </c>
      <c r="I77" s="155">
        <v>0</v>
      </c>
      <c r="J77" s="64"/>
      <c r="K77" s="64"/>
      <c r="M77" s="10" t="str">
        <f t="shared" si="13"/>
        <v>BasSw</v>
      </c>
      <c r="N77" s="94" t="str">
        <f t="shared" si="14"/>
        <v>--</v>
      </c>
      <c r="O77" s="94" t="str">
        <f t="shared" si="14"/>
        <v>--</v>
      </c>
      <c r="P77" s="146" t="str">
        <f>IFERROR(_xll.qlRateHelperQuoteName(N77,Trigger),"--")</f>
        <v>--</v>
      </c>
      <c r="Q77" s="98" t="str">
        <f>IFERROR(_xll.qlRateHelperQuoteValue($N77,Trigger),"--")</f>
        <v>--</v>
      </c>
      <c r="R77" s="141" t="b">
        <v>0</v>
      </c>
      <c r="S77" s="94">
        <v>10</v>
      </c>
      <c r="T77" s="94">
        <v>1</v>
      </c>
      <c r="U77" s="99" t="str">
        <f>IFERROR(_xll.qlRateHelperEarliestDate(N77,Trigger),"--")</f>
        <v>--</v>
      </c>
      <c r="V77" s="99" t="str">
        <f>IFERROR(_xll.qlRateHelperPillarDate(N77,Trigger),"--")</f>
        <v>--</v>
      </c>
      <c r="X77" s="4" t="str">
        <f t="shared" si="17"/>
        <v/>
      </c>
      <c r="Y77" s="4" t="e">
        <v>#N/A</v>
      </c>
      <c r="Z77" s="4" t="e">
        <v>#N/A</v>
      </c>
      <c r="AA77" s="4" t="str">
        <f>IFERROR(_xll.qlRateHelperQuoteName(Y77,Trigger),"")</f>
        <v/>
      </c>
      <c r="AB77" s="70" t="str">
        <f>IFERROR(_xll.qlRateHelperRate(Y77,Trigger),"")</f>
        <v/>
      </c>
      <c r="AC77" s="104" t="str">
        <f>IF(ISERROR(_xll.qlSwapRateHelperSpread($Y77)),IF(ISERROR(_xll.qlFuturesRateHelperConvexityAdjustment($Y77)),"",_xll.qlFuturesRateHelperConvexityAdjustment($Y77)),_xll.qlSwapRateHelperSpread($Y77))</f>
        <v/>
      </c>
      <c r="AD77" s="5" t="str">
        <f>IFERROR(_xll.qlRateHelperEarliestDate(Y77,Trigger),"")</f>
        <v/>
      </c>
      <c r="AE77" s="5" t="str">
        <f>IFERROR(_xll.qlRateHelperPillarDate(Y77,Trigger),"")</f>
        <v/>
      </c>
      <c r="AF77" s="70" t="e">
        <v>#N/A</v>
      </c>
      <c r="AG77" s="77" t="e">
        <v>#N/A</v>
      </c>
      <c r="AI77" s="170" t="e">
        <v>#N/A</v>
      </c>
      <c r="AJ77" s="171" t="e">
        <v>#N/A</v>
      </c>
      <c r="AK77" s="173" t="e">
        <f t="shared" si="18"/>
        <v>#N/A</v>
      </c>
      <c r="AL77" s="80" t="e">
        <v>#N/A</v>
      </c>
      <c r="AM77" s="162" t="e">
        <f t="shared" si="19"/>
        <v>#N/A</v>
      </c>
    </row>
    <row r="78" spans="1:39" ht="11.25" customHeight="1" x14ac:dyDescent="0.2">
      <c r="A78" s="59" t="s">
        <v>118</v>
      </c>
      <c r="B78" s="60" t="s">
        <v>102</v>
      </c>
      <c r="C78" s="61" t="s">
        <v>6</v>
      </c>
      <c r="D78" s="61" t="s">
        <v>8</v>
      </c>
      <c r="E78" s="61" t="s">
        <v>7</v>
      </c>
      <c r="F78" s="61" t="s">
        <v>27</v>
      </c>
      <c r="G78" s="61" t="str">
        <f t="shared" si="15"/>
        <v>Euribor1M</v>
      </c>
      <c r="H78" s="59" t="str">
        <f t="shared" si="16"/>
        <v>EUR1E6E17Y_LCHQuote</v>
      </c>
      <c r="I78" s="155">
        <v>0</v>
      </c>
      <c r="J78" s="64"/>
      <c r="K78" s="64"/>
      <c r="M78" s="10" t="str">
        <f t="shared" si="13"/>
        <v>BasSw</v>
      </c>
      <c r="N78" s="94" t="str">
        <f t="shared" si="14"/>
        <v>--</v>
      </c>
      <c r="O78" s="94" t="str">
        <f t="shared" si="14"/>
        <v>--</v>
      </c>
      <c r="P78" s="146" t="str">
        <f>IFERROR(_xll.qlRateHelperQuoteName(N78,Trigger),"--")</f>
        <v>--</v>
      </c>
      <c r="Q78" s="98" t="str">
        <f>IFERROR(_xll.qlRateHelperQuoteValue($N78,Trigger),"--")</f>
        <v>--</v>
      </c>
      <c r="R78" s="141" t="b">
        <v>0</v>
      </c>
      <c r="S78" s="94">
        <v>10</v>
      </c>
      <c r="T78" s="94">
        <v>1</v>
      </c>
      <c r="U78" s="99" t="str">
        <f>IFERROR(_xll.qlRateHelperEarliestDate(N78,Trigger),"--")</f>
        <v>--</v>
      </c>
      <c r="V78" s="99" t="str">
        <f>IFERROR(_xll.qlRateHelperPillarDate(N78,Trigger),"--")</f>
        <v>--</v>
      </c>
      <c r="X78" s="4" t="str">
        <f t="shared" si="17"/>
        <v/>
      </c>
      <c r="Y78" s="4" t="e">
        <v>#N/A</v>
      </c>
      <c r="Z78" s="4" t="e">
        <v>#N/A</v>
      </c>
      <c r="AA78" s="4" t="str">
        <f>IFERROR(_xll.qlRateHelperQuoteName(Y78,Trigger),"")</f>
        <v/>
      </c>
      <c r="AB78" s="70" t="str">
        <f>IFERROR(_xll.qlRateHelperRate(Y78,Trigger),"")</f>
        <v/>
      </c>
      <c r="AC78" s="104" t="str">
        <f>IF(ISERROR(_xll.qlSwapRateHelperSpread($Y78)),IF(ISERROR(_xll.qlFuturesRateHelperConvexityAdjustment($Y78)),"",_xll.qlFuturesRateHelperConvexityAdjustment($Y78)),_xll.qlSwapRateHelperSpread($Y78))</f>
        <v/>
      </c>
      <c r="AD78" s="5" t="str">
        <f>IFERROR(_xll.qlRateHelperEarliestDate(Y78,Trigger),"")</f>
        <v/>
      </c>
      <c r="AE78" s="5" t="str">
        <f>IFERROR(_xll.qlRateHelperPillarDate(Y78,Trigger),"")</f>
        <v/>
      </c>
      <c r="AF78" s="70" t="e">
        <v>#N/A</v>
      </c>
      <c r="AG78" s="77" t="e">
        <v>#N/A</v>
      </c>
      <c r="AI78" s="170" t="e">
        <v>#N/A</v>
      </c>
      <c r="AJ78" s="171" t="e">
        <v>#N/A</v>
      </c>
      <c r="AK78" s="173" t="e">
        <f t="shared" si="18"/>
        <v>#N/A</v>
      </c>
      <c r="AL78" s="80" t="e">
        <v>#N/A</v>
      </c>
      <c r="AM78" s="162" t="e">
        <f t="shared" si="19"/>
        <v>#N/A</v>
      </c>
    </row>
    <row r="79" spans="1:39" ht="11.25" customHeight="1" x14ac:dyDescent="0.2">
      <c r="A79" s="59" t="s">
        <v>118</v>
      </c>
      <c r="B79" s="60" t="s">
        <v>103</v>
      </c>
      <c r="C79" s="61" t="s">
        <v>6</v>
      </c>
      <c r="D79" s="61" t="s">
        <v>8</v>
      </c>
      <c r="E79" s="61" t="s">
        <v>7</v>
      </c>
      <c r="F79" s="61" t="s">
        <v>27</v>
      </c>
      <c r="G79" s="61" t="str">
        <f t="shared" si="15"/>
        <v>Euribor1M</v>
      </c>
      <c r="H79" s="59" t="str">
        <f t="shared" si="16"/>
        <v>EUR1E6E18Y_LCHQuote</v>
      </c>
      <c r="I79" s="155">
        <v>0</v>
      </c>
      <c r="J79" s="64"/>
      <c r="K79" s="64"/>
      <c r="M79" s="10" t="str">
        <f t="shared" si="13"/>
        <v>BasSw</v>
      </c>
      <c r="N79" s="94" t="str">
        <f t="shared" si="14"/>
        <v>--</v>
      </c>
      <c r="O79" s="94" t="str">
        <f t="shared" si="14"/>
        <v>--</v>
      </c>
      <c r="P79" s="146" t="str">
        <f>IFERROR(_xll.qlRateHelperQuoteName(N79,Trigger),"--")</f>
        <v>--</v>
      </c>
      <c r="Q79" s="98" t="str">
        <f>IFERROR(_xll.qlRateHelperQuoteValue($N79,Trigger),"--")</f>
        <v>--</v>
      </c>
      <c r="R79" s="141" t="b">
        <v>0</v>
      </c>
      <c r="S79" s="94">
        <v>10</v>
      </c>
      <c r="T79" s="94">
        <v>1</v>
      </c>
      <c r="U79" s="99" t="str">
        <f>IFERROR(_xll.qlRateHelperEarliestDate(N79,Trigger),"--")</f>
        <v>--</v>
      </c>
      <c r="V79" s="99" t="str">
        <f>IFERROR(_xll.qlRateHelperPillarDate(N79,Trigger),"--")</f>
        <v>--</v>
      </c>
      <c r="X79" s="4" t="str">
        <f t="shared" si="17"/>
        <v/>
      </c>
      <c r="Y79" s="4" t="e">
        <v>#N/A</v>
      </c>
      <c r="Z79" s="4" t="e">
        <v>#N/A</v>
      </c>
      <c r="AA79" s="4" t="str">
        <f>IFERROR(_xll.qlRateHelperQuoteName(Y79,Trigger),"")</f>
        <v/>
      </c>
      <c r="AB79" s="70" t="str">
        <f>IFERROR(_xll.qlRateHelperRate(Y79,Trigger),"")</f>
        <v/>
      </c>
      <c r="AC79" s="104" t="str">
        <f>IF(ISERROR(_xll.qlSwapRateHelperSpread($Y79)),IF(ISERROR(_xll.qlFuturesRateHelperConvexityAdjustment($Y79)),"",_xll.qlFuturesRateHelperConvexityAdjustment($Y79)),_xll.qlSwapRateHelperSpread($Y79))</f>
        <v/>
      </c>
      <c r="AD79" s="5" t="str">
        <f>IFERROR(_xll.qlRateHelperEarliestDate(Y79,Trigger),"")</f>
        <v/>
      </c>
      <c r="AE79" s="5" t="str">
        <f>IFERROR(_xll.qlRateHelperPillarDate(Y79,Trigger),"")</f>
        <v/>
      </c>
      <c r="AF79" s="70" t="e">
        <v>#N/A</v>
      </c>
      <c r="AG79" s="77" t="e">
        <v>#N/A</v>
      </c>
      <c r="AI79" s="170" t="e">
        <v>#N/A</v>
      </c>
      <c r="AJ79" s="171" t="e">
        <v>#N/A</v>
      </c>
      <c r="AK79" s="173" t="e">
        <f t="shared" si="18"/>
        <v>#N/A</v>
      </c>
      <c r="AL79" s="80" t="e">
        <v>#N/A</v>
      </c>
      <c r="AM79" s="162" t="e">
        <f t="shared" si="19"/>
        <v>#N/A</v>
      </c>
    </row>
    <row r="80" spans="1:39" ht="11.25" customHeight="1" x14ac:dyDescent="0.2">
      <c r="A80" s="59" t="s">
        <v>118</v>
      </c>
      <c r="B80" s="60" t="s">
        <v>104</v>
      </c>
      <c r="C80" s="61" t="s">
        <v>6</v>
      </c>
      <c r="D80" s="61" t="s">
        <v>8</v>
      </c>
      <c r="E80" s="61" t="s">
        <v>7</v>
      </c>
      <c r="F80" s="61" t="s">
        <v>27</v>
      </c>
      <c r="G80" s="61" t="str">
        <f t="shared" si="15"/>
        <v>Euribor1M</v>
      </c>
      <c r="H80" s="59" t="str">
        <f t="shared" si="16"/>
        <v>EUR1E6E19Y_LCHQuote</v>
      </c>
      <c r="I80" s="155">
        <v>0</v>
      </c>
      <c r="J80" s="64"/>
      <c r="K80" s="64"/>
      <c r="M80" s="10" t="str">
        <f t="shared" si="13"/>
        <v>BasSw</v>
      </c>
      <c r="N80" s="94" t="str">
        <f t="shared" si="14"/>
        <v>obj_005f8#0005</v>
      </c>
      <c r="O80" s="94" t="str">
        <f t="shared" si="14"/>
        <v>obj_00589#0005</v>
      </c>
      <c r="P80" s="146" t="str">
        <f>IFERROR(_xll.qlRateHelperQuoteName(N80,Trigger),"--")</f>
        <v>EUR1E6E25Y_LCHQuote</v>
      </c>
      <c r="Q80" s="98">
        <f>IFERROR(_xll.qlRateHelperQuoteValue($N80,Trigger),"--")</f>
        <v>1.5153E-2</v>
      </c>
      <c r="R80" s="141" t="b">
        <v>1</v>
      </c>
      <c r="S80" s="94">
        <v>10</v>
      </c>
      <c r="T80" s="94">
        <v>1</v>
      </c>
      <c r="U80" s="99">
        <f>IFERROR(_xll.qlRateHelperEarliestDate(N80,Trigger),"--")</f>
        <v>42250</v>
      </c>
      <c r="V80" s="99">
        <f>IFERROR(_xll.qlRateHelperPillarDate(N80,Trigger),"--")</f>
        <v>51382</v>
      </c>
      <c r="X80" s="4" t="str">
        <f t="shared" si="17"/>
        <v/>
      </c>
      <c r="Y80" s="4" t="e">
        <v>#N/A</v>
      </c>
      <c r="Z80" s="4" t="e">
        <v>#N/A</v>
      </c>
      <c r="AA80" s="4" t="str">
        <f>IFERROR(_xll.qlRateHelperQuoteName(Y80,Trigger),"")</f>
        <v/>
      </c>
      <c r="AB80" s="70" t="str">
        <f>IFERROR(_xll.qlRateHelperRate(Y80,Trigger),"")</f>
        <v/>
      </c>
      <c r="AC80" s="104" t="str">
        <f>IF(ISERROR(_xll.qlSwapRateHelperSpread($Y80)),IF(ISERROR(_xll.qlFuturesRateHelperConvexityAdjustment($Y80)),"",_xll.qlFuturesRateHelperConvexityAdjustment($Y80)),_xll.qlSwapRateHelperSpread($Y80))</f>
        <v/>
      </c>
      <c r="AD80" s="5" t="str">
        <f>IFERROR(_xll.qlRateHelperEarliestDate(Y80,Trigger),"")</f>
        <v/>
      </c>
      <c r="AE80" s="5" t="str">
        <f>IFERROR(_xll.qlRateHelperPillarDate(Y80,Trigger),"")</f>
        <v/>
      </c>
      <c r="AF80" s="70" t="e">
        <v>#N/A</v>
      </c>
      <c r="AG80" s="77" t="e">
        <v>#N/A</v>
      </c>
      <c r="AI80" s="170" t="e">
        <v>#N/A</v>
      </c>
      <c r="AJ80" s="171" t="e">
        <v>#N/A</v>
      </c>
      <c r="AK80" s="173" t="e">
        <f t="shared" si="18"/>
        <v>#N/A</v>
      </c>
      <c r="AL80" s="80" t="e">
        <v>#N/A</v>
      </c>
      <c r="AM80" s="162" t="e">
        <f t="shared" si="19"/>
        <v>#N/A</v>
      </c>
    </row>
    <row r="81" spans="1:39" x14ac:dyDescent="0.2">
      <c r="A81" s="59" t="s">
        <v>118</v>
      </c>
      <c r="B81" s="60" t="s">
        <v>63</v>
      </c>
      <c r="C81" s="61" t="s">
        <v>6</v>
      </c>
      <c r="D81" s="61" t="s">
        <v>8</v>
      </c>
      <c r="E81" s="61" t="s">
        <v>7</v>
      </c>
      <c r="F81" s="61" t="s">
        <v>27</v>
      </c>
      <c r="G81" s="61" t="str">
        <f t="shared" si="15"/>
        <v>Euribor1M</v>
      </c>
      <c r="H81" s="59" t="str">
        <f t="shared" si="16"/>
        <v>EUR1E6E20Y_LCHQuote</v>
      </c>
      <c r="I81" s="155">
        <v>0</v>
      </c>
      <c r="J81" s="64" t="str">
        <f>_xll.qlSwapRateHelper2(,$H81,2,$B81,Calendar,$D81,$E81,$F81,$G81,$I81,$C81,Discounting1,PillarDate,,Permanent,Trigger,ObjectOverwrite)</f>
        <v>obj_005ee#0005</v>
      </c>
      <c r="K81" s="64" t="str">
        <f>_xll.qlSwapRateHelper2(,$H81,2,$B81,Calendar,$D81,$E81,$F81,$G81,$I81,$C81,Discounting2,PillarDate,,Permanent,Trigger,ObjectOverwrite)</f>
        <v>obj_00591#0005</v>
      </c>
      <c r="M81" s="10" t="str">
        <f t="shared" si="13"/>
        <v>BasSw</v>
      </c>
      <c r="N81" s="94" t="str">
        <f t="shared" si="14"/>
        <v>--</v>
      </c>
      <c r="O81" s="94" t="str">
        <f t="shared" si="14"/>
        <v>--</v>
      </c>
      <c r="P81" s="146" t="str">
        <f>IFERROR(_xll.qlRateHelperQuoteName(N81,Trigger),"--")</f>
        <v>--</v>
      </c>
      <c r="Q81" s="98" t="str">
        <f>IFERROR(_xll.qlRateHelperQuoteValue($N81,Trigger),"--")</f>
        <v>--</v>
      </c>
      <c r="R81" s="141" t="b">
        <v>0</v>
      </c>
      <c r="S81" s="94">
        <v>10</v>
      </c>
      <c r="T81" s="94">
        <v>1</v>
      </c>
      <c r="U81" s="99" t="str">
        <f>IFERROR(_xll.qlRateHelperEarliestDate(N81,Trigger),"--")</f>
        <v>--</v>
      </c>
      <c r="V81" s="99" t="str">
        <f>IFERROR(_xll.qlRateHelperPillarDate(N81,Trigger),"--")</f>
        <v>--</v>
      </c>
      <c r="X81" s="4" t="str">
        <f t="shared" si="17"/>
        <v/>
      </c>
      <c r="Y81" s="4" t="e">
        <v>#N/A</v>
      </c>
      <c r="Z81" s="4" t="e">
        <v>#N/A</v>
      </c>
      <c r="AA81" s="4" t="str">
        <f>IFERROR(_xll.qlRateHelperQuoteName(Y81,Trigger),"")</f>
        <v/>
      </c>
      <c r="AB81" s="70" t="str">
        <f>IFERROR(_xll.qlRateHelperRate(Y81,Trigger),"")</f>
        <v/>
      </c>
      <c r="AC81" s="104" t="str">
        <f>IF(ISERROR(_xll.qlSwapRateHelperSpread($Y81)),IF(ISERROR(_xll.qlFuturesRateHelperConvexityAdjustment($Y81)),"",_xll.qlFuturesRateHelperConvexityAdjustment($Y81)),_xll.qlSwapRateHelperSpread($Y81))</f>
        <v/>
      </c>
      <c r="AD81" s="5" t="str">
        <f>IFERROR(_xll.qlRateHelperEarliestDate(Y81,Trigger),"")</f>
        <v/>
      </c>
      <c r="AE81" s="5" t="str">
        <f>IFERROR(_xll.qlRateHelperPillarDate(Y81,Trigger),"")</f>
        <v/>
      </c>
      <c r="AF81" s="70" t="e">
        <v>#N/A</v>
      </c>
      <c r="AG81" s="77" t="e">
        <v>#N/A</v>
      </c>
      <c r="AI81" s="170" t="e">
        <v>#N/A</v>
      </c>
      <c r="AJ81" s="171" t="e">
        <v>#N/A</v>
      </c>
      <c r="AK81" s="173" t="e">
        <f t="shared" si="18"/>
        <v>#N/A</v>
      </c>
      <c r="AL81" s="80" t="e">
        <v>#N/A</v>
      </c>
      <c r="AM81" s="162" t="e">
        <f t="shared" si="19"/>
        <v>#N/A</v>
      </c>
    </row>
    <row r="82" spans="1:39" x14ac:dyDescent="0.2">
      <c r="A82" s="59" t="s">
        <v>118</v>
      </c>
      <c r="B82" s="60" t="s">
        <v>105</v>
      </c>
      <c r="C82" s="61" t="s">
        <v>6</v>
      </c>
      <c r="D82" s="61" t="s">
        <v>8</v>
      </c>
      <c r="E82" s="61" t="s">
        <v>7</v>
      </c>
      <c r="F82" s="61" t="s">
        <v>27</v>
      </c>
      <c r="G82" s="61" t="str">
        <f t="shared" si="15"/>
        <v>Euribor1M</v>
      </c>
      <c r="H82" s="59" t="str">
        <f t="shared" si="16"/>
        <v>EUR1E6E21Y_LCHQuote</v>
      </c>
      <c r="I82" s="155">
        <v>0</v>
      </c>
      <c r="J82" s="64"/>
      <c r="K82" s="64"/>
      <c r="M82" s="10" t="str">
        <f t="shared" si="13"/>
        <v>BasSw</v>
      </c>
      <c r="N82" s="94" t="str">
        <f t="shared" si="14"/>
        <v>--</v>
      </c>
      <c r="O82" s="94" t="str">
        <f t="shared" si="14"/>
        <v>--</v>
      </c>
      <c r="P82" s="146" t="str">
        <f>IFERROR(_xll.qlRateHelperQuoteName(N82,Trigger),"--")</f>
        <v>--</v>
      </c>
      <c r="Q82" s="98" t="str">
        <f>IFERROR(_xll.qlRateHelperQuoteValue($N82,Trigger),"--")</f>
        <v>--</v>
      </c>
      <c r="R82" s="141" t="b">
        <v>0</v>
      </c>
      <c r="S82" s="94">
        <v>10</v>
      </c>
      <c r="T82" s="94">
        <v>1</v>
      </c>
      <c r="U82" s="99" t="str">
        <f>IFERROR(_xll.qlRateHelperEarliestDate(N82,Trigger),"--")</f>
        <v>--</v>
      </c>
      <c r="V82" s="99" t="str">
        <f>IFERROR(_xll.qlRateHelperPillarDate(N82,Trigger),"--")</f>
        <v>--</v>
      </c>
      <c r="X82" s="4" t="str">
        <f t="shared" si="17"/>
        <v/>
      </c>
      <c r="Y82" s="4" t="e">
        <v>#N/A</v>
      </c>
      <c r="Z82" s="4" t="e">
        <v>#N/A</v>
      </c>
      <c r="AA82" s="4" t="str">
        <f>IFERROR(_xll.qlRateHelperQuoteName(Y82,Trigger),"")</f>
        <v/>
      </c>
      <c r="AB82" s="70" t="str">
        <f>IFERROR(_xll.qlRateHelperRate(Y82,Trigger),"")</f>
        <v/>
      </c>
      <c r="AC82" s="104" t="str">
        <f>IF(ISERROR(_xll.qlSwapRateHelperSpread($Y82)),IF(ISERROR(_xll.qlFuturesRateHelperConvexityAdjustment($Y82)),"",_xll.qlFuturesRateHelperConvexityAdjustment($Y82)),_xll.qlSwapRateHelperSpread($Y82))</f>
        <v/>
      </c>
      <c r="AD82" s="5" t="str">
        <f>IFERROR(_xll.qlRateHelperEarliestDate(Y82,Trigger),"")</f>
        <v/>
      </c>
      <c r="AE82" s="5" t="str">
        <f>IFERROR(_xll.qlRateHelperPillarDate(Y82,Trigger),"")</f>
        <v/>
      </c>
      <c r="AF82" s="70" t="e">
        <v>#N/A</v>
      </c>
      <c r="AG82" s="77" t="e">
        <v>#N/A</v>
      </c>
      <c r="AI82" s="170" t="e">
        <v>#N/A</v>
      </c>
      <c r="AJ82" s="171" t="e">
        <v>#N/A</v>
      </c>
      <c r="AK82" s="173" t="e">
        <f t="shared" si="18"/>
        <v>#N/A</v>
      </c>
      <c r="AL82" s="80" t="e">
        <v>#N/A</v>
      </c>
      <c r="AM82" s="162" t="e">
        <f t="shared" si="19"/>
        <v>#N/A</v>
      </c>
    </row>
    <row r="83" spans="1:39" x14ac:dyDescent="0.2">
      <c r="A83" s="59" t="s">
        <v>118</v>
      </c>
      <c r="B83" s="60" t="s">
        <v>106</v>
      </c>
      <c r="C83" s="61" t="s">
        <v>6</v>
      </c>
      <c r="D83" s="61" t="s">
        <v>8</v>
      </c>
      <c r="E83" s="61" t="s">
        <v>7</v>
      </c>
      <c r="F83" s="61" t="s">
        <v>27</v>
      </c>
      <c r="G83" s="61" t="str">
        <f t="shared" si="15"/>
        <v>Euribor1M</v>
      </c>
      <c r="H83" s="59" t="str">
        <f t="shared" si="16"/>
        <v>EUR1E6E22Y_LCHQuote</v>
      </c>
      <c r="I83" s="155">
        <v>0</v>
      </c>
      <c r="J83" s="64"/>
      <c r="K83" s="64"/>
      <c r="M83" s="10" t="str">
        <f t="shared" si="13"/>
        <v>BasSw</v>
      </c>
      <c r="N83" s="94" t="str">
        <f t="shared" si="14"/>
        <v>--</v>
      </c>
      <c r="O83" s="94" t="str">
        <f t="shared" si="14"/>
        <v>--</v>
      </c>
      <c r="P83" s="146" t="str">
        <f>IFERROR(_xll.qlRateHelperQuoteName(N83,Trigger),"--")</f>
        <v>--</v>
      </c>
      <c r="Q83" s="98" t="str">
        <f>IFERROR(_xll.qlRateHelperQuoteValue($N83,Trigger),"--")</f>
        <v>--</v>
      </c>
      <c r="R83" s="141" t="b">
        <v>0</v>
      </c>
      <c r="S83" s="94">
        <v>10</v>
      </c>
      <c r="T83" s="94">
        <v>1</v>
      </c>
      <c r="U83" s="99" t="str">
        <f>IFERROR(_xll.qlRateHelperEarliestDate(N83,Trigger),"--")</f>
        <v>--</v>
      </c>
      <c r="V83" s="99" t="str">
        <f>IFERROR(_xll.qlRateHelperPillarDate(N83,Trigger),"--")</f>
        <v>--</v>
      </c>
      <c r="X83" s="4" t="str">
        <f t="shared" si="17"/>
        <v/>
      </c>
      <c r="Y83" s="4" t="e">
        <v>#N/A</v>
      </c>
      <c r="Z83" s="4" t="e">
        <v>#N/A</v>
      </c>
      <c r="AA83" s="4" t="str">
        <f>IFERROR(_xll.qlRateHelperQuoteName(Y83,Trigger),"")</f>
        <v/>
      </c>
      <c r="AB83" s="70" t="str">
        <f>IFERROR(_xll.qlRateHelperRate(Y83,Trigger),"")</f>
        <v/>
      </c>
      <c r="AC83" s="104" t="str">
        <f>IF(ISERROR(_xll.qlSwapRateHelperSpread($Y83)),IF(ISERROR(_xll.qlFuturesRateHelperConvexityAdjustment($Y83)),"",_xll.qlFuturesRateHelperConvexityAdjustment($Y83)),_xll.qlSwapRateHelperSpread($Y83))</f>
        <v/>
      </c>
      <c r="AD83" s="5" t="str">
        <f>IFERROR(_xll.qlRateHelperEarliestDate(Y83,Trigger),"")</f>
        <v/>
      </c>
      <c r="AE83" s="5" t="str">
        <f>IFERROR(_xll.qlRateHelperPillarDate(Y83,Trigger),"")</f>
        <v/>
      </c>
      <c r="AF83" s="70" t="e">
        <v>#N/A</v>
      </c>
      <c r="AG83" s="77" t="e">
        <v>#N/A</v>
      </c>
      <c r="AI83" s="170" t="e">
        <v>#N/A</v>
      </c>
      <c r="AJ83" s="171" t="e">
        <v>#N/A</v>
      </c>
      <c r="AK83" s="173" t="e">
        <f t="shared" si="18"/>
        <v>#N/A</v>
      </c>
      <c r="AL83" s="80" t="e">
        <v>#N/A</v>
      </c>
      <c r="AM83" s="162" t="e">
        <f t="shared" si="19"/>
        <v>#N/A</v>
      </c>
    </row>
    <row r="84" spans="1:39" x14ac:dyDescent="0.2">
      <c r="A84" s="59" t="s">
        <v>118</v>
      </c>
      <c r="B84" s="60" t="s">
        <v>107</v>
      </c>
      <c r="C84" s="61" t="s">
        <v>6</v>
      </c>
      <c r="D84" s="61" t="s">
        <v>8</v>
      </c>
      <c r="E84" s="61" t="s">
        <v>7</v>
      </c>
      <c r="F84" s="61" t="s">
        <v>27</v>
      </c>
      <c r="G84" s="61" t="str">
        <f t="shared" si="15"/>
        <v>Euribor1M</v>
      </c>
      <c r="H84" s="59" t="str">
        <f t="shared" si="16"/>
        <v>EUR1E6E23Y_LCHQuote</v>
      </c>
      <c r="I84" s="155">
        <v>0</v>
      </c>
      <c r="J84" s="64"/>
      <c r="K84" s="64"/>
      <c r="M84" s="10" t="str">
        <f t="shared" si="13"/>
        <v>BasSw</v>
      </c>
      <c r="N84" s="94" t="str">
        <f t="shared" si="14"/>
        <v>--</v>
      </c>
      <c r="O84" s="94" t="str">
        <f t="shared" si="14"/>
        <v>--</v>
      </c>
      <c r="P84" s="146" t="str">
        <f>IFERROR(_xll.qlRateHelperQuoteName(N84,Trigger),"--")</f>
        <v>--</v>
      </c>
      <c r="Q84" s="98" t="str">
        <f>IFERROR(_xll.qlRateHelperQuoteValue($N84,Trigger),"--")</f>
        <v>--</v>
      </c>
      <c r="R84" s="141" t="b">
        <v>0</v>
      </c>
      <c r="S84" s="94">
        <v>10</v>
      </c>
      <c r="T84" s="94">
        <v>1</v>
      </c>
      <c r="U84" s="99" t="str">
        <f>IFERROR(_xll.qlRateHelperEarliestDate(N84,Trigger),"--")</f>
        <v>--</v>
      </c>
      <c r="V84" s="99" t="str">
        <f>IFERROR(_xll.qlRateHelperPillarDate(N84,Trigger),"--")</f>
        <v>--</v>
      </c>
      <c r="X84" s="4" t="str">
        <f t="shared" si="17"/>
        <v/>
      </c>
      <c r="Y84" s="4" t="e">
        <v>#N/A</v>
      </c>
      <c r="Z84" s="4" t="e">
        <v>#N/A</v>
      </c>
      <c r="AA84" s="4" t="str">
        <f>IFERROR(_xll.qlRateHelperQuoteName(Y84,Trigger),"")</f>
        <v/>
      </c>
      <c r="AB84" s="70" t="str">
        <f>IFERROR(_xll.qlRateHelperRate(Y84,Trigger),"")</f>
        <v/>
      </c>
      <c r="AC84" s="104" t="str">
        <f>IF(ISERROR(_xll.qlSwapRateHelperSpread($Y84)),IF(ISERROR(_xll.qlFuturesRateHelperConvexityAdjustment($Y84)),"",_xll.qlFuturesRateHelperConvexityAdjustment($Y84)),_xll.qlSwapRateHelperSpread($Y84))</f>
        <v/>
      </c>
      <c r="AD84" s="5" t="str">
        <f>IFERROR(_xll.qlRateHelperEarliestDate(Y84,Trigger),"")</f>
        <v/>
      </c>
      <c r="AE84" s="5" t="str">
        <f>IFERROR(_xll.qlRateHelperPillarDate(Y84,Trigger),"")</f>
        <v/>
      </c>
      <c r="AF84" s="70" t="e">
        <v>#N/A</v>
      </c>
      <c r="AG84" s="77" t="e">
        <v>#N/A</v>
      </c>
      <c r="AI84" s="170" t="e">
        <v>#N/A</v>
      </c>
      <c r="AJ84" s="171" t="e">
        <v>#N/A</v>
      </c>
      <c r="AK84" s="173" t="e">
        <f t="shared" si="18"/>
        <v>#N/A</v>
      </c>
      <c r="AL84" s="80" t="e">
        <v>#N/A</v>
      </c>
      <c r="AM84" s="162" t="e">
        <f t="shared" si="19"/>
        <v>#N/A</v>
      </c>
    </row>
    <row r="85" spans="1:39" x14ac:dyDescent="0.2">
      <c r="A85" s="59" t="s">
        <v>118</v>
      </c>
      <c r="B85" s="60" t="s">
        <v>108</v>
      </c>
      <c r="C85" s="61" t="s">
        <v>6</v>
      </c>
      <c r="D85" s="61" t="s">
        <v>8</v>
      </c>
      <c r="E85" s="61" t="s">
        <v>7</v>
      </c>
      <c r="F85" s="61" t="s">
        <v>27</v>
      </c>
      <c r="G85" s="61" t="str">
        <f t="shared" si="15"/>
        <v>Euribor1M</v>
      </c>
      <c r="H85" s="59" t="str">
        <f t="shared" si="16"/>
        <v>EUR1E6E24Y_LCHQuote</v>
      </c>
      <c r="I85" s="155">
        <v>0</v>
      </c>
      <c r="J85" s="64"/>
      <c r="K85" s="64"/>
      <c r="M85" s="10" t="str">
        <f t="shared" si="13"/>
        <v>BasSw</v>
      </c>
      <c r="N85" s="94" t="str">
        <f t="shared" si="14"/>
        <v>obj_005f6#0005</v>
      </c>
      <c r="O85" s="94" t="str">
        <f t="shared" si="14"/>
        <v>obj_0058c#0005</v>
      </c>
      <c r="P85" s="146" t="str">
        <f>IFERROR(_xll.qlRateHelperQuoteName(N85,Trigger),"--")</f>
        <v>EUR1E6E30Y_LCHQuote</v>
      </c>
      <c r="Q85" s="98">
        <f>IFERROR(_xll.qlRateHelperQuoteValue($N85,Trigger),"--")</f>
        <v>1.53405E-2</v>
      </c>
      <c r="R85" s="141" t="b">
        <v>1</v>
      </c>
      <c r="S85" s="94">
        <v>10</v>
      </c>
      <c r="T85" s="94">
        <v>1</v>
      </c>
      <c r="U85" s="99">
        <f>IFERROR(_xll.qlRateHelperEarliestDate(N85,Trigger),"--")</f>
        <v>42250</v>
      </c>
      <c r="V85" s="99">
        <f>IFERROR(_xll.qlRateHelperPillarDate(N85,Trigger),"--")</f>
        <v>53209</v>
      </c>
      <c r="X85" s="4" t="str">
        <f t="shared" si="17"/>
        <v/>
      </c>
      <c r="Y85" s="4" t="e">
        <v>#N/A</v>
      </c>
      <c r="Z85" s="4" t="e">
        <v>#N/A</v>
      </c>
      <c r="AA85" s="4" t="str">
        <f>IFERROR(_xll.qlRateHelperQuoteName(Y85,Trigger),"")</f>
        <v/>
      </c>
      <c r="AB85" s="70" t="str">
        <f>IFERROR(_xll.qlRateHelperRate(Y85,Trigger),"")</f>
        <v/>
      </c>
      <c r="AC85" s="104" t="str">
        <f>IF(ISERROR(_xll.qlSwapRateHelperSpread($Y85)),IF(ISERROR(_xll.qlFuturesRateHelperConvexityAdjustment($Y85)),"",_xll.qlFuturesRateHelperConvexityAdjustment($Y85)),_xll.qlSwapRateHelperSpread($Y85))</f>
        <v/>
      </c>
      <c r="AD85" s="5" t="str">
        <f>IFERROR(_xll.qlRateHelperEarliestDate(Y85,Trigger),"")</f>
        <v/>
      </c>
      <c r="AE85" s="5" t="str">
        <f>IFERROR(_xll.qlRateHelperPillarDate(Y85,Trigger),"")</f>
        <v/>
      </c>
      <c r="AF85" s="70" t="e">
        <v>#N/A</v>
      </c>
      <c r="AG85" s="77" t="e">
        <v>#N/A</v>
      </c>
      <c r="AI85" s="170" t="e">
        <v>#N/A</v>
      </c>
      <c r="AJ85" s="171" t="e">
        <v>#N/A</v>
      </c>
      <c r="AK85" s="173" t="e">
        <f t="shared" si="18"/>
        <v>#N/A</v>
      </c>
      <c r="AL85" s="80" t="e">
        <v>#N/A</v>
      </c>
      <c r="AM85" s="162" t="e">
        <f t="shared" si="19"/>
        <v>#N/A</v>
      </c>
    </row>
    <row r="86" spans="1:39" x14ac:dyDescent="0.2">
      <c r="A86" s="59" t="s">
        <v>118</v>
      </c>
      <c r="B86" s="60" t="s">
        <v>64</v>
      </c>
      <c r="C86" s="61" t="s">
        <v>6</v>
      </c>
      <c r="D86" s="61" t="s">
        <v>8</v>
      </c>
      <c r="E86" s="61" t="s">
        <v>7</v>
      </c>
      <c r="F86" s="61" t="s">
        <v>27</v>
      </c>
      <c r="G86" s="61" t="str">
        <f t="shared" si="15"/>
        <v>Euribor1M</v>
      </c>
      <c r="H86" s="59" t="str">
        <f t="shared" si="16"/>
        <v>EUR1E6E25Y_LCHQuote</v>
      </c>
      <c r="I86" s="155">
        <v>0</v>
      </c>
      <c r="J86" s="64" t="str">
        <f>_xll.qlSwapRateHelper2(,$H86,2,$B86,Calendar,$D86,$E86,$F86,$G86,$I86,$C86,Discounting1,PillarDate,,Permanent,Trigger,ObjectOverwrite)</f>
        <v>obj_005f8#0005</v>
      </c>
      <c r="K86" s="64" t="str">
        <f>_xll.qlSwapRateHelper2(,$H86,2,$B86,Calendar,$D86,$E86,$F86,$G86,$I86,$C86,Discounting2,PillarDate,,Permanent,Trigger,ObjectOverwrite)</f>
        <v>obj_00589#0005</v>
      </c>
      <c r="M86" s="10" t="str">
        <f t="shared" si="13"/>
        <v>BasSw</v>
      </c>
      <c r="N86" s="94" t="str">
        <f t="shared" si="14"/>
        <v>--</v>
      </c>
      <c r="O86" s="94" t="str">
        <f t="shared" si="14"/>
        <v>--</v>
      </c>
      <c r="P86" s="146" t="str">
        <f>IFERROR(_xll.qlRateHelperQuoteName(N86,Trigger),"--")</f>
        <v>--</v>
      </c>
      <c r="Q86" s="98" t="str">
        <f>IFERROR(_xll.qlRateHelperQuoteValue($N86,Trigger),"--")</f>
        <v>--</v>
      </c>
      <c r="R86" s="141" t="b">
        <v>0</v>
      </c>
      <c r="S86" s="94">
        <v>10</v>
      </c>
      <c r="T86" s="94">
        <v>1</v>
      </c>
      <c r="U86" s="99" t="str">
        <f>IFERROR(_xll.qlRateHelperEarliestDate(N86,Trigger),"--")</f>
        <v>--</v>
      </c>
      <c r="V86" s="99" t="str">
        <f>IFERROR(_xll.qlRateHelperPillarDate(N86,Trigger),"--")</f>
        <v>--</v>
      </c>
      <c r="X86" s="4" t="str">
        <f t="shared" si="17"/>
        <v/>
      </c>
      <c r="Y86" s="4" t="e">
        <v>#N/A</v>
      </c>
      <c r="Z86" s="4" t="e">
        <v>#N/A</v>
      </c>
      <c r="AA86" s="4" t="str">
        <f>IFERROR(_xll.qlRateHelperQuoteName(Y86,Trigger),"")</f>
        <v/>
      </c>
      <c r="AB86" s="70" t="str">
        <f>IFERROR(_xll.qlRateHelperRate(Y86,Trigger),"")</f>
        <v/>
      </c>
      <c r="AC86" s="104" t="str">
        <f>IF(ISERROR(_xll.qlSwapRateHelperSpread($Y86)),IF(ISERROR(_xll.qlFuturesRateHelperConvexityAdjustment($Y86)),"",_xll.qlFuturesRateHelperConvexityAdjustment($Y86)),_xll.qlSwapRateHelperSpread($Y86))</f>
        <v/>
      </c>
      <c r="AD86" s="5" t="str">
        <f>IFERROR(_xll.qlRateHelperEarliestDate(Y86,Trigger),"")</f>
        <v/>
      </c>
      <c r="AE86" s="5" t="str">
        <f>IFERROR(_xll.qlRateHelperPillarDate(Y86,Trigger),"")</f>
        <v/>
      </c>
      <c r="AF86" s="70" t="e">
        <v>#N/A</v>
      </c>
      <c r="AG86" s="77" t="e">
        <v>#N/A</v>
      </c>
      <c r="AI86" s="170" t="e">
        <v>#N/A</v>
      </c>
      <c r="AJ86" s="171" t="e">
        <v>#N/A</v>
      </c>
      <c r="AK86" s="173" t="e">
        <f t="shared" si="18"/>
        <v>#N/A</v>
      </c>
      <c r="AL86" s="80" t="e">
        <v>#N/A</v>
      </c>
      <c r="AM86" s="162" t="e">
        <f t="shared" si="19"/>
        <v>#N/A</v>
      </c>
    </row>
    <row r="87" spans="1:39" x14ac:dyDescent="0.2">
      <c r="A87" s="59" t="s">
        <v>118</v>
      </c>
      <c r="B87" s="60" t="s">
        <v>109</v>
      </c>
      <c r="C87" s="61" t="s">
        <v>6</v>
      </c>
      <c r="D87" s="61" t="s">
        <v>8</v>
      </c>
      <c r="E87" s="61" t="s">
        <v>7</v>
      </c>
      <c r="F87" s="61" t="s">
        <v>27</v>
      </c>
      <c r="G87" s="61" t="str">
        <f t="shared" si="15"/>
        <v>Euribor1M</v>
      </c>
      <c r="H87" s="59" t="str">
        <f t="shared" si="16"/>
        <v>EUR1E6E26Y_LCHQuote</v>
      </c>
      <c r="I87" s="155">
        <v>0</v>
      </c>
      <c r="J87" s="64"/>
      <c r="K87" s="64"/>
      <c r="M87" s="10" t="str">
        <f t="shared" si="13"/>
        <v>BasSw</v>
      </c>
      <c r="N87" s="94" t="str">
        <f t="shared" si="14"/>
        <v>obj_005ec#0005</v>
      </c>
      <c r="O87" s="94" t="str">
        <f t="shared" si="14"/>
        <v>obj_00590#0005</v>
      </c>
      <c r="P87" s="146" t="str">
        <f>IFERROR(_xll.qlRateHelperQuoteName(N87,Trigger),"--")</f>
        <v>EUR1E6E40Y_LCHQuote</v>
      </c>
      <c r="Q87" s="98">
        <f>IFERROR(_xll.qlRateHelperQuoteValue($N87,Trigger),"--")</f>
        <v>1.5461000000000001E-2</v>
      </c>
      <c r="R87" s="141" t="b">
        <v>1</v>
      </c>
      <c r="S87" s="94">
        <v>10</v>
      </c>
      <c r="T87" s="94">
        <v>1</v>
      </c>
      <c r="U87" s="99">
        <f>IFERROR(_xll.qlRateHelperEarliestDate(N87,Trigger),"--")</f>
        <v>42250</v>
      </c>
      <c r="V87" s="99">
        <f>IFERROR(_xll.qlRateHelperPillarDate(N87,Trigger),"--")</f>
        <v>56860</v>
      </c>
      <c r="X87" s="4" t="str">
        <f t="shared" si="17"/>
        <v/>
      </c>
      <c r="Y87" s="4" t="e">
        <v>#N/A</v>
      </c>
      <c r="Z87" s="4" t="e">
        <v>#N/A</v>
      </c>
      <c r="AA87" s="4" t="str">
        <f>IFERROR(_xll.qlRateHelperQuoteName(Y87,Trigger),"")</f>
        <v/>
      </c>
      <c r="AB87" s="70" t="str">
        <f>IFERROR(_xll.qlRateHelperRate(Y87,Trigger),"")</f>
        <v/>
      </c>
      <c r="AC87" s="104" t="str">
        <f>IF(ISERROR(_xll.qlSwapRateHelperSpread($Y87)),IF(ISERROR(_xll.qlFuturesRateHelperConvexityAdjustment($Y87)),"",_xll.qlFuturesRateHelperConvexityAdjustment($Y87)),_xll.qlSwapRateHelperSpread($Y87))</f>
        <v/>
      </c>
      <c r="AD87" s="5" t="str">
        <f>IFERROR(_xll.qlRateHelperEarliestDate(Y87,Trigger),"")</f>
        <v/>
      </c>
      <c r="AE87" s="5" t="str">
        <f>IFERROR(_xll.qlRateHelperPillarDate(Y87,Trigger),"")</f>
        <v/>
      </c>
      <c r="AF87" s="70" t="e">
        <v>#N/A</v>
      </c>
      <c r="AG87" s="77" t="e">
        <v>#N/A</v>
      </c>
      <c r="AI87" s="170" t="e">
        <v>#N/A</v>
      </c>
      <c r="AJ87" s="171" t="e">
        <v>#N/A</v>
      </c>
      <c r="AK87" s="173" t="e">
        <f t="shared" si="18"/>
        <v>#N/A</v>
      </c>
      <c r="AL87" s="80" t="e">
        <v>#N/A</v>
      </c>
      <c r="AM87" s="162" t="e">
        <f t="shared" si="19"/>
        <v>#N/A</v>
      </c>
    </row>
    <row r="88" spans="1:39" x14ac:dyDescent="0.2">
      <c r="A88" s="59" t="s">
        <v>118</v>
      </c>
      <c r="B88" s="60" t="s">
        <v>65</v>
      </c>
      <c r="C88" s="61" t="s">
        <v>6</v>
      </c>
      <c r="D88" s="61" t="s">
        <v>8</v>
      </c>
      <c r="E88" s="61" t="s">
        <v>7</v>
      </c>
      <c r="F88" s="61" t="s">
        <v>27</v>
      </c>
      <c r="G88" s="61" t="str">
        <f t="shared" si="15"/>
        <v>Euribor1M</v>
      </c>
      <c r="H88" s="59" t="str">
        <f t="shared" si="16"/>
        <v>EUR1E6E27Y_LCHQuote</v>
      </c>
      <c r="I88" s="155">
        <v>0</v>
      </c>
      <c r="J88" s="64"/>
      <c r="K88" s="64"/>
      <c r="M88" s="10" t="str">
        <f t="shared" si="13"/>
        <v>BasSw</v>
      </c>
      <c r="N88" s="94" t="str">
        <f t="shared" si="14"/>
        <v>obj_005fa#0005</v>
      </c>
      <c r="O88" s="94" t="str">
        <f t="shared" si="14"/>
        <v>obj_00594#0005</v>
      </c>
      <c r="P88" s="146" t="str">
        <f>IFERROR(_xll.qlRateHelperQuoteName(N88,Trigger),"--")</f>
        <v>EUR1E6E50Y_LCHQuote</v>
      </c>
      <c r="Q88" s="98">
        <f>IFERROR(_xll.qlRateHelperQuoteValue($N88,Trigger),"--")</f>
        <v>1.5330999999999999E-2</v>
      </c>
      <c r="R88" s="141" t="b">
        <v>1</v>
      </c>
      <c r="S88" s="94">
        <v>10</v>
      </c>
      <c r="T88" s="94">
        <v>1</v>
      </c>
      <c r="U88" s="99">
        <f>IFERROR(_xll.qlRateHelperEarliestDate(N88,Trigger),"--")</f>
        <v>42250</v>
      </c>
      <c r="V88" s="99">
        <f>IFERROR(_xll.qlRateHelperPillarDate(N88,Trigger),"--")</f>
        <v>60513</v>
      </c>
      <c r="X88" s="4" t="str">
        <f t="shared" si="17"/>
        <v/>
      </c>
      <c r="Y88" s="4" t="e">
        <v>#N/A</v>
      </c>
      <c r="Z88" s="4" t="e">
        <v>#N/A</v>
      </c>
      <c r="AA88" s="4" t="str">
        <f>IFERROR(_xll.qlRateHelperQuoteName(Y88,Trigger),"")</f>
        <v/>
      </c>
      <c r="AB88" s="70" t="str">
        <f>IFERROR(_xll.qlRateHelperRate(Y88,Trigger),"")</f>
        <v/>
      </c>
      <c r="AC88" s="104" t="str">
        <f>IF(ISERROR(_xll.qlSwapRateHelperSpread($Y88)),IF(ISERROR(_xll.qlFuturesRateHelperConvexityAdjustment($Y88)),"",_xll.qlFuturesRateHelperConvexityAdjustment($Y88)),_xll.qlSwapRateHelperSpread($Y88))</f>
        <v/>
      </c>
      <c r="AD88" s="5" t="str">
        <f>IFERROR(_xll.qlRateHelperEarliestDate(Y88,Trigger),"")</f>
        <v/>
      </c>
      <c r="AE88" s="5" t="str">
        <f>IFERROR(_xll.qlRateHelperPillarDate(Y88,Trigger),"")</f>
        <v/>
      </c>
      <c r="AF88" s="70" t="e">
        <v>#N/A</v>
      </c>
      <c r="AG88" s="77" t="e">
        <v>#N/A</v>
      </c>
      <c r="AI88" s="170" t="e">
        <v>#N/A</v>
      </c>
      <c r="AJ88" s="171" t="e">
        <v>#N/A</v>
      </c>
      <c r="AK88" s="173" t="e">
        <f t="shared" si="18"/>
        <v>#N/A</v>
      </c>
      <c r="AL88" s="80" t="e">
        <v>#N/A</v>
      </c>
      <c r="AM88" s="162" t="e">
        <f t="shared" si="19"/>
        <v>#N/A</v>
      </c>
    </row>
    <row r="89" spans="1:39" x14ac:dyDescent="0.2">
      <c r="A89" s="59" t="s">
        <v>118</v>
      </c>
      <c r="B89" s="60" t="s">
        <v>110</v>
      </c>
      <c r="C89" s="61" t="s">
        <v>6</v>
      </c>
      <c r="D89" s="61" t="s">
        <v>8</v>
      </c>
      <c r="E89" s="61" t="s">
        <v>7</v>
      </c>
      <c r="F89" s="61" t="s">
        <v>27</v>
      </c>
      <c r="G89" s="61" t="str">
        <f t="shared" si="15"/>
        <v>Euribor1M</v>
      </c>
      <c r="H89" s="59" t="str">
        <f t="shared" si="16"/>
        <v>EUR1E6E28Y_LCHQuote</v>
      </c>
      <c r="I89" s="155">
        <v>0</v>
      </c>
      <c r="J89" s="64"/>
      <c r="K89" s="64"/>
      <c r="M89" s="11" t="str">
        <f t="shared" si="13"/>
        <v>BasSw</v>
      </c>
      <c r="N89" s="95" t="str">
        <f t="shared" si="14"/>
        <v>obj_005fd#0005</v>
      </c>
      <c r="O89" s="95" t="str">
        <f t="shared" si="14"/>
        <v>obj_00592#0005</v>
      </c>
      <c r="P89" s="147" t="str">
        <f>IFERROR(_xll.qlRateHelperQuoteName(N89,Trigger),"--")</f>
        <v>EUR1E6E60Y_LCHQuote</v>
      </c>
      <c r="Q89" s="101">
        <f>IFERROR(_xll.qlRateHelperQuoteValue($N89,Trigger),"--")</f>
        <v>1.51275E-2</v>
      </c>
      <c r="R89" s="144" t="b">
        <v>1</v>
      </c>
      <c r="S89" s="95">
        <v>10</v>
      </c>
      <c r="T89" s="95">
        <v>1</v>
      </c>
      <c r="U89" s="102">
        <f>IFERROR(_xll.qlRateHelperEarliestDate(N89,Trigger),"--")</f>
        <v>42250</v>
      </c>
      <c r="V89" s="102">
        <f>IFERROR(_xll.qlRateHelperPillarDate(N89,Trigger),"--")</f>
        <v>64165</v>
      </c>
      <c r="X89" s="6" t="str">
        <f t="shared" si="17"/>
        <v/>
      </c>
      <c r="Y89" s="6" t="e">
        <v>#N/A</v>
      </c>
      <c r="Z89" s="6" t="e">
        <v>#N/A</v>
      </c>
      <c r="AA89" s="6" t="str">
        <f>IFERROR(_xll.qlRateHelperQuoteName(Y89,Trigger),"")</f>
        <v/>
      </c>
      <c r="AB89" s="79" t="str">
        <f>IFERROR(_xll.qlRateHelperRate(Y89,Trigger),"")</f>
        <v/>
      </c>
      <c r="AC89" s="105" t="str">
        <f>IF(ISERROR(_xll.qlSwapRateHelperSpread($Y89)),IF(ISERROR(_xll.qlFuturesRateHelperConvexityAdjustment($Y89)),"",_xll.qlFuturesRateHelperConvexityAdjustment($Y89)),_xll.qlSwapRateHelperSpread($Y89))</f>
        <v/>
      </c>
      <c r="AD89" s="12" t="str">
        <f>IFERROR(_xll.qlRateHelperEarliestDate(Y89,Trigger),"")</f>
        <v/>
      </c>
      <c r="AE89" s="12" t="str">
        <f>IFERROR(_xll.qlRateHelperPillarDate(Y89,Trigger),"")</f>
        <v/>
      </c>
      <c r="AF89" s="79" t="e">
        <v>#N/A</v>
      </c>
      <c r="AG89" s="78" t="e">
        <v>#N/A</v>
      </c>
      <c r="AI89" s="170" t="e">
        <v>#N/A</v>
      </c>
      <c r="AJ89" s="171" t="e">
        <v>#N/A</v>
      </c>
      <c r="AK89" s="173" t="e">
        <f t="shared" si="18"/>
        <v>#N/A</v>
      </c>
      <c r="AL89" s="80" t="e">
        <v>#N/A</v>
      </c>
      <c r="AM89" s="162" t="e">
        <f t="shared" si="19"/>
        <v>#N/A</v>
      </c>
    </row>
    <row r="90" spans="1:39" x14ac:dyDescent="0.2">
      <c r="A90" s="59" t="s">
        <v>118</v>
      </c>
      <c r="B90" s="60" t="s">
        <v>111</v>
      </c>
      <c r="C90" s="61" t="s">
        <v>6</v>
      </c>
      <c r="D90" s="61" t="s">
        <v>8</v>
      </c>
      <c r="E90" s="61" t="s">
        <v>7</v>
      </c>
      <c r="F90" s="61" t="s">
        <v>27</v>
      </c>
      <c r="G90" s="61" t="str">
        <f t="shared" si="15"/>
        <v>Euribor1M</v>
      </c>
      <c r="H90" s="59" t="str">
        <f t="shared" si="16"/>
        <v>EUR1E6E29Y_LCHQuote</v>
      </c>
      <c r="I90" s="155">
        <v>0</v>
      </c>
      <c r="J90" s="64"/>
      <c r="K90" s="64"/>
      <c r="L90" s="46" t="s">
        <v>36</v>
      </c>
      <c r="M90" s="161"/>
    </row>
    <row r="91" spans="1:39" x14ac:dyDescent="0.2">
      <c r="A91" s="59" t="s">
        <v>118</v>
      </c>
      <c r="B91" s="60" t="s">
        <v>66</v>
      </c>
      <c r="C91" s="61" t="s">
        <v>6</v>
      </c>
      <c r="D91" s="61" t="s">
        <v>8</v>
      </c>
      <c r="E91" s="61" t="s">
        <v>7</v>
      </c>
      <c r="F91" s="61" t="s">
        <v>27</v>
      </c>
      <c r="G91" s="61" t="str">
        <f t="shared" si="15"/>
        <v>Euribor1M</v>
      </c>
      <c r="H91" s="59" t="str">
        <f t="shared" si="16"/>
        <v>EUR1E6E30Y_LCHQuote</v>
      </c>
      <c r="I91" s="155">
        <v>0</v>
      </c>
      <c r="J91" s="64" t="str">
        <f>_xll.qlSwapRateHelper2(,$H91,2,$B91,Calendar,$D91,$E91,$F91,$G91,$I91,$C91,Discounting1,PillarDate,,Permanent,Trigger,ObjectOverwrite)</f>
        <v>obj_005f6#0005</v>
      </c>
      <c r="K91" s="64" t="str">
        <f>_xll.qlSwapRateHelper2(,$H91,2,$B91,Calendar,$D91,$E91,$F91,$G91,$I91,$C91,Discounting2,PillarDate,,Permanent,Trigger,ObjectOverwrite)</f>
        <v>obj_0058c#0005</v>
      </c>
    </row>
    <row r="92" spans="1:39" x14ac:dyDescent="0.2">
      <c r="A92" s="59" t="s">
        <v>118</v>
      </c>
      <c r="B92" s="60" t="s">
        <v>67</v>
      </c>
      <c r="C92" s="61" t="s">
        <v>6</v>
      </c>
      <c r="D92" s="61" t="s">
        <v>8</v>
      </c>
      <c r="E92" s="61" t="s">
        <v>7</v>
      </c>
      <c r="F92" s="61" t="s">
        <v>27</v>
      </c>
      <c r="G92" s="61" t="str">
        <f t="shared" si="15"/>
        <v>Euribor1M</v>
      </c>
      <c r="H92" s="59" t="str">
        <f t="shared" si="16"/>
        <v>EUR1E6E35Y_LCHQuote</v>
      </c>
      <c r="I92" s="155">
        <v>0</v>
      </c>
      <c r="J92" s="64"/>
      <c r="K92" s="64"/>
    </row>
    <row r="93" spans="1:39" x14ac:dyDescent="0.2">
      <c r="A93" s="59" t="s">
        <v>118</v>
      </c>
      <c r="B93" s="60" t="s">
        <v>68</v>
      </c>
      <c r="C93" s="61" t="s">
        <v>6</v>
      </c>
      <c r="D93" s="61" t="s">
        <v>8</v>
      </c>
      <c r="E93" s="61" t="s">
        <v>7</v>
      </c>
      <c r="F93" s="61" t="s">
        <v>27</v>
      </c>
      <c r="G93" s="61" t="str">
        <f t="shared" si="15"/>
        <v>Euribor1M</v>
      </c>
      <c r="H93" s="59" t="str">
        <f t="shared" si="16"/>
        <v>EUR1E6E40Y_LCHQuote</v>
      </c>
      <c r="I93" s="155">
        <v>0</v>
      </c>
      <c r="J93" s="64" t="str">
        <f>_xll.qlSwapRateHelper2(,$H93,2,$B93,Calendar,$D93,$E93,$F93,$G93,$I93,$C93,Discounting1,PillarDate,,Permanent,Trigger,ObjectOverwrite)</f>
        <v>obj_005ec#0005</v>
      </c>
      <c r="K93" s="64" t="str">
        <f>_xll.qlSwapRateHelper2(,$H93,2,$B93,Calendar,$D93,$E93,$F93,$G93,$I93,$C93,Discounting2,PillarDate,,Permanent,Trigger,ObjectOverwrite)</f>
        <v>obj_00590#0005</v>
      </c>
    </row>
    <row r="94" spans="1:39" x14ac:dyDescent="0.2">
      <c r="A94" s="59" t="s">
        <v>118</v>
      </c>
      <c r="B94" s="60" t="s">
        <v>69</v>
      </c>
      <c r="C94" s="61" t="s">
        <v>6</v>
      </c>
      <c r="D94" s="61" t="s">
        <v>8</v>
      </c>
      <c r="E94" s="61" t="s">
        <v>7</v>
      </c>
      <c r="F94" s="61" t="s">
        <v>27</v>
      </c>
      <c r="G94" s="61" t="str">
        <f t="shared" si="15"/>
        <v>Euribor1M</v>
      </c>
      <c r="H94" s="59" t="str">
        <f t="shared" si="16"/>
        <v>EUR1E6E50Y_LCHQuote</v>
      </c>
      <c r="I94" s="155">
        <v>0</v>
      </c>
      <c r="J94" s="64" t="str">
        <f>_xll.qlSwapRateHelper2(,$H94,2,$B94,Calendar,$D94,$E94,$F94,$G94,$I94,$C94,Discounting1,PillarDate,,Permanent,Trigger,ObjectOverwrite)</f>
        <v>obj_005fa#0005</v>
      </c>
      <c r="K94" s="64" t="str">
        <f>_xll.qlSwapRateHelper2(,$H94,2,$B94,Calendar,$D94,$E94,$F94,$G94,$I94,$C94,Discounting2,PillarDate,,Permanent,Trigger,ObjectOverwrite)</f>
        <v>obj_00594#0005</v>
      </c>
    </row>
    <row r="95" spans="1:39" x14ac:dyDescent="0.2">
      <c r="A95" s="1" t="s">
        <v>118</v>
      </c>
      <c r="B95" s="8" t="s">
        <v>112</v>
      </c>
      <c r="C95" s="7" t="s">
        <v>6</v>
      </c>
      <c r="D95" s="7" t="s">
        <v>8</v>
      </c>
      <c r="E95" s="7" t="s">
        <v>7</v>
      </c>
      <c r="F95" s="7" t="s">
        <v>27</v>
      </c>
      <c r="G95" s="7" t="str">
        <f t="shared" si="15"/>
        <v>Euribor1M</v>
      </c>
      <c r="H95" s="1" t="str">
        <f t="shared" si="16"/>
        <v>EUR1E6E60Y_LCHQuote</v>
      </c>
      <c r="I95" s="156">
        <v>0</v>
      </c>
      <c r="J95" s="3" t="str">
        <f>_xll.qlSwapRateHelper2(,$H95,2,$B95,Calendar,$D95,$E95,$F95,$G95,$I95,$C95,Discounting1,PillarDate,,Permanent,Trigger,ObjectOverwrite)</f>
        <v>obj_005fd#0005</v>
      </c>
      <c r="K95" s="3" t="str">
        <f>_xll.qlSwapRateHelper2(,$H95,2,$B95,Calendar,$D95,$E95,$F95,$G95,$I95,$C95,Discounting2,PillarDate,,Permanent,Trigger,ObjectOverwrite)</f>
        <v>obj_00592#0005</v>
      </c>
    </row>
  </sheetData>
  <mergeCells count="1">
    <mergeCell ref="AO2:AP2"/>
  </mergeCells>
  <dataValidations count="4">
    <dataValidation type="list" allowBlank="1" showInputMessage="1" showErrorMessage="1" sqref="AP6">
      <formula1>"AllDepos,DeposBeforeFirstFuturesStartDate,DeposBeforeFirstFuturesStartDatePlusOne,DeposBeforeFirstFuturesExpiryDate"</formula1>
    </dataValidation>
    <dataValidation type="list" allowBlank="1" showInputMessage="1" showErrorMessage="1" sqref="D6:D16 D19:D56 D59:D95">
      <formula1>"Annual,Semiannual,EveryFourthMonth,Quarterly,Bimonthly,Monthly,Biweekly,Weekly,Daily,Once,NoFrequency"</formula1>
    </dataValidation>
    <dataValidation type="list" allowBlank="1" showInputMessage="1" showErrorMessage="1" sqref="E6:E16 E19:E56 E59:E95">
      <formula1>"Following,Modified Following,Preceding,Modified Preceding,Unadjusted,Half-Month Modified Following"</formula1>
    </dataValidation>
    <dataValidation type="list" allowBlank="1" showInputMessage="1" showErrorMessage="1" sqref="F6:F16 F19:F56 F59:F95">
      <formula1>"Actual/Actual (ISDA),Actual/360,30/360 (Bond Basis),30E/360 (Eurobond Basis),Actual/365 (Fixed),Actual/Actual (ISMA),Actual/Actual (AFB),1/1,30/360 (Italian),Simple"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O90"/>
  <sheetViews>
    <sheetView showGridLines="0" topLeftCell="L1" zoomScaleNormal="100" workbookViewId="0">
      <selection activeCell="L1" sqref="L1"/>
    </sheetView>
  </sheetViews>
  <sheetFormatPr defaultRowHeight="11.25" outlineLevelCol="1" x14ac:dyDescent="0.2"/>
  <cols>
    <col min="1" max="1" width="6" style="46" hidden="1" customWidth="1" outlineLevel="1"/>
    <col min="2" max="2" width="6" style="51" hidden="1" customWidth="1" outlineLevel="1"/>
    <col min="3" max="3" width="6.7109375" style="50" hidden="1" customWidth="1" outlineLevel="1"/>
    <col min="4" max="4" width="7" style="50" hidden="1" customWidth="1" outlineLevel="1"/>
    <col min="5" max="5" width="19.28515625" style="50" hidden="1" customWidth="1" outlineLevel="1"/>
    <col min="6" max="6" width="20.28515625" style="50" hidden="1" customWidth="1" outlineLevel="1"/>
    <col min="7" max="7" width="15.140625" style="50" hidden="1" customWidth="1" outlineLevel="1"/>
    <col min="8" max="8" width="24.42578125" style="52" hidden="1" customWidth="1" outlineLevel="1"/>
    <col min="9" max="9" width="9" style="46" hidden="1" customWidth="1" outlineLevel="1"/>
    <col min="10" max="11" width="15.140625" style="46" hidden="1" customWidth="1" outlineLevel="1"/>
    <col min="12" max="12" width="2.7109375" style="46" customWidth="1" collapsed="1"/>
    <col min="13" max="13" width="6" style="46" hidden="1" customWidth="1" outlineLevel="1"/>
    <col min="14" max="15" width="15.140625" style="103" hidden="1" customWidth="1" outlineLevel="1"/>
    <col min="16" max="16" width="22.42578125" style="103" hidden="1" customWidth="1" outlineLevel="1"/>
    <col min="17" max="17" width="9.7109375" style="103" hidden="1" customWidth="1" outlineLevel="1"/>
    <col min="18" max="18" width="7.85546875" style="103" hidden="1" customWidth="1" outlineLevel="1"/>
    <col min="19" max="19" width="9" style="103" hidden="1" customWidth="1" outlineLevel="1"/>
    <col min="20" max="20" width="5.85546875" style="103" hidden="1" customWidth="1" outlineLevel="1"/>
    <col min="21" max="22" width="10.7109375" style="103" hidden="1" customWidth="1" outlineLevel="1"/>
    <col min="23" max="23" width="2.7109375" style="48" hidden="1" customWidth="1" outlineLevel="1"/>
    <col min="24" max="24" width="6" style="46" bestFit="1" customWidth="1" collapsed="1"/>
    <col min="25" max="26" width="10.140625" style="46" hidden="1" customWidth="1" outlineLevel="1"/>
    <col min="27" max="27" width="24.7109375" style="46" customWidth="1" collapsed="1"/>
    <col min="28" max="29" width="9.7109375" style="46" customWidth="1"/>
    <col min="30" max="31" width="17.28515625" style="46" bestFit="1" customWidth="1"/>
    <col min="32" max="32" width="12" style="46" bestFit="1" customWidth="1"/>
    <col min="33" max="33" width="12" style="46" customWidth="1"/>
    <col min="34" max="35" width="10.85546875" style="46" hidden="1" customWidth="1" outlineLevel="1"/>
    <col min="36" max="36" width="10" style="46" hidden="1" customWidth="1" outlineLevel="1"/>
    <col min="37" max="37" width="12" style="46" hidden="1" customWidth="1" outlineLevel="1"/>
    <col min="38" max="38" width="10.85546875" style="46" hidden="1" customWidth="1" outlineLevel="1"/>
    <col min="39" max="39" width="3.28515625" style="46" customWidth="1" collapsed="1"/>
    <col min="40" max="40" width="24.42578125" style="46" bestFit="1" customWidth="1"/>
    <col min="41" max="41" width="9" style="46" bestFit="1" customWidth="1"/>
    <col min="42" max="16384" width="9.140625" style="46"/>
  </cols>
  <sheetData>
    <row r="1" spans="1:41" ht="18" customHeight="1" x14ac:dyDescent="0.2">
      <c r="G1" s="50" t="s">
        <v>28</v>
      </c>
      <c r="H1" s="50"/>
      <c r="M1" s="67" t="s">
        <v>24</v>
      </c>
      <c r="N1" s="106"/>
      <c r="O1" s="106"/>
      <c r="P1" s="106"/>
      <c r="Q1" s="106"/>
      <c r="R1" s="106"/>
      <c r="S1" s="106"/>
      <c r="T1" s="106"/>
      <c r="U1" s="106"/>
      <c r="V1" s="96"/>
      <c r="W1" s="93"/>
      <c r="X1" s="74" t="str">
        <f>Currency&amp;$G$1</f>
        <v>EUR1Y</v>
      </c>
      <c r="Y1" s="66"/>
      <c r="Z1" s="66"/>
      <c r="AA1" s="66"/>
      <c r="AB1" s="69"/>
      <c r="AC1" s="69"/>
      <c r="AD1" s="66"/>
      <c r="AE1" s="66"/>
      <c r="AF1" s="73" t="s">
        <v>143</v>
      </c>
      <c r="AG1" s="73" t="s">
        <v>154</v>
      </c>
      <c r="AN1" s="46" t="s">
        <v>132</v>
      </c>
    </row>
    <row r="2" spans="1:41" ht="21.75" customHeight="1" x14ac:dyDescent="0.2">
      <c r="A2" s="65" t="s">
        <v>9</v>
      </c>
      <c r="B2" s="65" t="s">
        <v>29</v>
      </c>
      <c r="C2" s="65"/>
      <c r="D2" s="65"/>
      <c r="E2" s="65"/>
      <c r="F2" s="65"/>
      <c r="G2" s="65" t="s">
        <v>4</v>
      </c>
      <c r="H2" s="65" t="s">
        <v>1</v>
      </c>
      <c r="I2" s="65"/>
      <c r="J2" s="65" t="s">
        <v>150</v>
      </c>
      <c r="K2" s="65" t="s">
        <v>152</v>
      </c>
      <c r="M2" s="73" t="s">
        <v>9</v>
      </c>
      <c r="N2" s="73" t="s">
        <v>150</v>
      </c>
      <c r="O2" s="73" t="s">
        <v>151</v>
      </c>
      <c r="P2" s="73" t="s">
        <v>79</v>
      </c>
      <c r="Q2" s="73" t="s">
        <v>82</v>
      </c>
      <c r="R2" s="73" t="s">
        <v>80</v>
      </c>
      <c r="S2" s="73" t="s">
        <v>81</v>
      </c>
      <c r="T2" s="73" t="s">
        <v>83</v>
      </c>
      <c r="U2" s="73" t="s">
        <v>22</v>
      </c>
      <c r="V2" s="73" t="s">
        <v>76</v>
      </c>
      <c r="W2" s="93"/>
      <c r="X2" s="73" t="s">
        <v>9</v>
      </c>
      <c r="Y2" s="73" t="s">
        <v>150</v>
      </c>
      <c r="Z2" s="73" t="s">
        <v>151</v>
      </c>
      <c r="AA2" s="73" t="s">
        <v>79</v>
      </c>
      <c r="AB2" s="75" t="s">
        <v>23</v>
      </c>
      <c r="AC2" s="75" t="s">
        <v>84</v>
      </c>
      <c r="AD2" s="73" t="s">
        <v>22</v>
      </c>
      <c r="AE2" s="73" t="s">
        <v>76</v>
      </c>
      <c r="AF2" s="172">
        <f t="array" ref="AF2:AF51">_xll.qlPiecewiseYieldCurveData(yieldcurve1_1Y,Trigger)</f>
        <v>1.631019331269248E-3</v>
      </c>
      <c r="AG2" s="76">
        <f t="array" ref="AG2:AG51">_xll.qlPiecewiseYieldCurveData(yieldcurve2_1Y,Trigger)</f>
        <v>1</v>
      </c>
      <c r="AJ2" s="46" t="s">
        <v>155</v>
      </c>
      <c r="AL2" s="46" t="s">
        <v>156</v>
      </c>
      <c r="AN2" s="182" t="s">
        <v>85</v>
      </c>
      <c r="AO2" s="183"/>
    </row>
    <row r="3" spans="1:41" ht="11.25" customHeight="1" x14ac:dyDescent="0.2">
      <c r="A3" s="1" t="s">
        <v>26</v>
      </c>
      <c r="B3" s="8" t="s">
        <v>28</v>
      </c>
      <c r="C3" s="124"/>
      <c r="D3" s="124"/>
      <c r="E3" s="124"/>
      <c r="F3" s="124"/>
      <c r="G3" s="7" t="str">
        <f>PROPER(Currency)&amp;FamilyName&amp;B3</f>
        <v>Euribor1Y</v>
      </c>
      <c r="H3" s="121" t="str">
        <f>IF(LCHQuoteOverwrite,Currency&amp;SUBSTITUTE($B3,"1Y","12M")&amp;"D"&amp;LCHQuoteSuffix,Currency&amp;$B3&amp;"D"&amp;QuoteSuffix)</f>
        <v>EUR12MD_LCHQuote</v>
      </c>
      <c r="I3" s="124"/>
      <c r="J3" s="3" t="str">
        <f>_xll.qlDepositRateHelper(,H3,G3,Permanent,Trigger,ObjectOverwrite)</f>
        <v>obj_00628#0005</v>
      </c>
      <c r="K3" s="3" t="str">
        <f>J3</f>
        <v>obj_00628#0005</v>
      </c>
      <c r="L3" s="49"/>
      <c r="M3" s="11" t="str">
        <f>A3</f>
        <v>Dp</v>
      </c>
      <c r="N3" s="95" t="str">
        <f>IF(ISBLANK(J3),"--",J3)</f>
        <v>obj_00628#0005</v>
      </c>
      <c r="O3" s="95" t="str">
        <f>IF(ISBLANK(K3),"--",K3)</f>
        <v>obj_00628#0005</v>
      </c>
      <c r="P3" s="147" t="str">
        <f>IFERROR(_xll.qlRateHelperQuoteName(N3,Trigger),"--")</f>
        <v>EUR12MD_LCHQuote</v>
      </c>
      <c r="Q3" s="101">
        <f>IFERROR(_xll.qlRateHelperQuoteValue($N3,Trigger),"--")</f>
        <v>1.6100000000000001E-3</v>
      </c>
      <c r="R3" s="100" t="b">
        <v>1</v>
      </c>
      <c r="S3" s="95">
        <v>30</v>
      </c>
      <c r="T3" s="95">
        <v>1</v>
      </c>
      <c r="U3" s="102">
        <f>IFERROR(_xll.qlRateHelperEarliestDate(N3,Trigger),"--")</f>
        <v>42250</v>
      </c>
      <c r="V3" s="102">
        <f>IFERROR(_xll.qlRateHelperPillarDate(N3,Trigger),"--")</f>
        <v>42618</v>
      </c>
      <c r="X3" s="4" t="str">
        <f t="shared" ref="X3:X34" si="0">IFERROR(INDEX($M$3:$M$51,MATCH(AA3,$P$3:$P$51,0),1),"")</f>
        <v>Dp</v>
      </c>
      <c r="Y3" s="4" t="str">
        <f t="array" ref="Y3:Y51">_xll.qlRateHelperSelection(_xll.ohFilter(RateHelpers1,IncludeFlag),_xll.ohFilter(Priority,IncludeFlag),$AO$3,$AO$4,$AO$5,$AO$6,_xll.ohFilter(MinDistance,IncludeFlag),Trigger)</f>
        <v>obj_00628</v>
      </c>
      <c r="Z3" s="4" t="str">
        <f t="array" ref="Z3:Z51">_xll.qlRateHelperSelection(_xll.ohFilter(RateHelpers2,IncludeFlag),_xll.ohFilter(Priority,IncludeFlag),$AO$3,$AO$4,$AO$5,$AO$6,_xll.ohFilter(MinDistance,IncludeFlag),Trigger)</f>
        <v>obj_00628</v>
      </c>
      <c r="AA3" s="4" t="str">
        <f>IFERROR(_xll.qlRateHelperQuoteName(Y3,Trigger),"")</f>
        <v>EUR12MD_LCHQuote</v>
      </c>
      <c r="AB3" s="70">
        <f>IFERROR(_xll.qlRateHelperRate(Y3,Trigger),"")</f>
        <v>1.6100000000000001E-3</v>
      </c>
      <c r="AC3" s="104" t="str">
        <f>IF(ISERROR(_xll.qlSwapRateHelperSpread($Y3)),IF(ISERROR(_xll.qlFuturesRateHelperConvexityAdjustment($Y3)),"",_xll.qlFuturesRateHelperConvexityAdjustment($Y3)),_xll.qlSwapRateHelperSpread($Y3))</f>
        <v/>
      </c>
      <c r="AD3" s="5">
        <f>IFERROR(_xll.qlRateHelperEarliestDate(Y3,Trigger),"")</f>
        <v>42250</v>
      </c>
      <c r="AE3" s="5">
        <f>IFERROR(_xll.qlRateHelperPillarDate(Y3,Trigger),"")</f>
        <v>42618</v>
      </c>
      <c r="AF3" s="70">
        <v>1.631019331269248E-3</v>
      </c>
      <c r="AG3" s="77">
        <v>0.99834558479875168</v>
      </c>
      <c r="AH3" s="170">
        <f t="array" ref="AH3:AH51">_xll.ohFilter([1]REP00100!$C$2:$C$1000,([1]REP00100!$A$2:$A$1000="EUR_EURIBOR_12M_EOD"))</f>
        <v>42618</v>
      </c>
      <c r="AI3" s="171">
        <f t="array" ref="AI3:AI51">_xll.ohFilter([1]REP00100!$E$2:$E$1000,([1]REP00100!$A$2:$A$1000="EUR_EURIBOR_12M_EOD"))</f>
        <v>1.63101933126946E-3</v>
      </c>
      <c r="AJ3" s="173">
        <f>AF3-AI3</f>
        <v>-2.1206994493816467E-16</v>
      </c>
      <c r="AK3" s="80">
        <f t="array" ref="AK3:AK51">_xll.ohFilter([1]REP00101!$F$2:$F$1000,([1]REP00101!$A$2:$A$1000="EUR_EURIBOR_12M_EOD"))</f>
        <v>0.99834800398825696</v>
      </c>
      <c r="AL3" s="162">
        <f>AG3-AK3</f>
        <v>-2.419189505276087E-6</v>
      </c>
      <c r="AM3" s="162"/>
      <c r="AN3" s="107" t="s">
        <v>86</v>
      </c>
      <c r="AO3" s="108">
        <v>0</v>
      </c>
    </row>
    <row r="4" spans="1:41" ht="11.25" customHeight="1" x14ac:dyDescent="0.2">
      <c r="B4" s="46"/>
      <c r="C4" s="46" t="s">
        <v>116</v>
      </c>
      <c r="D4" s="46"/>
      <c r="E4" s="46"/>
      <c r="F4" s="46"/>
      <c r="G4" s="46"/>
      <c r="H4" s="46"/>
      <c r="L4" s="48"/>
      <c r="M4" s="68" t="str">
        <f t="shared" ref="M4:M14" si="1">A6</f>
        <v>FRA</v>
      </c>
      <c r="N4" s="131" t="str">
        <f t="shared" ref="N4:N14" si="2">IF(ISBLANK(J6),"--",J6)</f>
        <v>obj_00625#0005</v>
      </c>
      <c r="O4" s="131" t="str">
        <f t="shared" ref="O4:O14" si="3">IF(ISBLANK(K6),"--",K6)</f>
        <v>obj_00625#0005</v>
      </c>
      <c r="P4" s="145" t="str">
        <f>IFERROR(_xll.qlRateHelperQuoteName(N4,Trigger),"--")</f>
        <v>EUR1x13F_LCHQuote</v>
      </c>
      <c r="Q4" s="133">
        <f>IFERROR(_xll.qlRateHelperQuoteValue($N4,Trigger),"--")</f>
        <v>1.5499999999999999E-3</v>
      </c>
      <c r="R4" s="132" t="b">
        <v>1</v>
      </c>
      <c r="S4" s="131">
        <v>10</v>
      </c>
      <c r="T4" s="131">
        <v>1</v>
      </c>
      <c r="U4" s="134">
        <f>IFERROR(_xll.qlRateHelperEarliestDate(N4,Trigger),"--")</f>
        <v>42282</v>
      </c>
      <c r="V4" s="134">
        <f>IFERROR(_xll.qlRateHelperPillarDate(N4,Trigger),"--")</f>
        <v>42646</v>
      </c>
      <c r="X4" s="4" t="str">
        <f t="shared" si="0"/>
        <v>FRA</v>
      </c>
      <c r="Y4" s="4" t="str">
        <v>obj_00625</v>
      </c>
      <c r="Z4" s="4" t="str">
        <v>obj_00625</v>
      </c>
      <c r="AA4" s="4" t="str">
        <f>IFERROR(_xll.qlRateHelperQuoteName(Y4,Trigger),"")</f>
        <v>EUR1x13F_LCHQuote</v>
      </c>
      <c r="AB4" s="70">
        <f>IFERROR(_xll.qlRateHelperRate(Y4,Trigger),"")</f>
        <v>1.5499999999999999E-3</v>
      </c>
      <c r="AC4" s="104" t="str">
        <f>IF(ISERROR(_xll.qlSwapRateHelperSpread($Y4)),IF(ISERROR(_xll.qlFuturesRateHelperConvexityAdjustment($Y4)),"",_xll.qlFuturesRateHelperConvexityAdjustment($Y4)),_xll.qlSwapRateHelperSpread($Y4))</f>
        <v/>
      </c>
      <c r="AD4" s="5">
        <f>IFERROR(_xll.qlRateHelperEarliestDate(Y4,Trigger),"")</f>
        <v>42282</v>
      </c>
      <c r="AE4" s="5">
        <f>IFERROR(_xll.qlRateHelperPillarDate(Y4,Trigger),"")</f>
        <v>42646</v>
      </c>
      <c r="AF4" s="70">
        <v>1.5698334646371812E-3</v>
      </c>
      <c r="AG4" s="77">
        <v>0.99824804829597014</v>
      </c>
      <c r="AH4" s="170">
        <v>42646</v>
      </c>
      <c r="AI4" s="171">
        <v>1.5698334646472899E-3</v>
      </c>
      <c r="AJ4" s="173">
        <f t="shared" ref="AJ4:AJ51" si="4">AF4-AI4</f>
        <v>-1.0108667375385849E-14</v>
      </c>
      <c r="AK4" s="80">
        <v>0.99828643823234997</v>
      </c>
      <c r="AL4" s="162">
        <f t="shared" ref="AL4:AL51" si="5">AG4-AK4</f>
        <v>-3.8389936379834566E-5</v>
      </c>
      <c r="AM4" s="162"/>
      <c r="AN4" s="107" t="s">
        <v>87</v>
      </c>
      <c r="AO4" s="108">
        <v>0</v>
      </c>
    </row>
    <row r="5" spans="1:41" ht="11.25" customHeight="1" x14ac:dyDescent="0.2">
      <c r="A5" s="65" t="s">
        <v>9</v>
      </c>
      <c r="B5" s="65" t="s">
        <v>91</v>
      </c>
      <c r="C5" s="65" t="s">
        <v>92</v>
      </c>
      <c r="D5" s="65"/>
      <c r="E5" s="65"/>
      <c r="F5" s="65"/>
      <c r="G5" s="65" t="s">
        <v>4</v>
      </c>
      <c r="H5" s="65" t="s">
        <v>1</v>
      </c>
      <c r="I5" s="65"/>
      <c r="J5" s="65" t="s">
        <v>150</v>
      </c>
      <c r="K5" s="65" t="s">
        <v>152</v>
      </c>
      <c r="L5" s="48"/>
      <c r="M5" s="10" t="str">
        <f t="shared" si="1"/>
        <v>FRA</v>
      </c>
      <c r="N5" s="94" t="str">
        <f t="shared" si="2"/>
        <v>obj_00611#0005</v>
      </c>
      <c r="O5" s="94" t="str">
        <f t="shared" si="3"/>
        <v>obj_00611#0005</v>
      </c>
      <c r="P5" s="146" t="str">
        <f>IFERROR(_xll.qlRateHelperQuoteName(N5,Trigger),"--")</f>
        <v>EUR2x14F_LCHQuote</v>
      </c>
      <c r="Q5" s="98">
        <f>IFERROR(_xll.qlRateHelperQuoteValue($N5,Trigger),"--")</f>
        <v>1.64E-3</v>
      </c>
      <c r="R5" s="97" t="b">
        <v>1</v>
      </c>
      <c r="S5" s="94">
        <v>10</v>
      </c>
      <c r="T5" s="94">
        <v>1</v>
      </c>
      <c r="U5" s="99">
        <f>IFERROR(_xll.qlRateHelperEarliestDate(N5,Trigger),"--")</f>
        <v>42311</v>
      </c>
      <c r="V5" s="99">
        <f>IFERROR(_xll.qlRateHelperPillarDate(N5,Trigger),"--")</f>
        <v>42677</v>
      </c>
      <c r="X5" s="4" t="str">
        <f t="shared" si="0"/>
        <v>FRA</v>
      </c>
      <c r="Y5" s="4" t="str">
        <v>obj_00611</v>
      </c>
      <c r="Z5" s="4" t="str">
        <v>obj_00611</v>
      </c>
      <c r="AA5" s="4" t="str">
        <f>IFERROR(_xll.qlRateHelperQuoteName(Y5,Trigger),"")</f>
        <v>EUR2x14F_LCHQuote</v>
      </c>
      <c r="AB5" s="70">
        <f>IFERROR(_xll.qlRateHelperRate(Y5,Trigger),"")</f>
        <v>1.64E-3</v>
      </c>
      <c r="AC5" s="104" t="str">
        <f>IF(ISERROR(_xll.qlSwapRateHelperSpread($Y5)),IF(ISERROR(_xll.qlFuturesRateHelperConvexityAdjustment($Y5)),"",_xll.qlFuturesRateHelperConvexityAdjustment($Y5)),_xll.qlSwapRateHelperSpread($Y5))</f>
        <v/>
      </c>
      <c r="AD5" s="5">
        <f>IFERROR(_xll.qlRateHelperEarliestDate(Y5,Trigger),"")</f>
        <v>42311</v>
      </c>
      <c r="AE5" s="5">
        <f>IFERROR(_xll.qlRateHelperPillarDate(Y5,Trigger),"")</f>
        <v>42677</v>
      </c>
      <c r="AF5" s="70">
        <v>1.6569326285586572E-3</v>
      </c>
      <c r="AG5" s="77">
        <v>0.99798044690596555</v>
      </c>
      <c r="AH5" s="170">
        <v>42677</v>
      </c>
      <c r="AI5" s="171">
        <v>1.6569326286691099E-3</v>
      </c>
      <c r="AJ5" s="173">
        <f t="shared" si="4"/>
        <v>-1.1045266264109177E-13</v>
      </c>
      <c r="AK5" s="80">
        <v>0.99805443179485198</v>
      </c>
      <c r="AL5" s="162">
        <f t="shared" si="5"/>
        <v>-7.398488888643584E-5</v>
      </c>
      <c r="AM5" s="162"/>
      <c r="AN5" s="107" t="s">
        <v>88</v>
      </c>
      <c r="AO5" s="108">
        <v>0</v>
      </c>
    </row>
    <row r="6" spans="1:41" ht="11.25" customHeight="1" x14ac:dyDescent="0.2">
      <c r="A6" s="53" t="s">
        <v>93</v>
      </c>
      <c r="B6" s="115">
        <v>1</v>
      </c>
      <c r="C6" s="56" t="str">
        <f t="shared" ref="C6:C16" si="6">"x"&amp;B6+SUBSTITUTE($C$4,"M","")&amp;"F"</f>
        <v>x13F</v>
      </c>
      <c r="D6" s="129"/>
      <c r="E6" s="129"/>
      <c r="F6" s="129"/>
      <c r="G6" s="55" t="str">
        <f t="shared" ref="G6:G16" si="7">PROPER(Currency)&amp;FamilyName&amp;Tenor</f>
        <v>Euribor1Y</v>
      </c>
      <c r="H6" s="118" t="str">
        <f t="shared" ref="H6:H16" si="8">IF(LCHQuoteOverwrite,Currency&amp;B6&amp;C6&amp;LCHQuoteSuffix,Currency&amp;B6&amp;C6&amp;QuoteSuffix)</f>
        <v>EUR1x13F_LCHQuote</v>
      </c>
      <c r="I6" s="129"/>
      <c r="J6" s="58" t="str">
        <f>_xll.qlFraRateHelper(,H6,B6&amp;"M",G6,PillarDate,,Permanent,Trigger,ObjectOverwrite)</f>
        <v>obj_00625#0005</v>
      </c>
      <c r="K6" s="58" t="str">
        <f>J6</f>
        <v>obj_00625#0005</v>
      </c>
      <c r="L6" s="48"/>
      <c r="M6" s="10" t="str">
        <f t="shared" si="1"/>
        <v>FRA</v>
      </c>
      <c r="N6" s="94" t="str">
        <f t="shared" si="2"/>
        <v>obj_00608#0005</v>
      </c>
      <c r="O6" s="94" t="str">
        <f t="shared" si="3"/>
        <v>obj_00608#0005</v>
      </c>
      <c r="P6" s="146" t="str">
        <f>IFERROR(_xll.qlRateHelperQuoteName(N6,Trigger),"--")</f>
        <v>EUR3x15F_LCHQuote</v>
      </c>
      <c r="Q6" s="98">
        <f>IFERROR(_xll.qlRateHelperQuoteValue($N6,Trigger),"--")</f>
        <v>1.6299999999999999E-3</v>
      </c>
      <c r="R6" s="97" t="b">
        <v>1</v>
      </c>
      <c r="S6" s="94">
        <v>10</v>
      </c>
      <c r="T6" s="94">
        <v>1</v>
      </c>
      <c r="U6" s="99">
        <f>IFERROR(_xll.qlRateHelperEarliestDate(N6,Trigger),"--")</f>
        <v>42341</v>
      </c>
      <c r="V6" s="99">
        <f>IFERROR(_xll.qlRateHelperPillarDate(N6,Trigger),"--")</f>
        <v>42709</v>
      </c>
      <c r="X6" s="4" t="str">
        <f t="shared" si="0"/>
        <v>FRA</v>
      </c>
      <c r="Y6" s="4" t="str">
        <v>obj_00608</v>
      </c>
      <c r="Z6" s="4" t="str">
        <v>obj_00608</v>
      </c>
      <c r="AA6" s="4" t="str">
        <f>IFERROR(_xll.qlRateHelperQuoteName(Y6,Trigger),"")</f>
        <v>EUR3x15F_LCHQuote</v>
      </c>
      <c r="AB6" s="70">
        <f>IFERROR(_xll.qlRateHelperRate(Y6,Trigger),"")</f>
        <v>1.6299999999999999E-3</v>
      </c>
      <c r="AC6" s="104" t="str">
        <f>IF(ISERROR(_xll.qlSwapRateHelperSpread($Y6)),IF(ISERROR(_xll.qlFuturesRateHelperConvexityAdjustment($Y6)),"",_xll.qlFuturesRateHelperConvexityAdjustment($Y6)),_xll.qlSwapRateHelperSpread($Y6))</f>
        <v/>
      </c>
      <c r="AD6" s="5">
        <f>IFERROR(_xll.qlRateHelperEarliestDate(Y6,Trigger),"")</f>
        <v>42341</v>
      </c>
      <c r="AE6" s="5">
        <f>IFERROR(_xll.qlRateHelperPillarDate(Y6,Trigger),"")</f>
        <v>42709</v>
      </c>
      <c r="AF6" s="70">
        <v>1.6471796028801069E-3</v>
      </c>
      <c r="AG6" s="77">
        <v>0.99781637570661352</v>
      </c>
      <c r="AH6" s="170">
        <v>42709</v>
      </c>
      <c r="AI6" s="171">
        <v>1.6471796028799299E-3</v>
      </c>
      <c r="AJ6" s="173">
        <f t="shared" si="4"/>
        <v>1.7694179454963432E-16</v>
      </c>
      <c r="AK6" s="80">
        <v>0.997921752151254</v>
      </c>
      <c r="AL6" s="162">
        <f t="shared" si="5"/>
        <v>-1.0537644464048146E-4</v>
      </c>
      <c r="AM6" s="162"/>
      <c r="AN6" s="107" t="s">
        <v>89</v>
      </c>
      <c r="AO6" s="109" t="s">
        <v>90</v>
      </c>
    </row>
    <row r="7" spans="1:41" ht="11.25" customHeight="1" x14ac:dyDescent="0.2">
      <c r="A7" s="59" t="s">
        <v>93</v>
      </c>
      <c r="B7" s="116">
        <v>2</v>
      </c>
      <c r="C7" s="62" t="str">
        <f t="shared" si="6"/>
        <v>x14F</v>
      </c>
      <c r="D7" s="123"/>
      <c r="E7" s="123"/>
      <c r="F7" s="123"/>
      <c r="G7" s="61" t="str">
        <f t="shared" si="7"/>
        <v>Euribor1Y</v>
      </c>
      <c r="H7" s="119" t="str">
        <f t="shared" si="8"/>
        <v>EUR2x14F_LCHQuote</v>
      </c>
      <c r="I7" s="123"/>
      <c r="J7" s="64" t="str">
        <f>_xll.qlFraRateHelper(,H7,B7&amp;"M",G7,PillarDate,,Permanent,Trigger,ObjectOverwrite)</f>
        <v>obj_00611#0005</v>
      </c>
      <c r="K7" s="64" t="str">
        <f t="shared" ref="K7:K16" si="9">J7</f>
        <v>obj_00611#0005</v>
      </c>
      <c r="L7" s="48"/>
      <c r="M7" s="10" t="str">
        <f t="shared" si="1"/>
        <v>FRA</v>
      </c>
      <c r="N7" s="94" t="str">
        <f t="shared" si="2"/>
        <v>obj_00603#0005</v>
      </c>
      <c r="O7" s="94" t="str">
        <f t="shared" si="3"/>
        <v>obj_00603#0005</v>
      </c>
      <c r="P7" s="146" t="str">
        <f>IFERROR(_xll.qlRateHelperQuoteName(N7,Trigger),"--")</f>
        <v>EUR4x16F_LCHQuote</v>
      </c>
      <c r="Q7" s="98">
        <f>IFERROR(_xll.qlRateHelperQuoteValue($N7,Trigger),"--")</f>
        <v>1.6850000000000001E-3</v>
      </c>
      <c r="R7" s="97" t="b">
        <v>1</v>
      </c>
      <c r="S7" s="94">
        <v>10</v>
      </c>
      <c r="T7" s="94">
        <v>1</v>
      </c>
      <c r="U7" s="99">
        <f>IFERROR(_xll.qlRateHelperEarliestDate(N7,Trigger),"--")</f>
        <v>42373</v>
      </c>
      <c r="V7" s="99">
        <f>IFERROR(_xll.qlRateHelperPillarDate(N7,Trigger),"--")</f>
        <v>42738</v>
      </c>
      <c r="X7" s="4" t="str">
        <f t="shared" si="0"/>
        <v>FRA</v>
      </c>
      <c r="Y7" s="4" t="str">
        <v>obj_00603</v>
      </c>
      <c r="Z7" s="4" t="str">
        <v>obj_00603</v>
      </c>
      <c r="AA7" s="4" t="str">
        <f>IFERROR(_xll.qlRateHelperQuoteName(Y7,Trigger),"")</f>
        <v>EUR4x16F_LCHQuote</v>
      </c>
      <c r="AB7" s="70">
        <f>IFERROR(_xll.qlRateHelperRate(Y7,Trigger),"")</f>
        <v>1.6850000000000001E-3</v>
      </c>
      <c r="AC7" s="104" t="str">
        <f>IF(ISERROR(_xll.qlSwapRateHelperSpread($Y7)),IF(ISERROR(_xll.qlFuturesRateHelperConvexityAdjustment($Y7)),"",_xll.qlFuturesRateHelperConvexityAdjustment($Y7)),_xll.qlSwapRateHelperSpread($Y7))</f>
        <v/>
      </c>
      <c r="AD7" s="5">
        <f>IFERROR(_xll.qlRateHelperEarliestDate(Y7,Trigger),"")</f>
        <v>42373</v>
      </c>
      <c r="AE7" s="5">
        <f>IFERROR(_xll.qlRateHelperPillarDate(Y7,Trigger),"")</f>
        <v>42738</v>
      </c>
      <c r="AF7" s="70">
        <v>1.6854698942914029E-3</v>
      </c>
      <c r="AG7" s="77">
        <v>0.99760701319838307</v>
      </c>
      <c r="AH7" s="170">
        <v>42738</v>
      </c>
      <c r="AI7" s="171">
        <v>1.68546989429166E-3</v>
      </c>
      <c r="AJ7" s="173">
        <f t="shared" si="4"/>
        <v>-2.5717275531356165E-16</v>
      </c>
      <c r="AK7" s="80">
        <v>0.99774011344757296</v>
      </c>
      <c r="AL7" s="162">
        <f t="shared" si="5"/>
        <v>-1.3310024918988805E-4</v>
      </c>
      <c r="AM7" s="162"/>
    </row>
    <row r="8" spans="1:41" ht="11.25" customHeight="1" x14ac:dyDescent="0.2">
      <c r="A8" s="59" t="s">
        <v>93</v>
      </c>
      <c r="B8" s="116">
        <v>3</v>
      </c>
      <c r="C8" s="62" t="str">
        <f t="shared" si="6"/>
        <v>x15F</v>
      </c>
      <c r="D8" s="123"/>
      <c r="E8" s="123"/>
      <c r="F8" s="123"/>
      <c r="G8" s="61" t="str">
        <f t="shared" si="7"/>
        <v>Euribor1Y</v>
      </c>
      <c r="H8" s="119" t="str">
        <f t="shared" si="8"/>
        <v>EUR3x15F_LCHQuote</v>
      </c>
      <c r="I8" s="123"/>
      <c r="J8" s="64" t="str">
        <f>_xll.qlFraRateHelper(,H8,B8&amp;"M",G8,PillarDate,,Permanent,Trigger,ObjectOverwrite)</f>
        <v>obj_00608#0005</v>
      </c>
      <c r="K8" s="64" t="str">
        <f t="shared" si="9"/>
        <v>obj_00608#0005</v>
      </c>
      <c r="L8" s="48"/>
      <c r="M8" s="10" t="str">
        <f t="shared" si="1"/>
        <v>FRA</v>
      </c>
      <c r="N8" s="94" t="str">
        <f t="shared" si="2"/>
        <v>obj_0060f#0005</v>
      </c>
      <c r="O8" s="94" t="str">
        <f t="shared" si="3"/>
        <v>obj_0060f#0005</v>
      </c>
      <c r="P8" s="146" t="str">
        <f>IFERROR(_xll.qlRateHelperQuoteName(N8,Trigger),"--")</f>
        <v>EUR5x17F_LCHQuote</v>
      </c>
      <c r="Q8" s="98">
        <f>IFERROR(_xll.qlRateHelperQuoteValue($N8,Trigger),"--")</f>
        <v>1.7799999999999999E-3</v>
      </c>
      <c r="R8" s="97" t="b">
        <v>1</v>
      </c>
      <c r="S8" s="94">
        <v>10</v>
      </c>
      <c r="T8" s="94">
        <v>1</v>
      </c>
      <c r="U8" s="99">
        <f>IFERROR(_xll.qlRateHelperEarliestDate(N8,Trigger),"--")</f>
        <v>42403</v>
      </c>
      <c r="V8" s="99">
        <f>IFERROR(_xll.qlRateHelperPillarDate(N8,Trigger),"--")</f>
        <v>42769</v>
      </c>
      <c r="X8" s="4" t="str">
        <f t="shared" si="0"/>
        <v>FRA</v>
      </c>
      <c r="Y8" s="4" t="str">
        <v>obj_0060f</v>
      </c>
      <c r="Z8" s="4" t="str">
        <v>obj_0060f</v>
      </c>
      <c r="AA8" s="4" t="str">
        <f>IFERROR(_xll.qlRateHelperQuoteName(Y8,Trigger),"")</f>
        <v>EUR5x17F_LCHQuote</v>
      </c>
      <c r="AB8" s="70">
        <f>IFERROR(_xll.qlRateHelperRate(Y8,Trigger),"")</f>
        <v>1.7799999999999999E-3</v>
      </c>
      <c r="AC8" s="104" t="str">
        <f>IF(ISERROR(_xll.qlSwapRateHelperSpread($Y8)),IF(ISERROR(_xll.qlFuturesRateHelperConvexityAdjustment($Y8)),"",_xll.qlFuturesRateHelperConvexityAdjustment($Y8)),_xll.qlSwapRateHelperSpread($Y8))</f>
        <v/>
      </c>
      <c r="AD8" s="5">
        <f>IFERROR(_xll.qlRateHelperEarliestDate(Y8,Trigger),"")</f>
        <v>42403</v>
      </c>
      <c r="AE8" s="5">
        <f>IFERROR(_xll.qlRateHelperPillarDate(Y8,Trigger),"")</f>
        <v>42769</v>
      </c>
      <c r="AF8" s="70">
        <v>1.7518990051857922E-3</v>
      </c>
      <c r="AG8" s="77">
        <v>0.99734784411442301</v>
      </c>
      <c r="AH8" s="170">
        <v>42769</v>
      </c>
      <c r="AI8" s="171">
        <v>1.75189900518717E-3</v>
      </c>
      <c r="AJ8" s="173">
        <f t="shared" si="4"/>
        <v>-1.377804120794579E-15</v>
      </c>
      <c r="AK8" s="80">
        <v>0.99750246819494703</v>
      </c>
      <c r="AL8" s="162">
        <f t="shared" si="5"/>
        <v>-1.5462408052402399E-4</v>
      </c>
      <c r="AM8" s="162"/>
    </row>
    <row r="9" spans="1:41" ht="11.25" customHeight="1" x14ac:dyDescent="0.2">
      <c r="A9" s="59" t="s">
        <v>93</v>
      </c>
      <c r="B9" s="116">
        <v>4</v>
      </c>
      <c r="C9" s="62" t="str">
        <f t="shared" si="6"/>
        <v>x16F</v>
      </c>
      <c r="D9" s="123"/>
      <c r="E9" s="123"/>
      <c r="F9" s="123"/>
      <c r="G9" s="61" t="str">
        <f t="shared" si="7"/>
        <v>Euribor1Y</v>
      </c>
      <c r="H9" s="119" t="str">
        <f t="shared" si="8"/>
        <v>EUR4x16F_LCHQuote</v>
      </c>
      <c r="I9" s="123"/>
      <c r="J9" s="64" t="str">
        <f>_xll.qlFraRateHelper(,H9,B9&amp;"M",G9,PillarDate,,Permanent,Trigger,ObjectOverwrite)</f>
        <v>obj_00603#0005</v>
      </c>
      <c r="K9" s="64" t="str">
        <f t="shared" si="9"/>
        <v>obj_00603#0005</v>
      </c>
      <c r="L9" s="48"/>
      <c r="M9" s="10" t="str">
        <f t="shared" si="1"/>
        <v>FRA</v>
      </c>
      <c r="N9" s="94" t="str">
        <f t="shared" si="2"/>
        <v>obj_00616#0005</v>
      </c>
      <c r="O9" s="94" t="str">
        <f t="shared" si="3"/>
        <v>obj_00616#0005</v>
      </c>
      <c r="P9" s="146" t="str">
        <f>IFERROR(_xll.qlRateHelperQuoteName(N9,Trigger),"--")</f>
        <v>EUR6x18F_LCHQuote</v>
      </c>
      <c r="Q9" s="98">
        <f>IFERROR(_xll.qlRateHelperQuoteValue($N9,Trigger),"--")</f>
        <v>1.8400000000000001E-3</v>
      </c>
      <c r="R9" s="97" t="b">
        <v>1</v>
      </c>
      <c r="S9" s="94">
        <v>10</v>
      </c>
      <c r="T9" s="94">
        <v>1</v>
      </c>
      <c r="U9" s="99">
        <f>IFERROR(_xll.qlRateHelperEarliestDate(N9,Trigger),"--")</f>
        <v>42432</v>
      </c>
      <c r="V9" s="99">
        <f>IFERROR(_xll.qlRateHelperPillarDate(N9,Trigger),"--")</f>
        <v>42797</v>
      </c>
      <c r="X9" s="4" t="str">
        <f t="shared" si="0"/>
        <v>FRA</v>
      </c>
      <c r="Y9" s="4" t="str">
        <v>obj_00616</v>
      </c>
      <c r="Z9" s="4" t="str">
        <v>obj_00616</v>
      </c>
      <c r="AA9" s="4" t="str">
        <f>IFERROR(_xll.qlRateHelperQuoteName(Y9,Trigger),"")</f>
        <v>EUR6x18F_LCHQuote</v>
      </c>
      <c r="AB9" s="70">
        <f>IFERROR(_xll.qlRateHelperRate(Y9,Trigger),"")</f>
        <v>1.8400000000000001E-3</v>
      </c>
      <c r="AC9" s="104" t="str">
        <f>IF(ISERROR(_xll.qlSwapRateHelperSpread($Y9)),IF(ISERROR(_xll.qlFuturesRateHelperConvexityAdjustment($Y9)),"",_xll.qlFuturesRateHelperConvexityAdjustment($Y9)),_xll.qlSwapRateHelperSpread($Y9))</f>
        <v/>
      </c>
      <c r="AD9" s="5">
        <f>IFERROR(_xll.qlRateHelperEarliestDate(Y9,Trigger),"")</f>
        <v>42432</v>
      </c>
      <c r="AE9" s="5">
        <f>IFERROR(_xll.qlRateHelperPillarDate(Y9,Trigger),"")</f>
        <v>42797</v>
      </c>
      <c r="AF9" s="70">
        <v>1.7857941152497078E-3</v>
      </c>
      <c r="AG9" s="77">
        <v>0.99714993470206759</v>
      </c>
      <c r="AH9" s="170">
        <v>42797</v>
      </c>
      <c r="AI9" s="171">
        <v>1.78579411524989E-3</v>
      </c>
      <c r="AJ9" s="173">
        <f t="shared" si="4"/>
        <v>-1.8214596497756474E-16</v>
      </c>
      <c r="AK9" s="80">
        <v>0.99731757409824695</v>
      </c>
      <c r="AL9" s="162">
        <f t="shared" si="5"/>
        <v>-1.676393961793643E-4</v>
      </c>
      <c r="AM9" s="162"/>
    </row>
    <row r="10" spans="1:41" ht="11.25" customHeight="1" x14ac:dyDescent="0.2">
      <c r="A10" s="59" t="s">
        <v>93</v>
      </c>
      <c r="B10" s="116">
        <v>5</v>
      </c>
      <c r="C10" s="62" t="str">
        <f t="shared" si="6"/>
        <v>x17F</v>
      </c>
      <c r="D10" s="123"/>
      <c r="E10" s="123"/>
      <c r="F10" s="123"/>
      <c r="G10" s="61" t="str">
        <f t="shared" si="7"/>
        <v>Euribor1Y</v>
      </c>
      <c r="H10" s="119" t="str">
        <f t="shared" si="8"/>
        <v>EUR5x17F_LCHQuote</v>
      </c>
      <c r="I10" s="123"/>
      <c r="J10" s="64" t="str">
        <f>_xll.qlFraRateHelper(,H10,B10&amp;"M",G10,PillarDate,,Permanent,Trigger,ObjectOverwrite)</f>
        <v>obj_0060f#0005</v>
      </c>
      <c r="K10" s="64" t="str">
        <f t="shared" si="9"/>
        <v>obj_0060f#0005</v>
      </c>
      <c r="L10" s="48"/>
      <c r="M10" s="10" t="str">
        <f t="shared" si="1"/>
        <v>FRA</v>
      </c>
      <c r="N10" s="94" t="str">
        <f t="shared" si="2"/>
        <v>obj_0061a#0005</v>
      </c>
      <c r="O10" s="94" t="str">
        <f t="shared" si="3"/>
        <v>obj_0061a#0005</v>
      </c>
      <c r="P10" s="146" t="str">
        <f>IFERROR(_xll.qlRateHelperQuoteName(N10,Trigger),"--")</f>
        <v>EUR7x19F_LCHQuote</v>
      </c>
      <c r="Q10" s="98">
        <f>IFERROR(_xll.qlRateHelperQuoteValue($N10,Trigger),"--")</f>
        <v>2.0300000000000001E-3</v>
      </c>
      <c r="R10" s="97" t="b">
        <v>1</v>
      </c>
      <c r="S10" s="94">
        <v>10</v>
      </c>
      <c r="T10" s="94">
        <v>1</v>
      </c>
      <c r="U10" s="99">
        <f>IFERROR(_xll.qlRateHelperEarliestDate(N10,Trigger),"--")</f>
        <v>42464</v>
      </c>
      <c r="V10" s="99">
        <f>IFERROR(_xll.qlRateHelperPillarDate(N10,Trigger),"--")</f>
        <v>42828</v>
      </c>
      <c r="X10" s="4" t="str">
        <f t="shared" si="0"/>
        <v>FRA</v>
      </c>
      <c r="Y10" s="4" t="str">
        <v>obj_0061a</v>
      </c>
      <c r="Z10" s="4" t="str">
        <v>obj_0061a</v>
      </c>
      <c r="AA10" s="4" t="str">
        <f>IFERROR(_xll.qlRateHelperQuoteName(Y10,Trigger),"")</f>
        <v>EUR7x19F_LCHQuote</v>
      </c>
      <c r="AB10" s="70">
        <f>IFERROR(_xll.qlRateHelperRate(Y10,Trigger),"")</f>
        <v>2.0300000000000001E-3</v>
      </c>
      <c r="AC10" s="104" t="str">
        <f>IF(ISERROR(_xll.qlSwapRateHelperSpread($Y10)),IF(ISERROR(_xll.qlFuturesRateHelperConvexityAdjustment($Y10)),"",_xll.qlFuturesRateHelperConvexityAdjustment($Y10)),_xll.qlSwapRateHelperSpread($Y10))</f>
        <v/>
      </c>
      <c r="AD10" s="5">
        <f>IFERROR(_xll.qlRateHelperEarliestDate(Y10,Trigger),"")</f>
        <v>42464</v>
      </c>
      <c r="AE10" s="5">
        <f>IFERROR(_xll.qlRateHelperPillarDate(Y10,Trigger),"")</f>
        <v>42828</v>
      </c>
      <c r="AF10" s="70">
        <v>1.8961949889472194E-3</v>
      </c>
      <c r="AG10" s="77">
        <v>0.99682062564657747</v>
      </c>
      <c r="AH10" s="170">
        <v>42828</v>
      </c>
      <c r="AI10" s="171">
        <v>1.8961949889460699E-3</v>
      </c>
      <c r="AJ10" s="173">
        <f t="shared" si="4"/>
        <v>1.1494711432691318E-15</v>
      </c>
      <c r="AK10" s="80">
        <v>0.99699312365120796</v>
      </c>
      <c r="AL10" s="162">
        <f t="shared" si="5"/>
        <v>-1.7249800463048359E-4</v>
      </c>
      <c r="AM10" s="162"/>
    </row>
    <row r="11" spans="1:41" ht="11.25" customHeight="1" x14ac:dyDescent="0.2">
      <c r="A11" s="59" t="s">
        <v>93</v>
      </c>
      <c r="B11" s="116">
        <v>6</v>
      </c>
      <c r="C11" s="62" t="str">
        <f t="shared" si="6"/>
        <v>x18F</v>
      </c>
      <c r="D11" s="123"/>
      <c r="E11" s="123"/>
      <c r="F11" s="123"/>
      <c r="G11" s="61" t="str">
        <f t="shared" si="7"/>
        <v>Euribor1Y</v>
      </c>
      <c r="H11" s="119" t="str">
        <f t="shared" si="8"/>
        <v>EUR6x18F_LCHQuote</v>
      </c>
      <c r="I11" s="123"/>
      <c r="J11" s="64" t="str">
        <f>_xll.qlFraRateHelper(,H11,B11&amp;"M",G11,PillarDate,,Permanent,Trigger,ObjectOverwrite)</f>
        <v>obj_00616#0005</v>
      </c>
      <c r="K11" s="64" t="str">
        <f t="shared" si="9"/>
        <v>obj_00616#0005</v>
      </c>
      <c r="L11" s="48"/>
      <c r="M11" s="10" t="str">
        <f t="shared" si="1"/>
        <v>FRA</v>
      </c>
      <c r="N11" s="94" t="str">
        <f t="shared" si="2"/>
        <v>obj_0061d#0005</v>
      </c>
      <c r="O11" s="94" t="str">
        <f t="shared" si="3"/>
        <v>obj_0061d#0005</v>
      </c>
      <c r="P11" s="146" t="str">
        <f>IFERROR(_xll.qlRateHelperQuoteName(N11,Trigger),"--")</f>
        <v>EUR8x20F_LCHQuote</v>
      </c>
      <c r="Q11" s="98">
        <f>IFERROR(_xll.qlRateHelperQuoteValue($N11,Trigger),"--")</f>
        <v>2.14E-3</v>
      </c>
      <c r="R11" s="97" t="b">
        <v>1</v>
      </c>
      <c r="S11" s="94">
        <v>10</v>
      </c>
      <c r="T11" s="94">
        <v>1</v>
      </c>
      <c r="U11" s="99">
        <f>IFERROR(_xll.qlRateHelperEarliestDate(N11,Trigger),"--")</f>
        <v>42493</v>
      </c>
      <c r="V11" s="99">
        <f>IFERROR(_xll.qlRateHelperPillarDate(N11,Trigger),"--")</f>
        <v>42858</v>
      </c>
      <c r="X11" s="4" t="str">
        <f t="shared" si="0"/>
        <v>FRA</v>
      </c>
      <c r="Y11" s="4" t="str">
        <v>obj_0061d</v>
      </c>
      <c r="Z11" s="4" t="str">
        <v>obj_0061d</v>
      </c>
      <c r="AA11" s="4" t="str">
        <f>IFERROR(_xll.qlRateHelperQuoteName(Y11,Trigger),"")</f>
        <v>EUR8x20F_LCHQuote</v>
      </c>
      <c r="AB11" s="70">
        <f>IFERROR(_xll.qlRateHelperRate(Y11,Trigger),"")</f>
        <v>2.14E-3</v>
      </c>
      <c r="AC11" s="104" t="str">
        <f>IF(ISERROR(_xll.qlSwapRateHelperSpread($Y11)),IF(ISERROR(_xll.qlFuturesRateHelperConvexityAdjustment($Y11)),"",_xll.qlFuturesRateHelperConvexityAdjustment($Y11)),_xll.qlSwapRateHelperSpread($Y11))</f>
        <v/>
      </c>
      <c r="AD11" s="5">
        <f>IFERROR(_xll.qlRateHelperEarliestDate(Y11,Trigger),"")</f>
        <v>42493</v>
      </c>
      <c r="AE11" s="5">
        <f>IFERROR(_xll.qlRateHelperPillarDate(Y11,Trigger),"")</f>
        <v>42858</v>
      </c>
      <c r="AF11" s="70">
        <v>1.9519515306627741E-3</v>
      </c>
      <c r="AG11" s="77">
        <v>0.99657631142666181</v>
      </c>
      <c r="AH11" s="170">
        <v>42858</v>
      </c>
      <c r="AI11" s="171">
        <v>1.95195153074303E-3</v>
      </c>
      <c r="AJ11" s="173">
        <f t="shared" si="4"/>
        <v>-8.0255897413894495E-14</v>
      </c>
      <c r="AK11" s="80">
        <v>0.99674314950905396</v>
      </c>
      <c r="AL11" s="162">
        <f t="shared" si="5"/>
        <v>-1.6683808239215114E-4</v>
      </c>
      <c r="AM11" s="162"/>
    </row>
    <row r="12" spans="1:41" ht="11.25" customHeight="1" x14ac:dyDescent="0.2">
      <c r="A12" s="59" t="s">
        <v>93</v>
      </c>
      <c r="B12" s="116">
        <v>7</v>
      </c>
      <c r="C12" s="62" t="str">
        <f t="shared" si="6"/>
        <v>x19F</v>
      </c>
      <c r="D12" s="123"/>
      <c r="E12" s="123"/>
      <c r="F12" s="123"/>
      <c r="G12" s="61" t="str">
        <f t="shared" si="7"/>
        <v>Euribor1Y</v>
      </c>
      <c r="H12" s="119" t="str">
        <f t="shared" si="8"/>
        <v>EUR7x19F_LCHQuote</v>
      </c>
      <c r="I12" s="123"/>
      <c r="J12" s="64" t="str">
        <f>_xll.qlFraRateHelper(,H12,B12&amp;"M",G12,PillarDate,,Permanent,Trigger,ObjectOverwrite)</f>
        <v>obj_0061a#0005</v>
      </c>
      <c r="K12" s="64" t="str">
        <f t="shared" si="9"/>
        <v>obj_0061a#0005</v>
      </c>
      <c r="L12" s="48" t="s">
        <v>36</v>
      </c>
      <c r="M12" s="10" t="str">
        <f t="shared" si="1"/>
        <v>FRA</v>
      </c>
      <c r="N12" s="94" t="str">
        <f t="shared" si="2"/>
        <v>obj_0061f#0005</v>
      </c>
      <c r="O12" s="94" t="str">
        <f t="shared" si="3"/>
        <v>obj_0061f#0005</v>
      </c>
      <c r="P12" s="146" t="str">
        <f>IFERROR(_xll.qlRateHelperQuoteName(N12,Trigger),"--")</f>
        <v>EUR9x21F_LCHQuote</v>
      </c>
      <c r="Q12" s="98">
        <f>IFERROR(_xll.qlRateHelperQuoteValue($N12,Trigger),"--")</f>
        <v>2.2699999999999999E-3</v>
      </c>
      <c r="R12" s="97" t="b">
        <v>1</v>
      </c>
      <c r="S12" s="94">
        <v>10</v>
      </c>
      <c r="T12" s="94">
        <v>1</v>
      </c>
      <c r="U12" s="99">
        <f>IFERROR(_xll.qlRateHelperEarliestDate(N12,Trigger),"--")</f>
        <v>42524</v>
      </c>
      <c r="V12" s="99">
        <f>IFERROR(_xll.qlRateHelperPillarDate(N12,Trigger),"--")</f>
        <v>42891</v>
      </c>
      <c r="X12" s="4" t="str">
        <f t="shared" si="0"/>
        <v>FRA</v>
      </c>
      <c r="Y12" s="4" t="str">
        <v>obj_0061f</v>
      </c>
      <c r="Z12" s="4" t="str">
        <v>obj_0061f</v>
      </c>
      <c r="AA12" s="4" t="str">
        <f>IFERROR(_xll.qlRateHelperQuoteName(Y12,Trigger),"")</f>
        <v>EUR9x21F_LCHQuote</v>
      </c>
      <c r="AB12" s="70">
        <f>IFERROR(_xll.qlRateHelperRate(Y12,Trigger),"")</f>
        <v>2.2699999999999999E-3</v>
      </c>
      <c r="AC12" s="104" t="str">
        <f>IF(ISERROR(_xll.qlSwapRateHelperSpread($Y12)),IF(ISERROR(_xll.qlFuturesRateHelperConvexityAdjustment($Y12)),"",_xll.qlFuturesRateHelperConvexityAdjustment($Y12)),_xll.qlSwapRateHelperSpread($Y12))</f>
        <v/>
      </c>
      <c r="AD12" s="5">
        <f>IFERROR(_xll.qlRateHelperEarliestDate(Y12,Trigger),"")</f>
        <v>42524</v>
      </c>
      <c r="AE12" s="5">
        <f>IFERROR(_xll.qlRateHelperPillarDate(Y12,Trigger),"")</f>
        <v>42891</v>
      </c>
      <c r="AF12" s="70">
        <v>2.0122024945081452E-3</v>
      </c>
      <c r="AG12" s="77">
        <v>0.99631269207447204</v>
      </c>
      <c r="AH12" s="170">
        <v>42891</v>
      </c>
      <c r="AI12" s="171">
        <v>2.01220249450489E-3</v>
      </c>
      <c r="AJ12" s="173">
        <f t="shared" si="4"/>
        <v>3.2552086026704785E-15</v>
      </c>
      <c r="AK12" s="80">
        <v>0.99646149120968697</v>
      </c>
      <c r="AL12" s="162">
        <f t="shared" si="5"/>
        <v>-1.487991352149276E-4</v>
      </c>
      <c r="AM12" s="162"/>
    </row>
    <row r="13" spans="1:41" ht="11.25" customHeight="1" x14ac:dyDescent="0.2">
      <c r="A13" s="59" t="s">
        <v>93</v>
      </c>
      <c r="B13" s="116">
        <v>8</v>
      </c>
      <c r="C13" s="62" t="str">
        <f t="shared" si="6"/>
        <v>x20F</v>
      </c>
      <c r="D13" s="123"/>
      <c r="E13" s="123"/>
      <c r="F13" s="123"/>
      <c r="G13" s="61" t="str">
        <f t="shared" si="7"/>
        <v>Euribor1Y</v>
      </c>
      <c r="H13" s="119" t="str">
        <f t="shared" si="8"/>
        <v>EUR8x20F_LCHQuote</v>
      </c>
      <c r="I13" s="123"/>
      <c r="J13" s="64" t="str">
        <f>_xll.qlFraRateHelper(,H13,B13&amp;"M",G13,PillarDate,,Permanent,Trigger,ObjectOverwrite)</f>
        <v>obj_0061d#0005</v>
      </c>
      <c r="K13" s="64" t="str">
        <f t="shared" si="9"/>
        <v>obj_0061d#0005</v>
      </c>
      <c r="L13" s="48"/>
      <c r="M13" s="10" t="str">
        <f t="shared" si="1"/>
        <v>FRA</v>
      </c>
      <c r="N13" s="94" t="str">
        <f t="shared" si="2"/>
        <v>obj_00605#0005</v>
      </c>
      <c r="O13" s="94" t="str">
        <f t="shared" si="3"/>
        <v>obj_00605#0005</v>
      </c>
      <c r="P13" s="146" t="str">
        <f>IFERROR(_xll.qlRateHelperQuoteName(N13,Trigger),"--")</f>
        <v>EUR10x22F_LCHQuote</v>
      </c>
      <c r="Q13" s="98">
        <f>IFERROR(_xll.qlRateHelperQuoteValue($N13,Trigger),"--")</f>
        <v>2.3999999999999998E-3</v>
      </c>
      <c r="R13" s="97" t="b">
        <v>1</v>
      </c>
      <c r="S13" s="94">
        <v>10</v>
      </c>
      <c r="T13" s="94">
        <v>1</v>
      </c>
      <c r="U13" s="99">
        <f>IFERROR(_xll.qlRateHelperEarliestDate(N13,Trigger),"--")</f>
        <v>42555</v>
      </c>
      <c r="V13" s="99">
        <f>IFERROR(_xll.qlRateHelperPillarDate(N13,Trigger),"--")</f>
        <v>42919</v>
      </c>
      <c r="X13" s="4" t="str">
        <f t="shared" si="0"/>
        <v>FRA</v>
      </c>
      <c r="Y13" s="4" t="str">
        <v>obj_00605</v>
      </c>
      <c r="Z13" s="4" t="str">
        <v>obj_00605</v>
      </c>
      <c r="AA13" s="4" t="str">
        <f>IFERROR(_xll.qlRateHelperQuoteName(Y13,Trigger),"")</f>
        <v>EUR10x22F_LCHQuote</v>
      </c>
      <c r="AB13" s="70">
        <f>IFERROR(_xll.qlRateHelperRate(Y13,Trigger),"")</f>
        <v>2.3999999999999998E-3</v>
      </c>
      <c r="AC13" s="104" t="str">
        <f>IF(ISERROR(_xll.qlSwapRateHelperSpread($Y13)),IF(ISERROR(_xll.qlFuturesRateHelperConvexityAdjustment($Y13)),"",_xll.qlFuturesRateHelperConvexityAdjustment($Y13)),_xll.qlSwapRateHelperSpread($Y13))</f>
        <v/>
      </c>
      <c r="AD13" s="5">
        <f>IFERROR(_xll.qlRateHelperEarliestDate(Y13,Trigger),"")</f>
        <v>42555</v>
      </c>
      <c r="AE13" s="5">
        <f>IFERROR(_xll.qlRateHelperPillarDate(Y13,Trigger),"")</f>
        <v>42919</v>
      </c>
      <c r="AF13" s="70">
        <v>2.0631838247236411E-3</v>
      </c>
      <c r="AG13" s="77">
        <v>0.99609612400593817</v>
      </c>
      <c r="AH13" s="170">
        <v>42919</v>
      </c>
      <c r="AI13" s="171">
        <v>2.0631838247128901E-3</v>
      </c>
      <c r="AJ13" s="173">
        <f t="shared" si="4"/>
        <v>1.0750948742366262E-14</v>
      </c>
      <c r="AK13" s="80">
        <v>0.99621422560108996</v>
      </c>
      <c r="AL13" s="162">
        <f t="shared" si="5"/>
        <v>-1.181015951517983E-4</v>
      </c>
      <c r="AM13" s="162"/>
    </row>
    <row r="14" spans="1:41" ht="11.25" customHeight="1" x14ac:dyDescent="0.2">
      <c r="A14" s="59" t="s">
        <v>93</v>
      </c>
      <c r="B14" s="116">
        <v>9</v>
      </c>
      <c r="C14" s="62" t="str">
        <f t="shared" si="6"/>
        <v>x21F</v>
      </c>
      <c r="D14" s="123"/>
      <c r="E14" s="123"/>
      <c r="F14" s="123"/>
      <c r="G14" s="61" t="str">
        <f t="shared" si="7"/>
        <v>Euribor1Y</v>
      </c>
      <c r="H14" s="119" t="str">
        <f t="shared" si="8"/>
        <v>EUR9x21F_LCHQuote</v>
      </c>
      <c r="I14" s="123"/>
      <c r="J14" s="64" t="str">
        <f>_xll.qlFraRateHelper(,H14,B14&amp;"M",G14,PillarDate,,Permanent,Trigger,ObjectOverwrite)</f>
        <v>obj_0061f#0005</v>
      </c>
      <c r="K14" s="64" t="str">
        <f t="shared" si="9"/>
        <v>obj_0061f#0005</v>
      </c>
      <c r="L14" s="48"/>
      <c r="M14" s="10" t="str">
        <f t="shared" si="1"/>
        <v>FRA</v>
      </c>
      <c r="N14" s="94" t="str">
        <f t="shared" si="2"/>
        <v>obj_00622#0005</v>
      </c>
      <c r="O14" s="94" t="str">
        <f t="shared" si="3"/>
        <v>obj_00622#0005</v>
      </c>
      <c r="P14" s="146" t="str">
        <f>IFERROR(_xll.qlRateHelperQuoteName(N14,Trigger),"--")</f>
        <v>EUR11x23F_LCHQuote</v>
      </c>
      <c r="Q14" s="98">
        <f>IFERROR(_xll.qlRateHelperQuoteValue($N14,Trigger),"--")</f>
        <v>2.5500000000000002E-3</v>
      </c>
      <c r="R14" s="97" t="b">
        <v>1</v>
      </c>
      <c r="S14" s="94">
        <v>10</v>
      </c>
      <c r="T14" s="94">
        <v>1</v>
      </c>
      <c r="U14" s="99">
        <f>IFERROR(_xll.qlRateHelperEarliestDate(N14,Trigger),"--")</f>
        <v>42585</v>
      </c>
      <c r="V14" s="99">
        <f>IFERROR(_xll.qlRateHelperPillarDate(N14,Trigger),"--")</f>
        <v>42950</v>
      </c>
      <c r="X14" s="4" t="str">
        <f t="shared" si="0"/>
        <v>FRA</v>
      </c>
      <c r="Y14" s="4" t="str">
        <v>obj_00622</v>
      </c>
      <c r="Z14" s="4" t="str">
        <v>obj_00622</v>
      </c>
      <c r="AA14" s="4" t="str">
        <f>IFERROR(_xll.qlRateHelperQuoteName(Y14,Trigger),"")</f>
        <v>EUR11x23F_LCHQuote</v>
      </c>
      <c r="AB14" s="70">
        <f>IFERROR(_xll.qlRateHelperRate(Y14,Trigger),"")</f>
        <v>2.5500000000000002E-3</v>
      </c>
      <c r="AC14" s="104" t="str">
        <f>IF(ISERROR(_xll.qlSwapRateHelperSpread($Y14)),IF(ISERROR(_xll.qlFuturesRateHelperConvexityAdjustment($Y14)),"",_xll.qlFuturesRateHelperConvexityAdjustment($Y14)),_xll.qlSwapRateHelperSpread($Y14))</f>
        <v/>
      </c>
      <c r="AD14" s="5">
        <f>IFERROR(_xll.qlRateHelperEarliestDate(Y14,Trigger),"")</f>
        <v>42585</v>
      </c>
      <c r="AE14" s="5">
        <f>IFERROR(_xll.qlRateHelperPillarDate(Y14,Trigger),"")</f>
        <v>42950</v>
      </c>
      <c r="AF14" s="70">
        <v>2.125516805277187E-3</v>
      </c>
      <c r="AG14" s="77">
        <v>0.99584923961341831</v>
      </c>
      <c r="AH14" s="170">
        <v>42950</v>
      </c>
      <c r="AI14" s="171">
        <v>2.12551680524555E-3</v>
      </c>
      <c r="AJ14" s="173">
        <f t="shared" si="4"/>
        <v>3.1637019393127019E-14</v>
      </c>
      <c r="AK14" s="80">
        <v>0.99592036415032703</v>
      </c>
      <c r="AL14" s="162">
        <f t="shared" si="5"/>
        <v>-7.1124536908717673E-5</v>
      </c>
      <c r="AM14" s="162"/>
    </row>
    <row r="15" spans="1:41" ht="11.25" customHeight="1" x14ac:dyDescent="0.2">
      <c r="A15" s="59" t="s">
        <v>93</v>
      </c>
      <c r="B15" s="116">
        <v>10</v>
      </c>
      <c r="C15" s="62" t="str">
        <f t="shared" si="6"/>
        <v>x22F</v>
      </c>
      <c r="D15" s="123"/>
      <c r="E15" s="123"/>
      <c r="F15" s="123"/>
      <c r="G15" s="61" t="str">
        <f t="shared" si="7"/>
        <v>Euribor1Y</v>
      </c>
      <c r="H15" s="119" t="str">
        <f t="shared" si="8"/>
        <v>EUR10x22F_LCHQuote</v>
      </c>
      <c r="I15" s="123"/>
      <c r="J15" s="64" t="str">
        <f>_xll.qlFraRateHelper(,H15,B15&amp;"M",G15,PillarDate,,Permanent,Trigger,ObjectOverwrite)</f>
        <v>obj_00605#0005</v>
      </c>
      <c r="K15" s="64" t="str">
        <f t="shared" si="9"/>
        <v>obj_00605#0005</v>
      </c>
      <c r="L15" s="48"/>
      <c r="M15" s="68" t="str">
        <f t="shared" ref="M15:M51" si="10">A19</f>
        <v>BasSw</v>
      </c>
      <c r="N15" s="131" t="str">
        <f t="shared" ref="N15:N49" si="11">IF(ISBLANK(J19),"--",J19)</f>
        <v>--</v>
      </c>
      <c r="O15" s="131" t="str">
        <f t="shared" ref="O15:O49" si="12">IF(ISBLANK(K19),"--",K19)</f>
        <v>--</v>
      </c>
      <c r="P15" s="145" t="str">
        <f>IFERROR(_xll.qlRateHelperQuoteName(N15,Trigger),"--")</f>
        <v>--</v>
      </c>
      <c r="Q15" s="133" t="str">
        <f>IFERROR(_xll.qlRateHelperQuoteValue($N15,Trigger),"--")</f>
        <v>--</v>
      </c>
      <c r="R15" s="132" t="b">
        <v>0</v>
      </c>
      <c r="S15" s="131">
        <v>20</v>
      </c>
      <c r="T15" s="131">
        <v>1</v>
      </c>
      <c r="U15" s="134" t="str">
        <f>IFERROR(_xll.qlRateHelperEarliestDate(N15,Trigger),"--")</f>
        <v>--</v>
      </c>
      <c r="V15" s="134" t="str">
        <f>IFERROR(_xll.qlRateHelperPillarDate(N15,Trigger),"--")</f>
        <v>--</v>
      </c>
      <c r="X15" s="4" t="str">
        <f t="shared" si="0"/>
        <v>BasSw</v>
      </c>
      <c r="Y15" s="4" t="str">
        <v>obj_005c9</v>
      </c>
      <c r="Z15" s="4" t="str">
        <v>obj_005d3</v>
      </c>
      <c r="AA15" s="4" t="str">
        <f>IFERROR(_xll.qlRateHelperQuoteName(Y15,Trigger),"")</f>
        <v>EUR6E12E2Y_LCHQuote</v>
      </c>
      <c r="AB15" s="70">
        <f>IFERROR(_xll.qlRateHelperRate(Y15,Trigger),"")</f>
        <v>2.1852500000000001E-3</v>
      </c>
      <c r="AC15" s="104">
        <f>IF(ISERROR(_xll.qlSwapRateHelperSpread($Y15)),IF(ISERROR(_xll.qlFuturesRateHelperConvexityAdjustment($Y15)),"",_xll.qlFuturesRateHelperConvexityAdjustment($Y15)),_xll.qlSwapRateHelperSpread($Y15))</f>
        <v>0</v>
      </c>
      <c r="AD15" s="5">
        <f>IFERROR(_xll.qlRateHelperEarliestDate(Y15,Trigger),"")</f>
        <v>42250</v>
      </c>
      <c r="AE15" s="5">
        <f>IFERROR(_xll.qlRateHelperPillarDate(Y15,Trigger),"")</f>
        <v>42982</v>
      </c>
      <c r="AF15" s="70">
        <v>2.1762057949084824E-3</v>
      </c>
      <c r="AG15" s="77">
        <v>0.99562686144229307</v>
      </c>
      <c r="AH15" s="170">
        <v>42982</v>
      </c>
      <c r="AI15" s="171">
        <v>2.17620579494607E-3</v>
      </c>
      <c r="AJ15" s="173">
        <f t="shared" si="4"/>
        <v>-3.7587554596596462E-14</v>
      </c>
      <c r="AK15" s="80">
        <v>0.99563130150970003</v>
      </c>
      <c r="AL15" s="162">
        <f t="shared" si="5"/>
        <v>-4.4400674069633439E-6</v>
      </c>
      <c r="AM15" s="162"/>
    </row>
    <row r="16" spans="1:41" ht="11.25" customHeight="1" x14ac:dyDescent="0.2">
      <c r="A16" s="1" t="s">
        <v>93</v>
      </c>
      <c r="B16" s="117">
        <v>11</v>
      </c>
      <c r="C16" s="9" t="str">
        <f t="shared" si="6"/>
        <v>x23F</v>
      </c>
      <c r="D16" s="124"/>
      <c r="E16" s="124"/>
      <c r="F16" s="124"/>
      <c r="G16" s="7" t="str">
        <f t="shared" si="7"/>
        <v>Euribor1Y</v>
      </c>
      <c r="H16" s="120" t="str">
        <f t="shared" si="8"/>
        <v>EUR11x23F_LCHQuote</v>
      </c>
      <c r="I16" s="124"/>
      <c r="J16" s="3" t="str">
        <f>_xll.qlFraRateHelper(,H16,B16&amp;"M",G16,PillarDate,,Permanent,Trigger,ObjectOverwrite)</f>
        <v>obj_00622#0005</v>
      </c>
      <c r="K16" s="3" t="str">
        <f t="shared" si="9"/>
        <v>obj_00622#0005</v>
      </c>
      <c r="L16" s="48"/>
      <c r="M16" s="10" t="str">
        <f t="shared" si="10"/>
        <v>BasSw</v>
      </c>
      <c r="N16" s="94" t="str">
        <f t="shared" si="11"/>
        <v>--</v>
      </c>
      <c r="O16" s="94" t="str">
        <f t="shared" si="12"/>
        <v>--</v>
      </c>
      <c r="P16" s="146" t="str">
        <f>IFERROR(_xll.qlRateHelperQuoteName(N16,Trigger),"--")</f>
        <v>--</v>
      </c>
      <c r="Q16" s="98" t="str">
        <f>IFERROR(_xll.qlRateHelperQuoteValue($N16,Trigger),"--")</f>
        <v>--</v>
      </c>
      <c r="R16" s="97" t="b">
        <v>0</v>
      </c>
      <c r="S16" s="94">
        <v>20</v>
      </c>
      <c r="T16" s="94">
        <v>1</v>
      </c>
      <c r="U16" s="99" t="str">
        <f>IFERROR(_xll.qlRateHelperEarliestDate(N16,Trigger),"--")</f>
        <v>--</v>
      </c>
      <c r="V16" s="99" t="str">
        <f>IFERROR(_xll.qlRateHelperPillarDate(N16,Trigger),"--")</f>
        <v>--</v>
      </c>
      <c r="X16" s="4" t="str">
        <f t="shared" si="0"/>
        <v>BasSw</v>
      </c>
      <c r="Y16" s="4" t="str">
        <v>obj_005e6</v>
      </c>
      <c r="Z16" s="4" t="str">
        <v>obj_005e1</v>
      </c>
      <c r="AA16" s="4" t="str">
        <f>IFERROR(_xll.qlRateHelperQuoteName(Y16,Trigger),"")</f>
        <v>EUR6E12E3Y_LCHQuote</v>
      </c>
      <c r="AB16" s="70">
        <f>IFERROR(_xll.qlRateHelperRate(Y16,Trigger),"")</f>
        <v>3.1276667000000001E-3</v>
      </c>
      <c r="AC16" s="104">
        <f>IF(ISERROR(_xll.qlSwapRateHelperSpread($Y16)),IF(ISERROR(_xll.qlFuturesRateHelperConvexityAdjustment($Y16)),"",_xll.qlFuturesRateHelperConvexityAdjustment($Y16)),_xll.qlSwapRateHelperSpread($Y16))</f>
        <v>0</v>
      </c>
      <c r="AD16" s="5">
        <f>IFERROR(_xll.qlRateHelperEarliestDate(Y16,Trigger),"")</f>
        <v>42250</v>
      </c>
      <c r="AE16" s="5">
        <f>IFERROR(_xll.qlRateHelperPillarDate(Y16,Trigger),"")</f>
        <v>43346</v>
      </c>
      <c r="AF16" s="70">
        <v>3.1132271889769973E-3</v>
      </c>
      <c r="AG16" s="77">
        <v>0.9906715587075362</v>
      </c>
      <c r="AH16" s="170">
        <v>43346</v>
      </c>
      <c r="AI16" s="171">
        <v>3.1132271590456201E-3</v>
      </c>
      <c r="AJ16" s="173">
        <f t="shared" si="4"/>
        <v>2.9931377255182356E-11</v>
      </c>
      <c r="AK16" s="80">
        <v>0.99067543665963498</v>
      </c>
      <c r="AL16" s="162">
        <f t="shared" si="5"/>
        <v>-3.8779520987741734E-6</v>
      </c>
      <c r="AM16" s="162"/>
    </row>
    <row r="17" spans="1:39" ht="11.25" customHeight="1" x14ac:dyDescent="0.2">
      <c r="B17" s="46"/>
      <c r="C17" s="46"/>
      <c r="D17" s="46"/>
      <c r="E17" s="46"/>
      <c r="F17" s="46"/>
      <c r="G17" s="46" t="s">
        <v>126</v>
      </c>
      <c r="H17" s="46" t="s">
        <v>131</v>
      </c>
      <c r="L17" s="48"/>
      <c r="M17" s="10" t="str">
        <f t="shared" si="10"/>
        <v>BasSw</v>
      </c>
      <c r="N17" s="94" t="str">
        <f t="shared" si="11"/>
        <v>--</v>
      </c>
      <c r="O17" s="94" t="str">
        <f t="shared" si="12"/>
        <v>--</v>
      </c>
      <c r="P17" s="146" t="str">
        <f>IFERROR(_xll.qlRateHelperQuoteName(N17,Trigger),"--")</f>
        <v>--</v>
      </c>
      <c r="Q17" s="98" t="str">
        <f>IFERROR(_xll.qlRateHelperQuoteValue($N17,Trigger),"--")</f>
        <v>--</v>
      </c>
      <c r="R17" s="97" t="b">
        <v>0</v>
      </c>
      <c r="S17" s="94">
        <v>20</v>
      </c>
      <c r="T17" s="94">
        <v>1</v>
      </c>
      <c r="U17" s="99" t="str">
        <f>IFERROR(_xll.qlRateHelperEarliestDate(N17,Trigger),"--")</f>
        <v>--</v>
      </c>
      <c r="V17" s="99" t="str">
        <f>IFERROR(_xll.qlRateHelperPillarDate(N17,Trigger),"--")</f>
        <v>--</v>
      </c>
      <c r="X17" s="4" t="str">
        <f t="shared" si="0"/>
        <v>BasSw</v>
      </c>
      <c r="Y17" s="4" t="str">
        <v>obj_005ce</v>
      </c>
      <c r="Z17" s="4" t="str">
        <v>obj_005ea</v>
      </c>
      <c r="AA17" s="4" t="str">
        <f>IFERROR(_xll.qlRateHelperQuoteName(Y17,Trigger),"")</f>
        <v>EUR6E12E4Y_LCHQuote</v>
      </c>
      <c r="AB17" s="70">
        <f>IFERROR(_xll.qlRateHelperRate(Y17,Trigger),"")</f>
        <v>4.45875E-3</v>
      </c>
      <c r="AC17" s="104">
        <f>IF(ISERROR(_xll.qlSwapRateHelperSpread($Y17)),IF(ISERROR(_xll.qlFuturesRateHelperConvexityAdjustment($Y17)),"",_xll.qlFuturesRateHelperConvexityAdjustment($Y17)),_xll.qlSwapRateHelperSpread($Y17))</f>
        <v>0</v>
      </c>
      <c r="AD17" s="5">
        <f>IFERROR(_xll.qlRateHelperEarliestDate(Y17,Trigger),"")</f>
        <v>42250</v>
      </c>
      <c r="AE17" s="5">
        <f>IFERROR(_xll.qlRateHelperPillarDate(Y17,Trigger),"")</f>
        <v>43711</v>
      </c>
      <c r="AF17" s="70">
        <v>4.4408295459240511E-3</v>
      </c>
      <c r="AG17" s="77">
        <v>0.98235083159717429</v>
      </c>
      <c r="AH17" s="170">
        <v>43711</v>
      </c>
      <c r="AI17" s="171">
        <v>4.4408295458301401E-3</v>
      </c>
      <c r="AJ17" s="173">
        <f t="shared" si="4"/>
        <v>9.3910990095480429E-14</v>
      </c>
      <c r="AK17" s="80">
        <v>0.98235467689004796</v>
      </c>
      <c r="AL17" s="162">
        <f t="shared" si="5"/>
        <v>-3.8452928736720793E-6</v>
      </c>
      <c r="AM17" s="162"/>
    </row>
    <row r="18" spans="1:39" ht="11.25" customHeight="1" x14ac:dyDescent="0.2">
      <c r="A18" s="65" t="s">
        <v>9</v>
      </c>
      <c r="B18" s="65" t="s">
        <v>29</v>
      </c>
      <c r="C18" s="65" t="s">
        <v>114</v>
      </c>
      <c r="D18" s="65" t="s">
        <v>5</v>
      </c>
      <c r="E18" s="65" t="s">
        <v>34</v>
      </c>
      <c r="F18" s="65" t="s">
        <v>115</v>
      </c>
      <c r="G18" s="65" t="s">
        <v>4</v>
      </c>
      <c r="H18" s="65" t="s">
        <v>1</v>
      </c>
      <c r="I18" s="65" t="s">
        <v>113</v>
      </c>
      <c r="J18" s="65" t="s">
        <v>150</v>
      </c>
      <c r="K18" s="65" t="s">
        <v>152</v>
      </c>
      <c r="L18" s="48"/>
      <c r="M18" s="10" t="str">
        <f t="shared" si="10"/>
        <v>BasSw</v>
      </c>
      <c r="N18" s="94" t="str">
        <f t="shared" si="11"/>
        <v>--</v>
      </c>
      <c r="O18" s="94" t="str">
        <f t="shared" si="12"/>
        <v>--</v>
      </c>
      <c r="P18" s="146" t="str">
        <f>IFERROR(_xll.qlRateHelperQuoteName(N18,Trigger),"--")</f>
        <v>--</v>
      </c>
      <c r="Q18" s="98" t="str">
        <f>IFERROR(_xll.qlRateHelperQuoteValue($N18,Trigger),"--")</f>
        <v>--</v>
      </c>
      <c r="R18" s="97" t="b">
        <v>0</v>
      </c>
      <c r="S18" s="94">
        <v>20</v>
      </c>
      <c r="T18" s="94">
        <v>1</v>
      </c>
      <c r="U18" s="99" t="str">
        <f>IFERROR(_xll.qlRateHelperEarliestDate(N18,Trigger),"--")</f>
        <v>--</v>
      </c>
      <c r="V18" s="99" t="str">
        <f>IFERROR(_xll.qlRateHelperPillarDate(N18,Trigger),"--")</f>
        <v>--</v>
      </c>
      <c r="X18" s="4" t="str">
        <f t="shared" si="0"/>
        <v>BasSw</v>
      </c>
      <c r="Y18" s="4" t="str">
        <v>obj_005de</v>
      </c>
      <c r="Z18" s="4" t="str">
        <v>obj_005d1</v>
      </c>
      <c r="AA18" s="4" t="str">
        <f>IFERROR(_xll.qlRateHelperQuoteName(Y18,Trigger),"")</f>
        <v>EUR6E12E5Y_LCHQuote</v>
      </c>
      <c r="AB18" s="70">
        <f>IFERROR(_xll.qlRateHelperRate(Y18,Trigger),"")</f>
        <v>5.8960000000000002E-3</v>
      </c>
      <c r="AC18" s="104">
        <f>IF(ISERROR(_xll.qlSwapRateHelperSpread($Y18)),IF(ISERROR(_xll.qlFuturesRateHelperConvexityAdjustment($Y18)),"",_xll.qlFuturesRateHelperConvexityAdjustment($Y18)),_xll.qlSwapRateHelperSpread($Y18))</f>
        <v>0</v>
      </c>
      <c r="AD18" s="5">
        <f>IFERROR(_xll.qlRateHelperEarliestDate(Y18,Trigger),"")</f>
        <v>42250</v>
      </c>
      <c r="AE18" s="5">
        <f>IFERROR(_xll.qlRateHelperPillarDate(Y18,Trigger),"")</f>
        <v>44077</v>
      </c>
      <c r="AF18" s="70">
        <v>5.8752533924281434E-3</v>
      </c>
      <c r="AG18" s="77">
        <v>0.97098174870307408</v>
      </c>
      <c r="AH18" s="170">
        <v>44077</v>
      </c>
      <c r="AI18" s="171">
        <v>5.8752533923264903E-3</v>
      </c>
      <c r="AJ18" s="173">
        <f t="shared" si="4"/>
        <v>1.0165306096876492E-13</v>
      </c>
      <c r="AK18" s="80">
        <v>0.97098554949309301</v>
      </c>
      <c r="AL18" s="162">
        <f t="shared" si="5"/>
        <v>-3.8007900189374055E-6</v>
      </c>
      <c r="AM18" s="162"/>
    </row>
    <row r="19" spans="1:39" ht="11.25" customHeight="1" x14ac:dyDescent="0.2">
      <c r="A19" s="53" t="s">
        <v>118</v>
      </c>
      <c r="B19" s="54" t="s">
        <v>28</v>
      </c>
      <c r="C19" s="55" t="s">
        <v>6</v>
      </c>
      <c r="D19" s="55" t="s">
        <v>8</v>
      </c>
      <c r="E19" s="55" t="s">
        <v>7</v>
      </c>
      <c r="F19" s="55" t="s">
        <v>125</v>
      </c>
      <c r="G19" s="55" t="str">
        <f t="shared" ref="G19:G55" si="13">PROPER(Currency)&amp;FamilyName&amp;Tenor</f>
        <v>Euribor1Y</v>
      </c>
      <c r="H19" s="53" t="str">
        <f t="shared" ref="H19:H55" si="14">IF(LCHQuoteOverwrite,Currency&amp;"6E12E"&amp;$B19&amp;LCHQuoteSuffix,Currency&amp;$G$17&amp;$H$17&amp;"BASIS"&amp;$B19&amp;QuoteSuffix)</f>
        <v>EUR6E12E1Y_LCHQuote</v>
      </c>
      <c r="I19" s="126">
        <v>0</v>
      </c>
      <c r="J19" s="64"/>
      <c r="K19" s="64"/>
      <c r="L19" s="48"/>
      <c r="M19" s="10" t="str">
        <f t="shared" si="10"/>
        <v>BasSw</v>
      </c>
      <c r="N19" s="94" t="str">
        <f t="shared" si="11"/>
        <v>obj_005c9#0005</v>
      </c>
      <c r="O19" s="94" t="str">
        <f t="shared" si="12"/>
        <v>obj_005d3#0005</v>
      </c>
      <c r="P19" s="146" t="str">
        <f>IFERROR(_xll.qlRateHelperQuoteName(N19,Trigger),"--")</f>
        <v>EUR6E12E2Y_LCHQuote</v>
      </c>
      <c r="Q19" s="98">
        <f>IFERROR(_xll.qlRateHelperQuoteValue($N19,Trigger),"--")</f>
        <v>2.1852500000000001E-3</v>
      </c>
      <c r="R19" s="97" t="b">
        <v>1</v>
      </c>
      <c r="S19" s="94">
        <v>20</v>
      </c>
      <c r="T19" s="94">
        <v>1</v>
      </c>
      <c r="U19" s="99">
        <f>IFERROR(_xll.qlRateHelperEarliestDate(N19,Trigger),"--")</f>
        <v>42250</v>
      </c>
      <c r="V19" s="99">
        <f>IFERROR(_xll.qlRateHelperPillarDate(N19,Trigger),"--")</f>
        <v>42982</v>
      </c>
      <c r="X19" s="4" t="str">
        <f t="shared" si="0"/>
        <v>BasSw</v>
      </c>
      <c r="Y19" s="4" t="str">
        <v>obj_005e0</v>
      </c>
      <c r="Z19" s="4" t="str">
        <v>obj_005cd</v>
      </c>
      <c r="AA19" s="4" t="str">
        <f>IFERROR(_xll.qlRateHelperQuoteName(Y19,Trigger),"")</f>
        <v>EUR6E12E6Y_LCHQuote</v>
      </c>
      <c r="AB19" s="70">
        <f>IFERROR(_xll.qlRateHelperRate(Y19,Trigger),"")</f>
        <v>7.3572500000000001E-3</v>
      </c>
      <c r="AC19" s="104">
        <f>IF(ISERROR(_xll.qlSwapRateHelperSpread($Y19)),IF(ISERROR(_xll.qlFuturesRateHelperConvexityAdjustment($Y19)),"",_xll.qlFuturesRateHelperConvexityAdjustment($Y19)),_xll.qlSwapRateHelperSpread($Y19))</f>
        <v>0</v>
      </c>
      <c r="AD19" s="5">
        <f>IFERROR(_xll.qlRateHelperEarliestDate(Y19,Trigger),"")</f>
        <v>42250</v>
      </c>
      <c r="AE19" s="5">
        <f>IFERROR(_xll.qlRateHelperPillarDate(Y19,Trigger),"")</f>
        <v>44442</v>
      </c>
      <c r="AF19" s="70">
        <v>7.343678305025486E-3</v>
      </c>
      <c r="AG19" s="77">
        <v>0.95681090120052081</v>
      </c>
      <c r="AH19" s="170">
        <v>44442</v>
      </c>
      <c r="AI19" s="171">
        <v>7.3436783049143804E-3</v>
      </c>
      <c r="AJ19" s="173">
        <f t="shared" si="4"/>
        <v>1.1110556918936254E-13</v>
      </c>
      <c r="AK19" s="80">
        <v>0.95681464652052595</v>
      </c>
      <c r="AL19" s="162">
        <f t="shared" si="5"/>
        <v>-3.7453200051329461E-6</v>
      </c>
      <c r="AM19" s="162"/>
    </row>
    <row r="20" spans="1:39" ht="11.25" customHeight="1" x14ac:dyDescent="0.2">
      <c r="A20" s="59" t="s">
        <v>118</v>
      </c>
      <c r="B20" s="60" t="s">
        <v>49</v>
      </c>
      <c r="C20" s="61" t="s">
        <v>6</v>
      </c>
      <c r="D20" s="61" t="s">
        <v>8</v>
      </c>
      <c r="E20" s="61" t="s">
        <v>7</v>
      </c>
      <c r="F20" s="61" t="s">
        <v>125</v>
      </c>
      <c r="G20" s="61" t="str">
        <f t="shared" si="13"/>
        <v>Euribor1Y</v>
      </c>
      <c r="H20" s="59" t="str">
        <f t="shared" si="14"/>
        <v>EUR6E12E15M_LCHQuote</v>
      </c>
      <c r="I20" s="127">
        <v>0</v>
      </c>
      <c r="J20" s="64"/>
      <c r="K20" s="64"/>
      <c r="L20" s="48"/>
      <c r="M20" s="10" t="str">
        <f t="shared" si="10"/>
        <v>BasSw</v>
      </c>
      <c r="N20" s="94" t="str">
        <f t="shared" si="11"/>
        <v>obj_005e6#0005</v>
      </c>
      <c r="O20" s="94" t="str">
        <f t="shared" si="12"/>
        <v>obj_005e1#0005</v>
      </c>
      <c r="P20" s="146" t="str">
        <f>IFERROR(_xll.qlRateHelperQuoteName(N20,Trigger),"--")</f>
        <v>EUR6E12E3Y_LCHQuote</v>
      </c>
      <c r="Q20" s="98">
        <f>IFERROR(_xll.qlRateHelperQuoteValue($N20,Trigger),"--")</f>
        <v>3.1276667000000001E-3</v>
      </c>
      <c r="R20" s="97" t="b">
        <v>1</v>
      </c>
      <c r="S20" s="94">
        <v>20</v>
      </c>
      <c r="T20" s="94">
        <v>1</v>
      </c>
      <c r="U20" s="99">
        <f>IFERROR(_xll.qlRateHelperEarliestDate(N20,Trigger),"--")</f>
        <v>42250</v>
      </c>
      <c r="V20" s="99">
        <f>IFERROR(_xll.qlRateHelperPillarDate(N20,Trigger),"--")</f>
        <v>43346</v>
      </c>
      <c r="X20" s="4" t="str">
        <f t="shared" si="0"/>
        <v>BasSw</v>
      </c>
      <c r="Y20" s="4" t="str">
        <v>obj_005cf</v>
      </c>
      <c r="Z20" s="4" t="str">
        <v>obj_005e5</v>
      </c>
      <c r="AA20" s="4" t="str">
        <f>IFERROR(_xll.qlRateHelperQuoteName(Y20,Trigger),"")</f>
        <v>EUR6E12E7Y_LCHQuote</v>
      </c>
      <c r="AB20" s="70">
        <f>IFERROR(_xll.qlRateHelperRate(Y20,Trigger),"")</f>
        <v>8.8214999999999995E-3</v>
      </c>
      <c r="AC20" s="104">
        <f>IF(ISERROR(_xll.qlSwapRateHelperSpread($Y20)),IF(ISERROR(_xll.qlFuturesRateHelperConvexityAdjustment($Y20)),"",_xll.qlFuturesRateHelperConvexityAdjustment($Y20)),_xll.qlSwapRateHelperSpread($Y20))</f>
        <v>0</v>
      </c>
      <c r="AD20" s="5">
        <f>IFERROR(_xll.qlRateHelperEarliestDate(Y20,Trigger),"")</f>
        <v>42250</v>
      </c>
      <c r="AE20" s="5">
        <f>IFERROR(_xll.qlRateHelperPillarDate(Y20,Trigger),"")</f>
        <v>44809</v>
      </c>
      <c r="AF20" s="70">
        <v>8.8243656536880367E-3</v>
      </c>
      <c r="AG20" s="77">
        <v>0.93995566323645274</v>
      </c>
      <c r="AH20" s="170">
        <v>44809</v>
      </c>
      <c r="AI20" s="171">
        <v>8.8243656535688109E-3</v>
      </c>
      <c r="AJ20" s="173">
        <f t="shared" si="4"/>
        <v>1.1922580978040997E-13</v>
      </c>
      <c r="AK20" s="80">
        <v>0.93995934257872105</v>
      </c>
      <c r="AL20" s="162">
        <f t="shared" si="5"/>
        <v>-3.6793422683034649E-6</v>
      </c>
      <c r="AM20" s="162"/>
    </row>
    <row r="21" spans="1:39" ht="11.25" customHeight="1" x14ac:dyDescent="0.2">
      <c r="A21" s="59" t="s">
        <v>118</v>
      </c>
      <c r="B21" s="60" t="s">
        <v>50</v>
      </c>
      <c r="C21" s="61" t="s">
        <v>6</v>
      </c>
      <c r="D21" s="61" t="s">
        <v>8</v>
      </c>
      <c r="E21" s="61" t="s">
        <v>7</v>
      </c>
      <c r="F21" s="61" t="s">
        <v>125</v>
      </c>
      <c r="G21" s="61" t="str">
        <f t="shared" si="13"/>
        <v>Euribor1Y</v>
      </c>
      <c r="H21" s="59" t="str">
        <f t="shared" si="14"/>
        <v>EUR6E12E18M_LCHQuote</v>
      </c>
      <c r="I21" s="127">
        <v>0</v>
      </c>
      <c r="J21" s="64"/>
      <c r="K21" s="64"/>
      <c r="L21" s="48"/>
      <c r="M21" s="10" t="str">
        <f t="shared" si="10"/>
        <v>BasSw</v>
      </c>
      <c r="N21" s="94" t="str">
        <f t="shared" si="11"/>
        <v>obj_005ce#0005</v>
      </c>
      <c r="O21" s="94" t="str">
        <f t="shared" si="12"/>
        <v>obj_005ea#0005</v>
      </c>
      <c r="P21" s="146" t="str">
        <f>IFERROR(_xll.qlRateHelperQuoteName(N21,Trigger),"--")</f>
        <v>EUR6E12E4Y_LCHQuote</v>
      </c>
      <c r="Q21" s="98">
        <f>IFERROR(_xll.qlRateHelperQuoteValue($N21,Trigger),"--")</f>
        <v>4.45875E-3</v>
      </c>
      <c r="R21" s="97" t="b">
        <v>1</v>
      </c>
      <c r="S21" s="94">
        <v>20</v>
      </c>
      <c r="T21" s="94">
        <v>1</v>
      </c>
      <c r="U21" s="99">
        <f>IFERROR(_xll.qlRateHelperEarliestDate(N21,Trigger),"--")</f>
        <v>42250</v>
      </c>
      <c r="V21" s="99">
        <f>IFERROR(_xll.qlRateHelperPillarDate(N21,Trigger),"--")</f>
        <v>43711</v>
      </c>
      <c r="X21" s="4" t="str">
        <f t="shared" si="0"/>
        <v>BasSw</v>
      </c>
      <c r="Y21" s="4" t="str">
        <v>obj_005dc</v>
      </c>
      <c r="Z21" s="4" t="str">
        <v>obj_005e2</v>
      </c>
      <c r="AA21" s="4" t="str">
        <f>IFERROR(_xll.qlRateHelperQuoteName(Y21,Trigger),"")</f>
        <v>EUR6E12E8Y_LCHQuote</v>
      </c>
      <c r="AB21" s="70">
        <f>IFERROR(_xll.qlRateHelperRate(Y21,Trigger),"")</f>
        <v>1.016675E-2</v>
      </c>
      <c r="AC21" s="104">
        <f>IF(ISERROR(_xll.qlSwapRateHelperSpread($Y21)),IF(ISERROR(_xll.qlFuturesRateHelperConvexityAdjustment($Y21)),"",_xll.qlFuturesRateHelperConvexityAdjustment($Y21)),_xll.qlSwapRateHelperSpread($Y21))</f>
        <v>0</v>
      </c>
      <c r="AD21" s="5">
        <f>IFERROR(_xll.qlRateHelperEarliestDate(Y21,Trigger),"")</f>
        <v>42250</v>
      </c>
      <c r="AE21" s="5">
        <f>IFERROR(_xll.qlRateHelperPillarDate(Y21,Trigger),"")</f>
        <v>45173</v>
      </c>
      <c r="AF21" s="70">
        <v>1.0194688191858692E-2</v>
      </c>
      <c r="AG21" s="77">
        <v>0.92154590003046877</v>
      </c>
      <c r="AH21" s="170">
        <v>45173</v>
      </c>
      <c r="AI21" s="171">
        <v>1.01946881916751E-2</v>
      </c>
      <c r="AJ21" s="173">
        <f t="shared" si="4"/>
        <v>1.835927243565294E-13</v>
      </c>
      <c r="AK21" s="80">
        <v>0.92154950800435598</v>
      </c>
      <c r="AL21" s="162">
        <f t="shared" si="5"/>
        <v>-3.6079738872096812E-6</v>
      </c>
      <c r="AM21" s="162"/>
    </row>
    <row r="22" spans="1:39" ht="11.25" customHeight="1" x14ac:dyDescent="0.2">
      <c r="A22" s="59" t="s">
        <v>118</v>
      </c>
      <c r="B22" s="60" t="s">
        <v>51</v>
      </c>
      <c r="C22" s="61" t="s">
        <v>6</v>
      </c>
      <c r="D22" s="61" t="s">
        <v>8</v>
      </c>
      <c r="E22" s="61" t="s">
        <v>7</v>
      </c>
      <c r="F22" s="61" t="s">
        <v>125</v>
      </c>
      <c r="G22" s="61" t="str">
        <f t="shared" si="13"/>
        <v>Euribor1Y</v>
      </c>
      <c r="H22" s="59" t="str">
        <f t="shared" si="14"/>
        <v>EUR6E12E21M_LCHQuote</v>
      </c>
      <c r="I22" s="127">
        <v>0</v>
      </c>
      <c r="J22" s="64"/>
      <c r="K22" s="64"/>
      <c r="L22" s="48"/>
      <c r="M22" s="10" t="str">
        <f t="shared" si="10"/>
        <v>BasSw</v>
      </c>
      <c r="N22" s="94" t="str">
        <f t="shared" si="11"/>
        <v>obj_005de#0005</v>
      </c>
      <c r="O22" s="94" t="str">
        <f t="shared" si="12"/>
        <v>obj_005d1#0005</v>
      </c>
      <c r="P22" s="146" t="str">
        <f>IFERROR(_xll.qlRateHelperQuoteName(N22,Trigger),"--")</f>
        <v>EUR6E12E5Y_LCHQuote</v>
      </c>
      <c r="Q22" s="98">
        <f>IFERROR(_xll.qlRateHelperQuoteValue($N22,Trigger),"--")</f>
        <v>5.8960000000000002E-3</v>
      </c>
      <c r="R22" s="97" t="b">
        <v>1</v>
      </c>
      <c r="S22" s="94">
        <v>20</v>
      </c>
      <c r="T22" s="94">
        <v>1</v>
      </c>
      <c r="U22" s="99">
        <f>IFERROR(_xll.qlRateHelperEarliestDate(N22,Trigger),"--")</f>
        <v>42250</v>
      </c>
      <c r="V22" s="99">
        <f>IFERROR(_xll.qlRateHelperPillarDate(N22,Trigger),"--")</f>
        <v>44077</v>
      </c>
      <c r="X22" s="4" t="str">
        <f t="shared" si="0"/>
        <v>BasSw</v>
      </c>
      <c r="Y22" s="4" t="str">
        <v>obj_005d9</v>
      </c>
      <c r="Z22" s="4" t="str">
        <v>obj_005e9</v>
      </c>
      <c r="AA22" s="4" t="str">
        <f>IFERROR(_xll.qlRateHelperQuoteName(Y22,Trigger),"")</f>
        <v>EUR6E12E9Y_LCHQuote</v>
      </c>
      <c r="AB22" s="70">
        <f>IFERROR(_xll.qlRateHelperRate(Y22,Trigger),"")</f>
        <v>1.1388499999999999E-2</v>
      </c>
      <c r="AC22" s="104">
        <f>IF(ISERROR(_xll.qlSwapRateHelperSpread($Y22)),IF(ISERROR(_xll.qlFuturesRateHelperConvexityAdjustment($Y22)),"",_xll.qlFuturesRateHelperConvexityAdjustment($Y22)),_xll.qlSwapRateHelperSpread($Y22))</f>
        <v>0</v>
      </c>
      <c r="AD22" s="5">
        <f>IFERROR(_xll.qlRateHelperEarliestDate(Y22,Trigger),"")</f>
        <v>42250</v>
      </c>
      <c r="AE22" s="5">
        <f>IFERROR(_xll.qlRateHelperPillarDate(Y22,Trigger),"")</f>
        <v>45538</v>
      </c>
      <c r="AF22" s="70">
        <v>1.1446027794527414E-2</v>
      </c>
      <c r="AG22" s="77">
        <v>0.90196947500074298</v>
      </c>
      <c r="AH22" s="170">
        <v>45538</v>
      </c>
      <c r="AI22" s="171">
        <v>1.1446027794523399E-2</v>
      </c>
      <c r="AJ22" s="173">
        <f t="shared" si="4"/>
        <v>4.0141501234103316E-15</v>
      </c>
      <c r="AK22" s="80">
        <v>0.90197300614401399</v>
      </c>
      <c r="AL22" s="162">
        <f t="shared" si="5"/>
        <v>-3.531143271007231E-6</v>
      </c>
      <c r="AM22" s="162"/>
    </row>
    <row r="23" spans="1:39" ht="11.25" customHeight="1" x14ac:dyDescent="0.2">
      <c r="A23" s="59" t="s">
        <v>118</v>
      </c>
      <c r="B23" s="60" t="s">
        <v>52</v>
      </c>
      <c r="C23" s="61" t="s">
        <v>6</v>
      </c>
      <c r="D23" s="61" t="s">
        <v>8</v>
      </c>
      <c r="E23" s="61" t="s">
        <v>7</v>
      </c>
      <c r="F23" s="61" t="s">
        <v>125</v>
      </c>
      <c r="G23" s="61" t="str">
        <f t="shared" si="13"/>
        <v>Euribor1Y</v>
      </c>
      <c r="H23" s="59" t="str">
        <f t="shared" si="14"/>
        <v>EUR6E12E2Y_LCHQuote</v>
      </c>
      <c r="I23" s="127">
        <v>0</v>
      </c>
      <c r="J23" s="64" t="str">
        <f>_xll.qlSwapRateHelper2(,$H23,2,$B23,Calendar,$D23,$E23,$F23,$G23,$I23,$C23,Discounting1,PillarDate,,Permanent,Trigger,ObjectOverwrite)</f>
        <v>obj_005c9#0005</v>
      </c>
      <c r="K23" s="64" t="str">
        <f>_xll.qlSwapRateHelper2(,$H23,2,$B23,Calendar,$D23,$E23,$F23,$G23,$I23,$C23,Discounting2,PillarDate,,Permanent,Trigger,ObjectOverwrite)</f>
        <v>obj_005d3#0005</v>
      </c>
      <c r="L23" s="48"/>
      <c r="M23" s="10" t="str">
        <f t="shared" si="10"/>
        <v>BasSw</v>
      </c>
      <c r="N23" s="94" t="str">
        <f t="shared" si="11"/>
        <v>obj_005e0#0005</v>
      </c>
      <c r="O23" s="94" t="str">
        <f t="shared" si="12"/>
        <v>obj_005cd#0005</v>
      </c>
      <c r="P23" s="146" t="str">
        <f>IFERROR(_xll.qlRateHelperQuoteName(N23,Trigger),"--")</f>
        <v>EUR6E12E6Y_LCHQuote</v>
      </c>
      <c r="Q23" s="98">
        <f>IFERROR(_xll.qlRateHelperQuoteValue($N23,Trigger),"--")</f>
        <v>7.3572500000000001E-3</v>
      </c>
      <c r="R23" s="97" t="b">
        <v>1</v>
      </c>
      <c r="S23" s="94">
        <v>20</v>
      </c>
      <c r="T23" s="94">
        <v>1</v>
      </c>
      <c r="U23" s="99">
        <f>IFERROR(_xll.qlRateHelperEarliestDate(N23,Trigger),"--")</f>
        <v>42250</v>
      </c>
      <c r="V23" s="99">
        <f>IFERROR(_xll.qlRateHelperPillarDate(N23,Trigger),"--")</f>
        <v>44442</v>
      </c>
      <c r="X23" s="4" t="str">
        <f t="shared" si="0"/>
        <v>BasSw</v>
      </c>
      <c r="Y23" s="4" t="str">
        <v>obj_005df</v>
      </c>
      <c r="Z23" s="4" t="str">
        <v>obj_005d6</v>
      </c>
      <c r="AA23" s="4" t="str">
        <f>IFERROR(_xll.qlRateHelperQuoteName(Y23,Trigger),"")</f>
        <v>EUR6E12E10Y_LCHQuote</v>
      </c>
      <c r="AB23" s="70">
        <f>IFERROR(_xll.qlRateHelperRate(Y23,Trigger),"")</f>
        <v>1.24491667E-2</v>
      </c>
      <c r="AC23" s="104">
        <f>IF(ISERROR(_xll.qlSwapRateHelperSpread($Y23)),IF(ISERROR(_xll.qlFuturesRateHelperConvexityAdjustment($Y23)),"",_xll.qlFuturesRateHelperConvexityAdjustment($Y23)),_xll.qlSwapRateHelperSpread($Y23))</f>
        <v>0</v>
      </c>
      <c r="AD23" s="5">
        <f>IFERROR(_xll.qlRateHelperEarliestDate(Y23,Trigger),"")</f>
        <v>42250</v>
      </c>
      <c r="AE23" s="5">
        <f>IFERROR(_xll.qlRateHelperPillarDate(Y23,Trigger),"")</f>
        <v>45903</v>
      </c>
      <c r="AF23" s="70">
        <v>1.254406843766598E-2</v>
      </c>
      <c r="AG23" s="77">
        <v>0.88195338413659952</v>
      </c>
      <c r="AH23" s="170">
        <v>45903</v>
      </c>
      <c r="AI23" s="171">
        <v>1.25440684055933E-2</v>
      </c>
      <c r="AJ23" s="173">
        <f t="shared" si="4"/>
        <v>3.2072679581607311E-11</v>
      </c>
      <c r="AK23" s="80">
        <v>0.88195683719420104</v>
      </c>
      <c r="AL23" s="162">
        <f t="shared" si="5"/>
        <v>-3.4530576015212588E-6</v>
      </c>
      <c r="AM23" s="162"/>
    </row>
    <row r="24" spans="1:39" ht="11.25" customHeight="1" x14ac:dyDescent="0.2">
      <c r="A24" s="59" t="s">
        <v>118</v>
      </c>
      <c r="B24" s="60" t="s">
        <v>53</v>
      </c>
      <c r="C24" s="61" t="s">
        <v>6</v>
      </c>
      <c r="D24" s="61" t="s">
        <v>8</v>
      </c>
      <c r="E24" s="61" t="s">
        <v>7</v>
      </c>
      <c r="F24" s="61" t="s">
        <v>125</v>
      </c>
      <c r="G24" s="61" t="str">
        <f t="shared" si="13"/>
        <v>Euribor1Y</v>
      </c>
      <c r="H24" s="59" t="str">
        <f t="shared" si="14"/>
        <v>EUR6E12E3Y_LCHQuote</v>
      </c>
      <c r="I24" s="127">
        <v>0</v>
      </c>
      <c r="J24" s="64" t="str">
        <f>_xll.qlSwapRateHelper2(,$H24,2,$B24,Calendar,$D24,$E24,$F24,$G24,$I24,$C24,Discounting1,PillarDate,,Permanent,Trigger,ObjectOverwrite)</f>
        <v>obj_005e6#0005</v>
      </c>
      <c r="K24" s="64" t="str">
        <f>_xll.qlSwapRateHelper2(,$H24,2,$B24,Calendar,$D24,$E24,$F24,$G24,$I24,$C24,Discounting2,PillarDate,,Permanent,Trigger,ObjectOverwrite)</f>
        <v>obj_005e1#0005</v>
      </c>
      <c r="L24" s="48"/>
      <c r="M24" s="10" t="str">
        <f t="shared" si="10"/>
        <v>BasSw</v>
      </c>
      <c r="N24" s="94" t="str">
        <f t="shared" si="11"/>
        <v>obj_005cf#0005</v>
      </c>
      <c r="O24" s="94" t="str">
        <f t="shared" si="12"/>
        <v>obj_005e5#0005</v>
      </c>
      <c r="P24" s="146" t="str">
        <f>IFERROR(_xll.qlRateHelperQuoteName(N24,Trigger),"--")</f>
        <v>EUR6E12E7Y_LCHQuote</v>
      </c>
      <c r="Q24" s="98">
        <f>IFERROR(_xll.qlRateHelperQuoteValue($N24,Trigger),"--")</f>
        <v>8.8214999999999995E-3</v>
      </c>
      <c r="R24" s="97" t="b">
        <v>1</v>
      </c>
      <c r="S24" s="94">
        <v>20</v>
      </c>
      <c r="T24" s="94">
        <v>1</v>
      </c>
      <c r="U24" s="99">
        <f>IFERROR(_xll.qlRateHelperEarliestDate(N24,Trigger),"--")</f>
        <v>42250</v>
      </c>
      <c r="V24" s="99">
        <f>IFERROR(_xll.qlRateHelperPillarDate(N24,Trigger),"--")</f>
        <v>44809</v>
      </c>
      <c r="X24" s="4" t="str">
        <f t="shared" si="0"/>
        <v>BasSw</v>
      </c>
      <c r="Y24" s="4" t="str">
        <v>obj_005d5</v>
      </c>
      <c r="Z24" s="4" t="str">
        <v>obj_005ca</v>
      </c>
      <c r="AA24" s="4" t="str">
        <f>IFERROR(_xll.qlRateHelperQuoteName(Y24,Trigger),"")</f>
        <v>EUR6E12E12Y_LCHQuote</v>
      </c>
      <c r="AB24" s="70">
        <f>IFERROR(_xll.qlRateHelperRate(Y24,Trigger),"")</f>
        <v>1.4113499999999999E-2</v>
      </c>
      <c r="AC24" s="104">
        <f>IF(ISERROR(_xll.qlSwapRateHelperSpread($Y24)),IF(ISERROR(_xll.qlFuturesRateHelperConvexityAdjustment($Y24)),"",_xll.qlFuturesRateHelperConvexityAdjustment($Y24)),_xll.qlSwapRateHelperSpread($Y24))</f>
        <v>0</v>
      </c>
      <c r="AD24" s="5">
        <f>IFERROR(_xll.qlRateHelperEarliestDate(Y24,Trigger),"")</f>
        <v>42250</v>
      </c>
      <c r="AE24" s="5">
        <f>IFERROR(_xll.qlRateHelperPillarDate(Y24,Trigger),"")</f>
        <v>46633</v>
      </c>
      <c r="AF24" s="70">
        <v>1.4285913083378158E-2</v>
      </c>
      <c r="AG24" s="77">
        <v>0.84229893112116094</v>
      </c>
      <c r="AH24" s="170">
        <v>46633</v>
      </c>
      <c r="AI24" s="171">
        <v>1.42859130837552E-2</v>
      </c>
      <c r="AJ24" s="173">
        <f t="shared" si="4"/>
        <v>-3.7704214750355902E-13</v>
      </c>
      <c r="AK24" s="80">
        <v>0.84230222880581096</v>
      </c>
      <c r="AL24" s="162">
        <f t="shared" si="5"/>
        <v>-3.2976846500165635E-6</v>
      </c>
      <c r="AM24" s="162"/>
    </row>
    <row r="25" spans="1:39" ht="11.25" customHeight="1" x14ac:dyDescent="0.2">
      <c r="A25" s="59" t="s">
        <v>118</v>
      </c>
      <c r="B25" s="60" t="s">
        <v>54</v>
      </c>
      <c r="C25" s="61" t="s">
        <v>6</v>
      </c>
      <c r="D25" s="61" t="s">
        <v>8</v>
      </c>
      <c r="E25" s="61" t="s">
        <v>7</v>
      </c>
      <c r="F25" s="61" t="s">
        <v>125</v>
      </c>
      <c r="G25" s="61" t="str">
        <f t="shared" si="13"/>
        <v>Euribor1Y</v>
      </c>
      <c r="H25" s="59" t="str">
        <f t="shared" si="14"/>
        <v>EUR6E12E4Y_LCHQuote</v>
      </c>
      <c r="I25" s="127">
        <v>0</v>
      </c>
      <c r="J25" s="64" t="str">
        <f>_xll.qlSwapRateHelper2(,$H25,2,$B25,Calendar,$D25,$E25,$F25,$G25,$I25,$C25,Discounting1,PillarDate,,Permanent,Trigger,ObjectOverwrite)</f>
        <v>obj_005ce#0005</v>
      </c>
      <c r="K25" s="64" t="str">
        <f>_xll.qlSwapRateHelper2(,$H25,2,$B25,Calendar,$D25,$E25,$F25,$G25,$I25,$C25,Discounting2,PillarDate,,Permanent,Trigger,ObjectOverwrite)</f>
        <v>obj_005ea#0005</v>
      </c>
      <c r="L25" s="48"/>
      <c r="M25" s="10" t="str">
        <f t="shared" si="10"/>
        <v>BasSw</v>
      </c>
      <c r="N25" s="94" t="str">
        <f t="shared" si="11"/>
        <v>obj_005dc#0005</v>
      </c>
      <c r="O25" s="94" t="str">
        <f t="shared" si="12"/>
        <v>obj_005e2#0005</v>
      </c>
      <c r="P25" s="146" t="str">
        <f>IFERROR(_xll.qlRateHelperQuoteName(N25,Trigger),"--")</f>
        <v>EUR6E12E8Y_LCHQuote</v>
      </c>
      <c r="Q25" s="98">
        <f>IFERROR(_xll.qlRateHelperQuoteValue($N25,Trigger),"--")</f>
        <v>1.016675E-2</v>
      </c>
      <c r="R25" s="97" t="b">
        <v>1</v>
      </c>
      <c r="S25" s="94">
        <v>20</v>
      </c>
      <c r="T25" s="94">
        <v>1</v>
      </c>
      <c r="U25" s="99">
        <f>IFERROR(_xll.qlRateHelperEarliestDate(N25,Trigger),"--")</f>
        <v>42250</v>
      </c>
      <c r="V25" s="99">
        <f>IFERROR(_xll.qlRateHelperPillarDate(N25,Trigger),"--")</f>
        <v>45173</v>
      </c>
      <c r="X25" s="4" t="str">
        <f t="shared" si="0"/>
        <v>BasSw</v>
      </c>
      <c r="Y25" s="4" t="str">
        <v>obj_005dd</v>
      </c>
      <c r="Z25" s="4" t="str">
        <v>obj_005e8</v>
      </c>
      <c r="AA25" s="4" t="str">
        <f>IFERROR(_xll.qlRateHelperQuoteName(Y25,Trigger),"")</f>
        <v>EUR6E12E15Y_LCHQuote</v>
      </c>
      <c r="AB25" s="70">
        <f>IFERROR(_xll.qlRateHelperRate(Y25,Trigger),"")</f>
        <v>1.57551667E-2</v>
      </c>
      <c r="AC25" s="104">
        <f>IF(ISERROR(_xll.qlSwapRateHelperSpread($Y25)),IF(ISERROR(_xll.qlFuturesRateHelperConvexityAdjustment($Y25)),"",_xll.qlFuturesRateHelperConvexityAdjustment($Y25)),_xll.qlSwapRateHelperSpread($Y25))</f>
        <v>0</v>
      </c>
      <c r="AD25" s="5">
        <f>IFERROR(_xll.qlRateHelperEarliestDate(Y25,Trigger),"")</f>
        <v>42250</v>
      </c>
      <c r="AE25" s="5">
        <f>IFERROR(_xll.qlRateHelperPillarDate(Y25,Trigger),"")</f>
        <v>47729</v>
      </c>
      <c r="AF25" s="70">
        <v>1.6025970350283889E-2</v>
      </c>
      <c r="AG25" s="77">
        <v>0.78614920950223666</v>
      </c>
      <c r="AH25" s="170">
        <v>47729</v>
      </c>
      <c r="AI25" s="171">
        <v>1.6025970312494101E-2</v>
      </c>
      <c r="AJ25" s="173">
        <f t="shared" si="4"/>
        <v>3.7789788659425838E-11</v>
      </c>
      <c r="AK25" s="80">
        <v>0.78615228767904499</v>
      </c>
      <c r="AL25" s="162">
        <f t="shared" si="5"/>
        <v>-3.0781768083354422E-6</v>
      </c>
      <c r="AM25" s="162"/>
    </row>
    <row r="26" spans="1:39" ht="11.25" customHeight="1" x14ac:dyDescent="0.2">
      <c r="A26" s="59" t="s">
        <v>118</v>
      </c>
      <c r="B26" s="60" t="s">
        <v>55</v>
      </c>
      <c r="C26" s="61" t="s">
        <v>6</v>
      </c>
      <c r="D26" s="61" t="s">
        <v>8</v>
      </c>
      <c r="E26" s="61" t="s">
        <v>7</v>
      </c>
      <c r="F26" s="61" t="s">
        <v>125</v>
      </c>
      <c r="G26" s="61" t="str">
        <f t="shared" si="13"/>
        <v>Euribor1Y</v>
      </c>
      <c r="H26" s="59" t="str">
        <f t="shared" si="14"/>
        <v>EUR6E12E5Y_LCHQuote</v>
      </c>
      <c r="I26" s="127">
        <v>0</v>
      </c>
      <c r="J26" s="64" t="str">
        <f>_xll.qlSwapRateHelper2(,$H26,2,$B26,Calendar,$D26,$E26,$F26,$G26,$I26,$C26,Discounting1,PillarDate,,Permanent,Trigger,ObjectOverwrite)</f>
        <v>obj_005de#0005</v>
      </c>
      <c r="K26" s="64" t="str">
        <f>_xll.qlSwapRateHelper2(,$H26,2,$B26,Calendar,$D26,$E26,$F26,$G26,$I26,$C26,Discounting2,PillarDate,,Permanent,Trigger,ObjectOverwrite)</f>
        <v>obj_005d1#0005</v>
      </c>
      <c r="L26" s="48"/>
      <c r="M26" s="10" t="str">
        <f t="shared" si="10"/>
        <v>BasSw</v>
      </c>
      <c r="N26" s="94" t="str">
        <f t="shared" si="11"/>
        <v>obj_005d9#0005</v>
      </c>
      <c r="O26" s="94" t="str">
        <f t="shared" si="12"/>
        <v>obj_005e9#0005</v>
      </c>
      <c r="P26" s="146" t="str">
        <f>IFERROR(_xll.qlRateHelperQuoteName(N26,Trigger),"--")</f>
        <v>EUR6E12E9Y_LCHQuote</v>
      </c>
      <c r="Q26" s="98">
        <f>IFERROR(_xll.qlRateHelperQuoteValue($N26,Trigger),"--")</f>
        <v>1.1388499999999999E-2</v>
      </c>
      <c r="R26" s="97" t="b">
        <v>1</v>
      </c>
      <c r="S26" s="94">
        <v>20</v>
      </c>
      <c r="T26" s="94">
        <v>1</v>
      </c>
      <c r="U26" s="99">
        <f>IFERROR(_xll.qlRateHelperEarliestDate(N26,Trigger),"--")</f>
        <v>42250</v>
      </c>
      <c r="V26" s="99">
        <f>IFERROR(_xll.qlRateHelperPillarDate(N26,Trigger),"--")</f>
        <v>45538</v>
      </c>
      <c r="X26" s="4" t="str">
        <f t="shared" si="0"/>
        <v>BasSw</v>
      </c>
      <c r="Y26" s="4" t="str">
        <v>obj_005d8</v>
      </c>
      <c r="Z26" s="4" t="str">
        <v>obj_005da</v>
      </c>
      <c r="AA26" s="4" t="str">
        <f>IFERROR(_xll.qlRateHelperQuoteName(Y26,Trigger),"")</f>
        <v>EUR6E12E20Y_LCHQuote</v>
      </c>
      <c r="AB26" s="70">
        <f>IFERROR(_xll.qlRateHelperRate(Y26,Trigger),"")</f>
        <v>1.7017500000000001E-2</v>
      </c>
      <c r="AC26" s="104">
        <f>IF(ISERROR(_xll.qlSwapRateHelperSpread($Y26)),IF(ISERROR(_xll.qlFuturesRateHelperConvexityAdjustment($Y26)),"",_xll.qlFuturesRateHelperConvexityAdjustment($Y26)),_xll.qlSwapRateHelperSpread($Y26))</f>
        <v>0</v>
      </c>
      <c r="AD26" s="5">
        <f>IFERROR(_xll.qlRateHelperEarliestDate(Y26,Trigger),"")</f>
        <v>42250</v>
      </c>
      <c r="AE26" s="5">
        <f>IFERROR(_xll.qlRateHelperPillarDate(Y26,Trigger),"")</f>
        <v>49555</v>
      </c>
      <c r="AF26" s="70">
        <v>1.7364433649061019E-2</v>
      </c>
      <c r="AG26" s="77">
        <v>0.70653050759330405</v>
      </c>
      <c r="AH26" s="170">
        <v>49555</v>
      </c>
      <c r="AI26" s="171">
        <v>1.73644336521857E-2</v>
      </c>
      <c r="AJ26" s="173">
        <f t="shared" si="4"/>
        <v>-3.1246810694440796E-12</v>
      </c>
      <c r="AK26" s="80">
        <v>0.70653327367544305</v>
      </c>
      <c r="AL26" s="162">
        <f t="shared" si="5"/>
        <v>-2.7660821390051993E-6</v>
      </c>
      <c r="AM26" s="162"/>
    </row>
    <row r="27" spans="1:39" ht="11.25" customHeight="1" x14ac:dyDescent="0.2">
      <c r="A27" s="59" t="s">
        <v>118</v>
      </c>
      <c r="B27" s="60" t="s">
        <v>56</v>
      </c>
      <c r="C27" s="61" t="s">
        <v>6</v>
      </c>
      <c r="D27" s="61" t="s">
        <v>8</v>
      </c>
      <c r="E27" s="61" t="s">
        <v>7</v>
      </c>
      <c r="F27" s="61" t="s">
        <v>125</v>
      </c>
      <c r="G27" s="61" t="str">
        <f t="shared" si="13"/>
        <v>Euribor1Y</v>
      </c>
      <c r="H27" s="59" t="str">
        <f t="shared" si="14"/>
        <v>EUR6E12E6Y_LCHQuote</v>
      </c>
      <c r="I27" s="127">
        <v>0</v>
      </c>
      <c r="J27" s="64" t="str">
        <f>_xll.qlSwapRateHelper2(,$H27,2,$B27,Calendar,$D27,$E27,$F27,$G27,$I27,$C27,Discounting1,PillarDate,,Permanent,Trigger,ObjectOverwrite)</f>
        <v>obj_005e0#0005</v>
      </c>
      <c r="K27" s="64" t="str">
        <f>_xll.qlSwapRateHelper2(,$H27,2,$B27,Calendar,$D27,$E27,$F27,$G27,$I27,$C27,Discounting2,PillarDate,,Permanent,Trigger,ObjectOverwrite)</f>
        <v>obj_005cd#0005</v>
      </c>
      <c r="L27" s="48"/>
      <c r="M27" s="10" t="str">
        <f t="shared" si="10"/>
        <v>BasSw</v>
      </c>
      <c r="N27" s="94" t="str">
        <f t="shared" si="11"/>
        <v>obj_005df#0005</v>
      </c>
      <c r="O27" s="94" t="str">
        <f t="shared" si="12"/>
        <v>obj_005d6#0005</v>
      </c>
      <c r="P27" s="146" t="str">
        <f>IFERROR(_xll.qlRateHelperQuoteName(N27,Trigger),"--")</f>
        <v>EUR6E12E10Y_LCHQuote</v>
      </c>
      <c r="Q27" s="98">
        <f>IFERROR(_xll.qlRateHelperQuoteValue($N27,Trigger),"--")</f>
        <v>1.24491667E-2</v>
      </c>
      <c r="R27" s="97" t="b">
        <v>1</v>
      </c>
      <c r="S27" s="94">
        <v>20</v>
      </c>
      <c r="T27" s="94">
        <v>1</v>
      </c>
      <c r="U27" s="99">
        <f>IFERROR(_xll.qlRateHelperEarliestDate(N27,Trigger),"--")</f>
        <v>42250</v>
      </c>
      <c r="V27" s="99">
        <f>IFERROR(_xll.qlRateHelperPillarDate(N27,Trigger),"--")</f>
        <v>45903</v>
      </c>
      <c r="X27" s="4" t="str">
        <f t="shared" si="0"/>
        <v>BasSw</v>
      </c>
      <c r="Y27" s="4" t="str">
        <v>obj_005cc</v>
      </c>
      <c r="Z27" s="4" t="str">
        <v>obj_005d4</v>
      </c>
      <c r="AA27" s="4" t="str">
        <f>IFERROR(_xll.qlRateHelperQuoteName(Y27,Trigger),"")</f>
        <v>EUR6E12E25Y_LCHQuote</v>
      </c>
      <c r="AB27" s="70">
        <f>IFERROR(_xll.qlRateHelperRate(Y27,Trigger),"")</f>
        <v>1.7248833299999999E-2</v>
      </c>
      <c r="AC27" s="104">
        <f>IF(ISERROR(_xll.qlSwapRateHelperSpread($Y27)),IF(ISERROR(_xll.qlFuturesRateHelperConvexityAdjustment($Y27)),"",_xll.qlFuturesRateHelperConvexityAdjustment($Y27)),_xll.qlSwapRateHelperSpread($Y27))</f>
        <v>0</v>
      </c>
      <c r="AD27" s="5">
        <f>IFERROR(_xll.qlRateHelperEarliestDate(Y27,Trigger),"")</f>
        <v>42250</v>
      </c>
      <c r="AE27" s="5">
        <f>IFERROR(_xll.qlRateHelperPillarDate(Y27,Trigger),"")</f>
        <v>51382</v>
      </c>
      <c r="AF27" s="70">
        <v>1.7540068140043209E-2</v>
      </c>
      <c r="AG27" s="77">
        <v>0.6449402095306821</v>
      </c>
      <c r="AH27" s="170">
        <v>51382</v>
      </c>
      <c r="AI27" s="171">
        <v>1.7540068184612199E-2</v>
      </c>
      <c r="AJ27" s="173">
        <f t="shared" si="4"/>
        <v>-4.4568990859028546E-11</v>
      </c>
      <c r="AK27" s="80">
        <v>0.64494273379697198</v>
      </c>
      <c r="AL27" s="162">
        <f t="shared" si="5"/>
        <v>-2.5242662898827817E-6</v>
      </c>
      <c r="AM27" s="162"/>
    </row>
    <row r="28" spans="1:39" ht="11.25" customHeight="1" x14ac:dyDescent="0.2">
      <c r="A28" s="59" t="s">
        <v>118</v>
      </c>
      <c r="B28" s="60" t="s">
        <v>57</v>
      </c>
      <c r="C28" s="61" t="s">
        <v>6</v>
      </c>
      <c r="D28" s="61" t="s">
        <v>8</v>
      </c>
      <c r="E28" s="61" t="s">
        <v>7</v>
      </c>
      <c r="F28" s="61" t="s">
        <v>125</v>
      </c>
      <c r="G28" s="61" t="str">
        <f t="shared" si="13"/>
        <v>Euribor1Y</v>
      </c>
      <c r="H28" s="59" t="str">
        <f t="shared" si="14"/>
        <v>EUR6E12E7Y_LCHQuote</v>
      </c>
      <c r="I28" s="127">
        <v>0</v>
      </c>
      <c r="J28" s="64" t="str">
        <f>_xll.qlSwapRateHelper2(,$H28,2,$B28,Calendar,$D28,$E28,$F28,$G28,$I28,$C28,Discounting1,PillarDate,,Permanent,Trigger,ObjectOverwrite)</f>
        <v>obj_005cf#0005</v>
      </c>
      <c r="K28" s="64" t="str">
        <f>_xll.qlSwapRateHelper2(,$H28,2,$B28,Calendar,$D28,$E28,$F28,$G28,$I28,$C28,Discounting2,PillarDate,,Permanent,Trigger,ObjectOverwrite)</f>
        <v>obj_005e5#0005</v>
      </c>
      <c r="L28" s="48"/>
      <c r="M28" s="10" t="str">
        <f t="shared" si="10"/>
        <v>BasSw</v>
      </c>
      <c r="N28" s="94" t="str">
        <f t="shared" si="11"/>
        <v>--</v>
      </c>
      <c r="O28" s="94" t="str">
        <f t="shared" si="12"/>
        <v>--</v>
      </c>
      <c r="P28" s="146" t="str">
        <f>IFERROR(_xll.qlRateHelperQuoteName(N28,Trigger),"--")</f>
        <v>--</v>
      </c>
      <c r="Q28" s="98" t="str">
        <f>IFERROR(_xll.qlRateHelperQuoteValue($N28,Trigger),"--")</f>
        <v>--</v>
      </c>
      <c r="R28" s="97" t="b">
        <v>0</v>
      </c>
      <c r="S28" s="94">
        <v>20</v>
      </c>
      <c r="T28" s="94">
        <v>1</v>
      </c>
      <c r="U28" s="99" t="str">
        <f>IFERROR(_xll.qlRateHelperEarliestDate(N28,Trigger),"--")</f>
        <v>--</v>
      </c>
      <c r="V28" s="99" t="str">
        <f>IFERROR(_xll.qlRateHelperPillarDate(N28,Trigger),"--")</f>
        <v>--</v>
      </c>
      <c r="X28" s="4" t="str">
        <f t="shared" si="0"/>
        <v>BasSw</v>
      </c>
      <c r="Y28" s="4" t="str">
        <v>obj_005e7</v>
      </c>
      <c r="Z28" s="4" t="str">
        <v>obj_005cb</v>
      </c>
      <c r="AA28" s="4" t="str">
        <f>IFERROR(_xll.qlRateHelperQuoteName(Y28,Trigger),"")</f>
        <v>EUR6E12E30Y_LCHQuote</v>
      </c>
      <c r="AB28" s="70">
        <f>IFERROR(_xll.qlRateHelperRate(Y28,Trigger),"")</f>
        <v>1.72585E-2</v>
      </c>
      <c r="AC28" s="104">
        <f>IF(ISERROR(_xll.qlSwapRateHelperSpread($Y28)),IF(ISERROR(_xll.qlFuturesRateHelperConvexityAdjustment($Y28)),"",_xll.qlFuturesRateHelperConvexityAdjustment($Y28)),_xll.qlSwapRateHelperSpread($Y28))</f>
        <v>0</v>
      </c>
      <c r="AD28" s="5">
        <f>IFERROR(_xll.qlRateHelperEarliestDate(Y28,Trigger),"")</f>
        <v>42250</v>
      </c>
      <c r="AE28" s="5">
        <f>IFERROR(_xll.qlRateHelperPillarDate(Y28,Trigger),"")</f>
        <v>53209</v>
      </c>
      <c r="AF28" s="70">
        <v>1.7477384756160504E-2</v>
      </c>
      <c r="AG28" s="77">
        <v>0.59183621878576342</v>
      </c>
      <c r="AH28" s="170">
        <v>53209</v>
      </c>
      <c r="AI28" s="171">
        <v>1.7477384754340599E-2</v>
      </c>
      <c r="AJ28" s="173">
        <f t="shared" si="4"/>
        <v>1.8199053375411722E-12</v>
      </c>
      <c r="AK28" s="80">
        <v>0.59183853588770996</v>
      </c>
      <c r="AL28" s="162">
        <f t="shared" si="5"/>
        <v>-2.3171019465362264E-6</v>
      </c>
      <c r="AM28" s="162"/>
    </row>
    <row r="29" spans="1:39" ht="11.25" customHeight="1" x14ac:dyDescent="0.2">
      <c r="A29" s="59" t="s">
        <v>118</v>
      </c>
      <c r="B29" s="60" t="s">
        <v>58</v>
      </c>
      <c r="C29" s="61" t="s">
        <v>6</v>
      </c>
      <c r="D29" s="61" t="s">
        <v>8</v>
      </c>
      <c r="E29" s="61" t="s">
        <v>7</v>
      </c>
      <c r="F29" s="61" t="s">
        <v>125</v>
      </c>
      <c r="G29" s="61" t="str">
        <f t="shared" si="13"/>
        <v>Euribor1Y</v>
      </c>
      <c r="H29" s="59" t="str">
        <f t="shared" si="14"/>
        <v>EUR6E12E8Y_LCHQuote</v>
      </c>
      <c r="I29" s="127">
        <v>0</v>
      </c>
      <c r="J29" s="64" t="str">
        <f>_xll.qlSwapRateHelper2(,$H29,2,$B29,Calendar,$D29,$E29,$F29,$G29,$I29,$C29,Discounting1,PillarDate,,Permanent,Trigger,ObjectOverwrite)</f>
        <v>obj_005dc#0005</v>
      </c>
      <c r="K29" s="64" t="str">
        <f>_xll.qlSwapRateHelper2(,$H29,2,$B29,Calendar,$D29,$E29,$F29,$G29,$I29,$C29,Discounting2,PillarDate,,Permanent,Trigger,ObjectOverwrite)</f>
        <v>obj_005e2#0005</v>
      </c>
      <c r="L29" s="48"/>
      <c r="M29" s="10" t="str">
        <f t="shared" si="10"/>
        <v>BasSw</v>
      </c>
      <c r="N29" s="94" t="str">
        <f t="shared" si="11"/>
        <v>obj_005d5#0005</v>
      </c>
      <c r="O29" s="94" t="str">
        <f t="shared" si="12"/>
        <v>obj_005ca#0005</v>
      </c>
      <c r="P29" s="146" t="str">
        <f>IFERROR(_xll.qlRateHelperQuoteName(N29,Trigger),"--")</f>
        <v>EUR6E12E12Y_LCHQuote</v>
      </c>
      <c r="Q29" s="98">
        <f>IFERROR(_xll.qlRateHelperQuoteValue($N29,Trigger),"--")</f>
        <v>1.4113499999999999E-2</v>
      </c>
      <c r="R29" s="97" t="b">
        <v>1</v>
      </c>
      <c r="S29" s="94">
        <v>20</v>
      </c>
      <c r="T29" s="94">
        <v>1</v>
      </c>
      <c r="U29" s="99">
        <f>IFERROR(_xll.qlRateHelperEarliestDate(N29,Trigger),"--")</f>
        <v>42250</v>
      </c>
      <c r="V29" s="99">
        <f>IFERROR(_xll.qlRateHelperPillarDate(N29,Trigger),"--")</f>
        <v>46633</v>
      </c>
      <c r="X29" s="4" t="str">
        <f t="shared" si="0"/>
        <v>BasSw</v>
      </c>
      <c r="Y29" s="4" t="str">
        <v>obj_005d2</v>
      </c>
      <c r="Z29" s="4" t="str">
        <v>obj_005e4</v>
      </c>
      <c r="AA29" s="4" t="str">
        <f>IFERROR(_xll.qlRateHelperQuoteName(Y29,Trigger),"")</f>
        <v>EUR6E12E40Y_LCHQuote</v>
      </c>
      <c r="AB29" s="70">
        <f>IFERROR(_xll.qlRateHelperRate(Y29,Trigger),"")</f>
        <v>1.7326000000000001E-2</v>
      </c>
      <c r="AC29" s="104">
        <f>IF(ISERROR(_xll.qlSwapRateHelperSpread($Y29)),IF(ISERROR(_xll.qlFuturesRateHelperConvexityAdjustment($Y29)),"",_xll.qlFuturesRateHelperConvexityAdjustment($Y29)),_xll.qlSwapRateHelperSpread($Y29))</f>
        <v>0</v>
      </c>
      <c r="AD29" s="5">
        <f>IFERROR(_xll.qlRateHelperEarliestDate(Y29,Trigger),"")</f>
        <v>42250</v>
      </c>
      <c r="AE29" s="5">
        <f>IFERROR(_xll.qlRateHelperPillarDate(Y29,Trigger),"")</f>
        <v>56860</v>
      </c>
      <c r="AF29" s="70">
        <v>1.7471809539582772E-2</v>
      </c>
      <c r="AG29" s="77">
        <v>0.49714000781442408</v>
      </c>
      <c r="AH29" s="170">
        <v>56860</v>
      </c>
      <c r="AI29" s="171">
        <v>1.7471809538865801E-2</v>
      </c>
      <c r="AJ29" s="173">
        <f t="shared" si="4"/>
        <v>7.1697162096207023E-13</v>
      </c>
      <c r="AK29" s="80">
        <v>0.49714195414488199</v>
      </c>
      <c r="AL29" s="162">
        <f t="shared" si="5"/>
        <v>-1.9463304579137031E-6</v>
      </c>
      <c r="AM29" s="162"/>
    </row>
    <row r="30" spans="1:39" ht="11.25" customHeight="1" x14ac:dyDescent="0.2">
      <c r="A30" s="59" t="s">
        <v>118</v>
      </c>
      <c r="B30" s="60" t="s">
        <v>59</v>
      </c>
      <c r="C30" s="61" t="s">
        <v>6</v>
      </c>
      <c r="D30" s="61" t="s">
        <v>8</v>
      </c>
      <c r="E30" s="61" t="s">
        <v>7</v>
      </c>
      <c r="F30" s="61" t="s">
        <v>125</v>
      </c>
      <c r="G30" s="61" t="str">
        <f t="shared" si="13"/>
        <v>Euribor1Y</v>
      </c>
      <c r="H30" s="59" t="str">
        <f t="shared" si="14"/>
        <v>EUR6E12E9Y_LCHQuote</v>
      </c>
      <c r="I30" s="127">
        <v>0</v>
      </c>
      <c r="J30" s="64" t="str">
        <f>_xll.qlSwapRateHelper2(,$H30,2,$B30,Calendar,$D30,$E30,$F30,$G30,$I30,$C30,Discounting1,PillarDate,,Permanent,Trigger,ObjectOverwrite)</f>
        <v>obj_005d9#0005</v>
      </c>
      <c r="K30" s="64" t="str">
        <f>_xll.qlSwapRateHelper2(,$H30,2,$B30,Calendar,$D30,$E30,$F30,$G30,$I30,$C30,Discounting2,PillarDate,,Permanent,Trigger,ObjectOverwrite)</f>
        <v>obj_005e9#0005</v>
      </c>
      <c r="L30" s="48"/>
      <c r="M30" s="10" t="str">
        <f t="shared" si="10"/>
        <v>BasSw</v>
      </c>
      <c r="N30" s="94" t="str">
        <f t="shared" si="11"/>
        <v>--</v>
      </c>
      <c r="O30" s="94" t="str">
        <f t="shared" si="12"/>
        <v>--</v>
      </c>
      <c r="P30" s="146" t="str">
        <f>IFERROR(_xll.qlRateHelperQuoteName(N30,Trigger),"--")</f>
        <v>--</v>
      </c>
      <c r="Q30" s="98" t="str">
        <f>IFERROR(_xll.qlRateHelperQuoteValue($N30,Trigger),"--")</f>
        <v>--</v>
      </c>
      <c r="R30" s="97" t="b">
        <v>0</v>
      </c>
      <c r="S30" s="94">
        <v>20</v>
      </c>
      <c r="T30" s="94">
        <v>1</v>
      </c>
      <c r="U30" s="99" t="str">
        <f>IFERROR(_xll.qlRateHelperEarliestDate(N30,Trigger),"--")</f>
        <v>--</v>
      </c>
      <c r="V30" s="99" t="str">
        <f>IFERROR(_xll.qlRateHelperPillarDate(N30,Trigger),"--")</f>
        <v>--</v>
      </c>
      <c r="X30" s="4" t="str">
        <f t="shared" si="0"/>
        <v>BasSw</v>
      </c>
      <c r="Y30" s="4" t="str">
        <v>obj_005d7</v>
      </c>
      <c r="Z30" s="4" t="str">
        <v>obj_005db</v>
      </c>
      <c r="AA30" s="4" t="str">
        <f>IFERROR(_xll.qlRateHelperQuoteName(Y30,Trigger),"")</f>
        <v>EUR6E12E50Y_LCHQuote</v>
      </c>
      <c r="AB30" s="70">
        <f>IFERROR(_xll.qlRateHelperRate(Y30,Trigger),"")</f>
        <v>1.6891E-2</v>
      </c>
      <c r="AC30" s="104">
        <f>IF(ISERROR(_xll.qlSwapRateHelperSpread($Y30)),IF(ISERROR(_xll.qlFuturesRateHelperConvexityAdjustment($Y30)),"",_xll.qlFuturesRateHelperConvexityAdjustment($Y30)),_xll.qlSwapRateHelperSpread($Y30))</f>
        <v>0</v>
      </c>
      <c r="AD30" s="5">
        <f>IFERROR(_xll.qlRateHelperEarliestDate(Y30,Trigger),"")</f>
        <v>42250</v>
      </c>
      <c r="AE30" s="5">
        <f>IFERROR(_xll.qlRateHelperPillarDate(Y30,Trigger),"")</f>
        <v>60513</v>
      </c>
      <c r="AF30" s="70">
        <v>1.6788389355084438E-2</v>
      </c>
      <c r="AG30" s="77">
        <v>0.43192863323509212</v>
      </c>
      <c r="AH30" s="170">
        <v>60513</v>
      </c>
      <c r="AI30" s="171">
        <v>1.6788389354547802E-2</v>
      </c>
      <c r="AJ30" s="173">
        <f t="shared" si="4"/>
        <v>5.3663670729342527E-13</v>
      </c>
      <c r="AK30" s="80">
        <v>0.43193032426273298</v>
      </c>
      <c r="AL30" s="162">
        <f t="shared" si="5"/>
        <v>-1.6910276408599323E-6</v>
      </c>
      <c r="AM30" s="162"/>
    </row>
    <row r="31" spans="1:39" ht="11.25" customHeight="1" x14ac:dyDescent="0.2">
      <c r="A31" s="59" t="s">
        <v>118</v>
      </c>
      <c r="B31" s="60" t="s">
        <v>60</v>
      </c>
      <c r="C31" s="61" t="s">
        <v>6</v>
      </c>
      <c r="D31" s="61" t="s">
        <v>8</v>
      </c>
      <c r="E31" s="61" t="s">
        <v>7</v>
      </c>
      <c r="F31" s="61" t="s">
        <v>125</v>
      </c>
      <c r="G31" s="61" t="str">
        <f t="shared" si="13"/>
        <v>Euribor1Y</v>
      </c>
      <c r="H31" s="59" t="str">
        <f t="shared" si="14"/>
        <v>EUR6E12E10Y_LCHQuote</v>
      </c>
      <c r="I31" s="127">
        <v>0</v>
      </c>
      <c r="J31" s="64" t="str">
        <f>_xll.qlSwapRateHelper2(,$H31,2,$B31,Calendar,$D31,$E31,$F31,$G31,$I31,$C31,Discounting1,PillarDate,,Permanent,Trigger,ObjectOverwrite)</f>
        <v>obj_005df#0005</v>
      </c>
      <c r="K31" s="64" t="str">
        <f>_xll.qlSwapRateHelper2(,$H31,2,$B31,Calendar,$D31,$E31,$F31,$G31,$I31,$C31,Discounting2,PillarDate,,Permanent,Trigger,ObjectOverwrite)</f>
        <v>obj_005d6#0005</v>
      </c>
      <c r="L31" s="48"/>
      <c r="M31" s="10" t="str">
        <f t="shared" si="10"/>
        <v>BasSw</v>
      </c>
      <c r="N31" s="94" t="str">
        <f t="shared" si="11"/>
        <v>--</v>
      </c>
      <c r="O31" s="94" t="str">
        <f t="shared" si="12"/>
        <v>--</v>
      </c>
      <c r="P31" s="146" t="str">
        <f>IFERROR(_xll.qlRateHelperQuoteName(N31,Trigger),"--")</f>
        <v>--</v>
      </c>
      <c r="Q31" s="98" t="str">
        <f>IFERROR(_xll.qlRateHelperQuoteValue($N31,Trigger),"--")</f>
        <v>--</v>
      </c>
      <c r="R31" s="97" t="b">
        <v>0</v>
      </c>
      <c r="S31" s="94">
        <v>20</v>
      </c>
      <c r="T31" s="94">
        <v>1</v>
      </c>
      <c r="U31" s="99" t="str">
        <f>IFERROR(_xll.qlRateHelperEarliestDate(N31,Trigger),"--")</f>
        <v>--</v>
      </c>
      <c r="V31" s="99" t="str">
        <f>IFERROR(_xll.qlRateHelperPillarDate(N31,Trigger),"--")</f>
        <v>--</v>
      </c>
      <c r="X31" s="4" t="str">
        <f t="shared" si="0"/>
        <v>BasSw</v>
      </c>
      <c r="Y31" s="4" t="str">
        <v>obj_005e3</v>
      </c>
      <c r="Z31" s="4" t="str">
        <v>obj_005d0</v>
      </c>
      <c r="AA31" s="4" t="str">
        <f>IFERROR(_xll.qlRateHelperQuoteName(Y31,Trigger),"")</f>
        <v>EUR6E12E60Y_LCHQuote</v>
      </c>
      <c r="AB31" s="70">
        <f>IFERROR(_xll.qlRateHelperRate(Y31,Trigger),"")</f>
        <v>1.6687500000000001E-2</v>
      </c>
      <c r="AC31" s="104">
        <f>IF(ISERROR(_xll.qlSwapRateHelperSpread($Y31)),IF(ISERROR(_xll.qlFuturesRateHelperConvexityAdjustment($Y31)),"",_xll.qlFuturesRateHelperConvexityAdjustment($Y31)),_xll.qlSwapRateHelperSpread($Y31))</f>
        <v>0</v>
      </c>
      <c r="AD31" s="5">
        <f>IFERROR(_xll.qlRateHelperEarliestDate(Y31,Trigger),"")</f>
        <v>42250</v>
      </c>
      <c r="AE31" s="5">
        <f>IFERROR(_xll.qlRateHelperPillarDate(Y31,Trigger),"")</f>
        <v>64165</v>
      </c>
      <c r="AF31" s="70">
        <v>1.6469074630751826E-2</v>
      </c>
      <c r="AG31" s="77">
        <v>0.37210890330982571</v>
      </c>
      <c r="AH31" s="170">
        <v>64165</v>
      </c>
      <c r="AI31" s="171">
        <v>1.6469074630312198E-2</v>
      </c>
      <c r="AJ31" s="173">
        <f t="shared" si="4"/>
        <v>4.3962750106985027E-13</v>
      </c>
      <c r="AK31" s="80">
        <v>0.37211036013756599</v>
      </c>
      <c r="AL31" s="162">
        <f t="shared" si="5"/>
        <v>-1.456827740276001E-6</v>
      </c>
      <c r="AM31" s="162"/>
    </row>
    <row r="32" spans="1:39" ht="11.25" customHeight="1" x14ac:dyDescent="0.2">
      <c r="A32" s="59" t="s">
        <v>118</v>
      </c>
      <c r="B32" s="60" t="s">
        <v>98</v>
      </c>
      <c r="C32" s="61" t="s">
        <v>6</v>
      </c>
      <c r="D32" s="61" t="s">
        <v>8</v>
      </c>
      <c r="E32" s="61" t="s">
        <v>7</v>
      </c>
      <c r="F32" s="61" t="s">
        <v>125</v>
      </c>
      <c r="G32" s="61" t="str">
        <f t="shared" si="13"/>
        <v>Euribor1Y</v>
      </c>
      <c r="H32" s="59" t="str">
        <f t="shared" si="14"/>
        <v>EUR6E12E11Y_LCHQuote</v>
      </c>
      <c r="I32" s="127">
        <v>0</v>
      </c>
      <c r="J32" s="64"/>
      <c r="K32" s="64"/>
      <c r="L32" s="48"/>
      <c r="M32" s="10" t="str">
        <f t="shared" si="10"/>
        <v>BasSw</v>
      </c>
      <c r="N32" s="94" t="str">
        <f t="shared" si="11"/>
        <v>obj_005dd#0005</v>
      </c>
      <c r="O32" s="94" t="str">
        <f t="shared" si="12"/>
        <v>obj_005e8#0005</v>
      </c>
      <c r="P32" s="146" t="str">
        <f>IFERROR(_xll.qlRateHelperQuoteName(N32,Trigger),"--")</f>
        <v>EUR6E12E15Y_LCHQuote</v>
      </c>
      <c r="Q32" s="98">
        <f>IFERROR(_xll.qlRateHelperQuoteValue($N32,Trigger),"--")</f>
        <v>1.57551667E-2</v>
      </c>
      <c r="R32" s="97" t="b">
        <v>1</v>
      </c>
      <c r="S32" s="94">
        <v>20</v>
      </c>
      <c r="T32" s="94">
        <v>1</v>
      </c>
      <c r="U32" s="99">
        <f>IFERROR(_xll.qlRateHelperEarliestDate(N32,Trigger),"--")</f>
        <v>42250</v>
      </c>
      <c r="V32" s="99">
        <f>IFERROR(_xll.qlRateHelperPillarDate(N32,Trigger),"--")</f>
        <v>47729</v>
      </c>
      <c r="X32" s="4" t="str">
        <f t="shared" si="0"/>
        <v/>
      </c>
      <c r="Y32" s="4" t="e">
        <v>#N/A</v>
      </c>
      <c r="Z32" s="4" t="e">
        <v>#N/A</v>
      </c>
      <c r="AA32" s="4" t="str">
        <f>IFERROR(_xll.qlRateHelperQuoteName(Y32,Trigger),"")</f>
        <v/>
      </c>
      <c r="AB32" s="70" t="str">
        <f>IFERROR(_xll.qlRateHelperRate(Y32,Trigger),"")</f>
        <v/>
      </c>
      <c r="AC32" s="104" t="str">
        <f>IF(ISERROR(_xll.qlSwapRateHelperSpread($Y32)),IF(ISERROR(_xll.qlFuturesRateHelperConvexityAdjustment($Y32)),"",_xll.qlFuturesRateHelperConvexityAdjustment($Y32)),_xll.qlSwapRateHelperSpread($Y32))</f>
        <v/>
      </c>
      <c r="AD32" s="5" t="str">
        <f>IFERROR(_xll.qlRateHelperEarliestDate(Y32,Trigger),"")</f>
        <v/>
      </c>
      <c r="AE32" s="5" t="str">
        <f>IFERROR(_xll.qlRateHelperPillarDate(Y32,Trigger),"")</f>
        <v/>
      </c>
      <c r="AF32" s="70" t="e">
        <v>#N/A</v>
      </c>
      <c r="AG32" s="77" t="e">
        <v>#N/A</v>
      </c>
      <c r="AH32" s="170" t="e">
        <v>#N/A</v>
      </c>
      <c r="AI32" s="171" t="e">
        <v>#N/A</v>
      </c>
      <c r="AJ32" s="173" t="e">
        <f t="shared" si="4"/>
        <v>#N/A</v>
      </c>
      <c r="AK32" s="80" t="e">
        <v>#N/A</v>
      </c>
      <c r="AL32" s="162" t="e">
        <f t="shared" si="5"/>
        <v>#N/A</v>
      </c>
      <c r="AM32" s="162"/>
    </row>
    <row r="33" spans="1:39" ht="11.25" customHeight="1" x14ac:dyDescent="0.2">
      <c r="A33" s="59" t="s">
        <v>118</v>
      </c>
      <c r="B33" s="60" t="s">
        <v>61</v>
      </c>
      <c r="C33" s="61" t="s">
        <v>6</v>
      </c>
      <c r="D33" s="61" t="s">
        <v>8</v>
      </c>
      <c r="E33" s="61" t="s">
        <v>7</v>
      </c>
      <c r="F33" s="61" t="s">
        <v>125</v>
      </c>
      <c r="G33" s="61" t="str">
        <f t="shared" si="13"/>
        <v>Euribor1Y</v>
      </c>
      <c r="H33" s="59" t="str">
        <f t="shared" si="14"/>
        <v>EUR6E12E12Y_LCHQuote</v>
      </c>
      <c r="I33" s="127">
        <v>0</v>
      </c>
      <c r="J33" s="64" t="str">
        <f>_xll.qlSwapRateHelper2(,$H33,2,$B33,Calendar,$D33,$E33,$F33,$G33,$I33,$C33,Discounting1,PillarDate,,Permanent,Trigger,ObjectOverwrite)</f>
        <v>obj_005d5#0005</v>
      </c>
      <c r="K33" s="64" t="str">
        <f>_xll.qlSwapRateHelper2(,$H33,2,$B33,Calendar,$D33,$E33,$F33,$G33,$I33,$C33,Discounting2,PillarDate,,Permanent,Trigger,ObjectOverwrite)</f>
        <v>obj_005ca#0005</v>
      </c>
      <c r="L33" s="48"/>
      <c r="M33" s="10" t="str">
        <f t="shared" si="10"/>
        <v>BasSw</v>
      </c>
      <c r="N33" s="94" t="str">
        <f t="shared" si="11"/>
        <v>--</v>
      </c>
      <c r="O33" s="94" t="str">
        <f t="shared" si="12"/>
        <v>--</v>
      </c>
      <c r="P33" s="146" t="str">
        <f>IFERROR(_xll.qlRateHelperQuoteName(N33,Trigger),"--")</f>
        <v>--</v>
      </c>
      <c r="Q33" s="98" t="str">
        <f>IFERROR(_xll.qlRateHelperQuoteValue($N33,Trigger),"--")</f>
        <v>--</v>
      </c>
      <c r="R33" s="97" t="b">
        <v>0</v>
      </c>
      <c r="S33" s="94">
        <v>20</v>
      </c>
      <c r="T33" s="94">
        <v>1</v>
      </c>
      <c r="U33" s="99" t="str">
        <f>IFERROR(_xll.qlRateHelperEarliestDate(N33,Trigger),"--")</f>
        <v>--</v>
      </c>
      <c r="V33" s="99" t="str">
        <f>IFERROR(_xll.qlRateHelperPillarDate(N33,Trigger),"--")</f>
        <v>--</v>
      </c>
      <c r="X33" s="4" t="str">
        <f t="shared" si="0"/>
        <v/>
      </c>
      <c r="Y33" s="4" t="e">
        <v>#N/A</v>
      </c>
      <c r="Z33" s="4" t="e">
        <v>#N/A</v>
      </c>
      <c r="AA33" s="4" t="str">
        <f>IFERROR(_xll.qlRateHelperQuoteName(Y33,Trigger),"")</f>
        <v/>
      </c>
      <c r="AB33" s="70" t="str">
        <f>IFERROR(_xll.qlRateHelperRate(Y33,Trigger),"")</f>
        <v/>
      </c>
      <c r="AC33" s="104" t="str">
        <f>IF(ISERROR(_xll.qlSwapRateHelperSpread($Y33)),IF(ISERROR(_xll.qlFuturesRateHelperConvexityAdjustment($Y33)),"",_xll.qlFuturesRateHelperConvexityAdjustment($Y33)),_xll.qlSwapRateHelperSpread($Y33))</f>
        <v/>
      </c>
      <c r="AD33" s="5" t="str">
        <f>IFERROR(_xll.qlRateHelperEarliestDate(Y33,Trigger),"")</f>
        <v/>
      </c>
      <c r="AE33" s="5" t="str">
        <f>IFERROR(_xll.qlRateHelperPillarDate(Y33,Trigger),"")</f>
        <v/>
      </c>
      <c r="AF33" s="70" t="e">
        <v>#N/A</v>
      </c>
      <c r="AG33" s="77" t="e">
        <v>#N/A</v>
      </c>
      <c r="AH33" s="170" t="e">
        <v>#N/A</v>
      </c>
      <c r="AI33" s="171" t="e">
        <v>#N/A</v>
      </c>
      <c r="AJ33" s="173" t="e">
        <f t="shared" si="4"/>
        <v>#N/A</v>
      </c>
      <c r="AK33" s="80" t="e">
        <v>#N/A</v>
      </c>
      <c r="AL33" s="162" t="e">
        <f t="shared" si="5"/>
        <v>#N/A</v>
      </c>
      <c r="AM33" s="162"/>
    </row>
    <row r="34" spans="1:39" ht="11.25" customHeight="1" x14ac:dyDescent="0.2">
      <c r="A34" s="59" t="s">
        <v>118</v>
      </c>
      <c r="B34" s="60" t="s">
        <v>99</v>
      </c>
      <c r="C34" s="61" t="s">
        <v>6</v>
      </c>
      <c r="D34" s="61" t="s">
        <v>8</v>
      </c>
      <c r="E34" s="61" t="s">
        <v>7</v>
      </c>
      <c r="F34" s="61" t="s">
        <v>125</v>
      </c>
      <c r="G34" s="61" t="str">
        <f t="shared" si="13"/>
        <v>Euribor1Y</v>
      </c>
      <c r="H34" s="59" t="str">
        <f t="shared" si="14"/>
        <v>EUR6E12E13Y_LCHQuote</v>
      </c>
      <c r="I34" s="127">
        <v>0</v>
      </c>
      <c r="J34" s="64"/>
      <c r="K34" s="64"/>
      <c r="L34" s="48"/>
      <c r="M34" s="10" t="str">
        <f t="shared" si="10"/>
        <v>BasSw</v>
      </c>
      <c r="N34" s="94" t="str">
        <f t="shared" si="11"/>
        <v>--</v>
      </c>
      <c r="O34" s="94" t="str">
        <f t="shared" si="12"/>
        <v>--</v>
      </c>
      <c r="P34" s="146" t="str">
        <f>IFERROR(_xll.qlRateHelperQuoteName(N34,Trigger),"--")</f>
        <v>--</v>
      </c>
      <c r="Q34" s="98" t="str">
        <f>IFERROR(_xll.qlRateHelperQuoteValue($N34,Trigger),"--")</f>
        <v>--</v>
      </c>
      <c r="R34" s="97" t="b">
        <v>0</v>
      </c>
      <c r="S34" s="94">
        <v>20</v>
      </c>
      <c r="T34" s="94">
        <v>1</v>
      </c>
      <c r="U34" s="99" t="str">
        <f>IFERROR(_xll.qlRateHelperEarliestDate(N34,Trigger),"--")</f>
        <v>--</v>
      </c>
      <c r="V34" s="99" t="str">
        <f>IFERROR(_xll.qlRateHelperPillarDate(N34,Trigger),"--")</f>
        <v>--</v>
      </c>
      <c r="X34" s="4" t="str">
        <f t="shared" si="0"/>
        <v/>
      </c>
      <c r="Y34" s="4" t="e">
        <v>#N/A</v>
      </c>
      <c r="Z34" s="4" t="e">
        <v>#N/A</v>
      </c>
      <c r="AA34" s="4" t="str">
        <f>IFERROR(_xll.qlRateHelperQuoteName(Y34,Trigger),"")</f>
        <v/>
      </c>
      <c r="AB34" s="70" t="str">
        <f>IFERROR(_xll.qlRateHelperRate(Y34,Trigger),"")</f>
        <v/>
      </c>
      <c r="AC34" s="104" t="str">
        <f>IF(ISERROR(_xll.qlSwapRateHelperSpread($Y34)),IF(ISERROR(_xll.qlFuturesRateHelperConvexityAdjustment($Y34)),"",_xll.qlFuturesRateHelperConvexityAdjustment($Y34)),_xll.qlSwapRateHelperSpread($Y34))</f>
        <v/>
      </c>
      <c r="AD34" s="5" t="str">
        <f>IFERROR(_xll.qlRateHelperEarliestDate(Y34,Trigger),"")</f>
        <v/>
      </c>
      <c r="AE34" s="5" t="str">
        <f>IFERROR(_xll.qlRateHelperPillarDate(Y34,Trigger),"")</f>
        <v/>
      </c>
      <c r="AF34" s="70" t="e">
        <v>#N/A</v>
      </c>
      <c r="AG34" s="77" t="e">
        <v>#N/A</v>
      </c>
      <c r="AH34" s="170" t="e">
        <v>#N/A</v>
      </c>
      <c r="AI34" s="171" t="e">
        <v>#N/A</v>
      </c>
      <c r="AJ34" s="173" t="e">
        <f t="shared" si="4"/>
        <v>#N/A</v>
      </c>
      <c r="AK34" s="80" t="e">
        <v>#N/A</v>
      </c>
      <c r="AL34" s="162" t="e">
        <f t="shared" si="5"/>
        <v>#N/A</v>
      </c>
      <c r="AM34" s="162"/>
    </row>
    <row r="35" spans="1:39" ht="11.25" customHeight="1" x14ac:dyDescent="0.2">
      <c r="A35" s="59" t="s">
        <v>118</v>
      </c>
      <c r="B35" s="60" t="s">
        <v>100</v>
      </c>
      <c r="C35" s="61" t="s">
        <v>6</v>
      </c>
      <c r="D35" s="61" t="s">
        <v>8</v>
      </c>
      <c r="E35" s="61" t="s">
        <v>7</v>
      </c>
      <c r="F35" s="61" t="s">
        <v>125</v>
      </c>
      <c r="G35" s="61" t="str">
        <f t="shared" si="13"/>
        <v>Euribor1Y</v>
      </c>
      <c r="H35" s="59" t="str">
        <f t="shared" si="14"/>
        <v>EUR6E12E14Y_LCHQuote</v>
      </c>
      <c r="I35" s="127">
        <v>0</v>
      </c>
      <c r="J35" s="64"/>
      <c r="K35" s="64"/>
      <c r="L35" s="48"/>
      <c r="M35" s="10" t="str">
        <f t="shared" si="10"/>
        <v>BasSw</v>
      </c>
      <c r="N35" s="94" t="str">
        <f t="shared" si="11"/>
        <v>--</v>
      </c>
      <c r="O35" s="94" t="str">
        <f t="shared" si="12"/>
        <v>--</v>
      </c>
      <c r="P35" s="146" t="str">
        <f>IFERROR(_xll.qlRateHelperQuoteName(N35,Trigger),"--")</f>
        <v>--</v>
      </c>
      <c r="Q35" s="98" t="str">
        <f>IFERROR(_xll.qlRateHelperQuoteValue($N35,Trigger),"--")</f>
        <v>--</v>
      </c>
      <c r="R35" s="97" t="b">
        <v>0</v>
      </c>
      <c r="S35" s="94">
        <v>20</v>
      </c>
      <c r="T35" s="94">
        <v>1</v>
      </c>
      <c r="U35" s="99" t="str">
        <f>IFERROR(_xll.qlRateHelperEarliestDate(N35,Trigger),"--")</f>
        <v>--</v>
      </c>
      <c r="V35" s="99" t="str">
        <f>IFERROR(_xll.qlRateHelperPillarDate(N35,Trigger),"--")</f>
        <v>--</v>
      </c>
      <c r="X35" s="4" t="str">
        <f t="shared" ref="X35:X51" si="15">IFERROR(INDEX($M$3:$M$51,MATCH(AA35,$P$3:$P$51,0),1),"")</f>
        <v/>
      </c>
      <c r="Y35" s="4" t="e">
        <v>#N/A</v>
      </c>
      <c r="Z35" s="4" t="e">
        <v>#N/A</v>
      </c>
      <c r="AA35" s="4" t="str">
        <f>IFERROR(_xll.qlRateHelperQuoteName(Y35,Trigger),"")</f>
        <v/>
      </c>
      <c r="AB35" s="70" t="str">
        <f>IFERROR(_xll.qlRateHelperRate(Y35,Trigger),"")</f>
        <v/>
      </c>
      <c r="AC35" s="104" t="str">
        <f>IF(ISERROR(_xll.qlSwapRateHelperSpread($Y35)),IF(ISERROR(_xll.qlFuturesRateHelperConvexityAdjustment($Y35)),"",_xll.qlFuturesRateHelperConvexityAdjustment($Y35)),_xll.qlSwapRateHelperSpread($Y35))</f>
        <v/>
      </c>
      <c r="AD35" s="5" t="str">
        <f>IFERROR(_xll.qlRateHelperEarliestDate(Y35,Trigger),"")</f>
        <v/>
      </c>
      <c r="AE35" s="5" t="str">
        <f>IFERROR(_xll.qlRateHelperPillarDate(Y35,Trigger),"")</f>
        <v/>
      </c>
      <c r="AF35" s="70" t="e">
        <v>#N/A</v>
      </c>
      <c r="AG35" s="77" t="e">
        <v>#N/A</v>
      </c>
      <c r="AH35" s="170" t="e">
        <v>#N/A</v>
      </c>
      <c r="AI35" s="171" t="e">
        <v>#N/A</v>
      </c>
      <c r="AJ35" s="173" t="e">
        <f t="shared" si="4"/>
        <v>#N/A</v>
      </c>
      <c r="AK35" s="80" t="e">
        <v>#N/A</v>
      </c>
      <c r="AL35" s="162" t="e">
        <f t="shared" si="5"/>
        <v>#N/A</v>
      </c>
    </row>
    <row r="36" spans="1:39" ht="11.25" customHeight="1" x14ac:dyDescent="0.2">
      <c r="A36" s="59" t="s">
        <v>118</v>
      </c>
      <c r="B36" s="60" t="s">
        <v>62</v>
      </c>
      <c r="C36" s="61" t="s">
        <v>6</v>
      </c>
      <c r="D36" s="61" t="s">
        <v>8</v>
      </c>
      <c r="E36" s="61" t="s">
        <v>7</v>
      </c>
      <c r="F36" s="61" t="s">
        <v>125</v>
      </c>
      <c r="G36" s="61" t="str">
        <f t="shared" si="13"/>
        <v>Euribor1Y</v>
      </c>
      <c r="H36" s="59" t="str">
        <f t="shared" si="14"/>
        <v>EUR6E12E15Y_LCHQuote</v>
      </c>
      <c r="I36" s="127">
        <v>0</v>
      </c>
      <c r="J36" s="64" t="str">
        <f>_xll.qlSwapRateHelper2(,$H36,2,$B36,Calendar,$D36,$E36,$F36,$G36,$I36,$C36,Discounting1,PillarDate,,Permanent,Trigger,ObjectOverwrite)</f>
        <v>obj_005dd#0005</v>
      </c>
      <c r="K36" s="64" t="str">
        <f>_xll.qlSwapRateHelper2(,$H36,2,$B36,Calendar,$D36,$E36,$F36,$G36,$I36,$C36,Discounting2,PillarDate,,Permanent,Trigger,ObjectOverwrite)</f>
        <v>obj_005e8#0005</v>
      </c>
      <c r="L36" s="48"/>
      <c r="M36" s="10" t="str">
        <f t="shared" si="10"/>
        <v>BasSw</v>
      </c>
      <c r="N36" s="94" t="str">
        <f t="shared" si="11"/>
        <v>--</v>
      </c>
      <c r="O36" s="94" t="str">
        <f t="shared" si="12"/>
        <v>--</v>
      </c>
      <c r="P36" s="146" t="str">
        <f>IFERROR(_xll.qlRateHelperQuoteName(N36,Trigger),"--")</f>
        <v>--</v>
      </c>
      <c r="Q36" s="98" t="str">
        <f>IFERROR(_xll.qlRateHelperQuoteValue($N36,Trigger),"--")</f>
        <v>--</v>
      </c>
      <c r="R36" s="97" t="b">
        <v>0</v>
      </c>
      <c r="S36" s="94">
        <v>20</v>
      </c>
      <c r="T36" s="94">
        <v>1</v>
      </c>
      <c r="U36" s="99" t="str">
        <f>IFERROR(_xll.qlRateHelperEarliestDate(N36,Trigger),"--")</f>
        <v>--</v>
      </c>
      <c r="V36" s="99" t="str">
        <f>IFERROR(_xll.qlRateHelperPillarDate(N36,Trigger),"--")</f>
        <v>--</v>
      </c>
      <c r="X36" s="4" t="str">
        <f t="shared" si="15"/>
        <v/>
      </c>
      <c r="Y36" s="4" t="e">
        <v>#N/A</v>
      </c>
      <c r="Z36" s="4" t="e">
        <v>#N/A</v>
      </c>
      <c r="AA36" s="4" t="str">
        <f>IFERROR(_xll.qlRateHelperQuoteName(Y36,Trigger),"")</f>
        <v/>
      </c>
      <c r="AB36" s="70" t="str">
        <f>IFERROR(_xll.qlRateHelperRate(Y36,Trigger),"")</f>
        <v/>
      </c>
      <c r="AC36" s="104" t="str">
        <f>IF(ISERROR(_xll.qlSwapRateHelperSpread($Y36)),IF(ISERROR(_xll.qlFuturesRateHelperConvexityAdjustment($Y36)),"",_xll.qlFuturesRateHelperConvexityAdjustment($Y36)),_xll.qlSwapRateHelperSpread($Y36))</f>
        <v/>
      </c>
      <c r="AD36" s="5" t="str">
        <f>IFERROR(_xll.qlRateHelperEarliestDate(Y36,Trigger),"")</f>
        <v/>
      </c>
      <c r="AE36" s="5" t="str">
        <f>IFERROR(_xll.qlRateHelperPillarDate(Y36,Trigger),"")</f>
        <v/>
      </c>
      <c r="AF36" s="70" t="e">
        <v>#N/A</v>
      </c>
      <c r="AG36" s="77" t="e">
        <v>#N/A</v>
      </c>
      <c r="AH36" s="170" t="e">
        <v>#N/A</v>
      </c>
      <c r="AI36" s="171" t="e">
        <v>#N/A</v>
      </c>
      <c r="AJ36" s="173" t="e">
        <f t="shared" si="4"/>
        <v>#N/A</v>
      </c>
      <c r="AK36" s="80" t="e">
        <v>#N/A</v>
      </c>
      <c r="AL36" s="162" t="e">
        <f t="shared" si="5"/>
        <v>#N/A</v>
      </c>
    </row>
    <row r="37" spans="1:39" ht="11.25" customHeight="1" x14ac:dyDescent="0.2">
      <c r="A37" s="59" t="s">
        <v>118</v>
      </c>
      <c r="B37" s="60" t="s">
        <v>101</v>
      </c>
      <c r="C37" s="61" t="s">
        <v>6</v>
      </c>
      <c r="D37" s="61" t="s">
        <v>8</v>
      </c>
      <c r="E37" s="61" t="s">
        <v>7</v>
      </c>
      <c r="F37" s="61" t="s">
        <v>125</v>
      </c>
      <c r="G37" s="61" t="str">
        <f t="shared" si="13"/>
        <v>Euribor1Y</v>
      </c>
      <c r="H37" s="59" t="str">
        <f t="shared" si="14"/>
        <v>EUR6E12E16Y_LCHQuote</v>
      </c>
      <c r="I37" s="127">
        <v>0</v>
      </c>
      <c r="J37" s="64"/>
      <c r="K37" s="64"/>
      <c r="L37" s="48"/>
      <c r="M37" s="10" t="str">
        <f t="shared" si="10"/>
        <v>BasSw</v>
      </c>
      <c r="N37" s="94" t="str">
        <f t="shared" si="11"/>
        <v>obj_005d8#0005</v>
      </c>
      <c r="O37" s="94" t="str">
        <f t="shared" si="12"/>
        <v>obj_005da#0005</v>
      </c>
      <c r="P37" s="146" t="str">
        <f>IFERROR(_xll.qlRateHelperQuoteName(N37,Trigger),"--")</f>
        <v>EUR6E12E20Y_LCHQuote</v>
      </c>
      <c r="Q37" s="98">
        <f>IFERROR(_xll.qlRateHelperQuoteValue($N37,Trigger),"--")</f>
        <v>1.7017500000000001E-2</v>
      </c>
      <c r="R37" s="97" t="b">
        <v>1</v>
      </c>
      <c r="S37" s="94">
        <v>20</v>
      </c>
      <c r="T37" s="94">
        <v>1</v>
      </c>
      <c r="U37" s="99">
        <f>IFERROR(_xll.qlRateHelperEarliestDate(N37,Trigger),"--")</f>
        <v>42250</v>
      </c>
      <c r="V37" s="99">
        <f>IFERROR(_xll.qlRateHelperPillarDate(N37,Trigger),"--")</f>
        <v>49555</v>
      </c>
      <c r="X37" s="4" t="str">
        <f t="shared" si="15"/>
        <v/>
      </c>
      <c r="Y37" s="4" t="e">
        <v>#N/A</v>
      </c>
      <c r="Z37" s="4" t="e">
        <v>#N/A</v>
      </c>
      <c r="AA37" s="4" t="str">
        <f>IFERROR(_xll.qlRateHelperQuoteName(Y37,Trigger),"")</f>
        <v/>
      </c>
      <c r="AB37" s="70" t="str">
        <f>IFERROR(_xll.qlRateHelperRate(Y37,Trigger),"")</f>
        <v/>
      </c>
      <c r="AC37" s="104" t="str">
        <f>IF(ISERROR(_xll.qlSwapRateHelperSpread($Y37)),IF(ISERROR(_xll.qlFuturesRateHelperConvexityAdjustment($Y37)),"",_xll.qlFuturesRateHelperConvexityAdjustment($Y37)),_xll.qlSwapRateHelperSpread($Y37))</f>
        <v/>
      </c>
      <c r="AD37" s="5" t="str">
        <f>IFERROR(_xll.qlRateHelperEarliestDate(Y37,Trigger),"")</f>
        <v/>
      </c>
      <c r="AE37" s="5" t="str">
        <f>IFERROR(_xll.qlRateHelperPillarDate(Y37,Trigger),"")</f>
        <v/>
      </c>
      <c r="AF37" s="70" t="e">
        <v>#N/A</v>
      </c>
      <c r="AG37" s="77" t="e">
        <v>#N/A</v>
      </c>
      <c r="AH37" s="170" t="e">
        <v>#N/A</v>
      </c>
      <c r="AI37" s="171" t="e">
        <v>#N/A</v>
      </c>
      <c r="AJ37" s="173" t="e">
        <f t="shared" si="4"/>
        <v>#N/A</v>
      </c>
      <c r="AK37" s="80" t="e">
        <v>#N/A</v>
      </c>
      <c r="AL37" s="162" t="e">
        <f t="shared" si="5"/>
        <v>#N/A</v>
      </c>
    </row>
    <row r="38" spans="1:39" ht="11.25" customHeight="1" x14ac:dyDescent="0.2">
      <c r="A38" s="59" t="s">
        <v>118</v>
      </c>
      <c r="B38" s="60" t="s">
        <v>102</v>
      </c>
      <c r="C38" s="61" t="s">
        <v>6</v>
      </c>
      <c r="D38" s="61" t="s">
        <v>8</v>
      </c>
      <c r="E38" s="61" t="s">
        <v>7</v>
      </c>
      <c r="F38" s="61" t="s">
        <v>125</v>
      </c>
      <c r="G38" s="61" t="str">
        <f t="shared" si="13"/>
        <v>Euribor1Y</v>
      </c>
      <c r="H38" s="59" t="str">
        <f t="shared" si="14"/>
        <v>EUR6E12E17Y_LCHQuote</v>
      </c>
      <c r="I38" s="127">
        <v>0</v>
      </c>
      <c r="J38" s="64"/>
      <c r="K38" s="64"/>
      <c r="L38" s="48"/>
      <c r="M38" s="10" t="str">
        <f t="shared" si="10"/>
        <v>BasSw</v>
      </c>
      <c r="N38" s="94" t="str">
        <f t="shared" si="11"/>
        <v>--</v>
      </c>
      <c r="O38" s="94" t="str">
        <f t="shared" si="12"/>
        <v>--</v>
      </c>
      <c r="P38" s="146" t="str">
        <f>IFERROR(_xll.qlRateHelperQuoteName(N38,Trigger),"--")</f>
        <v>--</v>
      </c>
      <c r="Q38" s="98" t="str">
        <f>IFERROR(_xll.qlRateHelperQuoteValue($N38,Trigger),"--")</f>
        <v>--</v>
      </c>
      <c r="R38" s="97" t="b">
        <v>0</v>
      </c>
      <c r="S38" s="94">
        <v>20</v>
      </c>
      <c r="T38" s="94">
        <v>1</v>
      </c>
      <c r="U38" s="99" t="str">
        <f>IFERROR(_xll.qlRateHelperEarliestDate(N38,Trigger),"--")</f>
        <v>--</v>
      </c>
      <c r="V38" s="99" t="str">
        <f>IFERROR(_xll.qlRateHelperPillarDate(N38,Trigger),"--")</f>
        <v>--</v>
      </c>
      <c r="X38" s="4" t="str">
        <f t="shared" si="15"/>
        <v/>
      </c>
      <c r="Y38" s="4" t="e">
        <v>#N/A</v>
      </c>
      <c r="Z38" s="4" t="e">
        <v>#N/A</v>
      </c>
      <c r="AA38" s="4" t="str">
        <f>IFERROR(_xll.qlRateHelperQuoteName(Y38,Trigger),"")</f>
        <v/>
      </c>
      <c r="AB38" s="70" t="str">
        <f>IFERROR(_xll.qlRateHelperRate(Y38,Trigger),"")</f>
        <v/>
      </c>
      <c r="AC38" s="104" t="str">
        <f>IF(ISERROR(_xll.qlSwapRateHelperSpread($Y38)),IF(ISERROR(_xll.qlFuturesRateHelperConvexityAdjustment($Y38)),"",_xll.qlFuturesRateHelperConvexityAdjustment($Y38)),_xll.qlSwapRateHelperSpread($Y38))</f>
        <v/>
      </c>
      <c r="AD38" s="5" t="str">
        <f>IFERROR(_xll.qlRateHelperEarliestDate(Y38,Trigger),"")</f>
        <v/>
      </c>
      <c r="AE38" s="5" t="str">
        <f>IFERROR(_xll.qlRateHelperPillarDate(Y38,Trigger),"")</f>
        <v/>
      </c>
      <c r="AF38" s="70" t="e">
        <v>#N/A</v>
      </c>
      <c r="AG38" s="77" t="e">
        <v>#N/A</v>
      </c>
      <c r="AH38" s="170" t="e">
        <v>#N/A</v>
      </c>
      <c r="AI38" s="171" t="e">
        <v>#N/A</v>
      </c>
      <c r="AJ38" s="173" t="e">
        <f t="shared" si="4"/>
        <v>#N/A</v>
      </c>
      <c r="AK38" s="80" t="e">
        <v>#N/A</v>
      </c>
      <c r="AL38" s="162" t="e">
        <f t="shared" si="5"/>
        <v>#N/A</v>
      </c>
    </row>
    <row r="39" spans="1:39" ht="11.25" customHeight="1" x14ac:dyDescent="0.2">
      <c r="A39" s="59" t="s">
        <v>118</v>
      </c>
      <c r="B39" s="60" t="s">
        <v>103</v>
      </c>
      <c r="C39" s="61" t="s">
        <v>6</v>
      </c>
      <c r="D39" s="61" t="s">
        <v>8</v>
      </c>
      <c r="E39" s="61" t="s">
        <v>7</v>
      </c>
      <c r="F39" s="61" t="s">
        <v>125</v>
      </c>
      <c r="G39" s="61" t="str">
        <f t="shared" si="13"/>
        <v>Euribor1Y</v>
      </c>
      <c r="H39" s="59" t="str">
        <f t="shared" si="14"/>
        <v>EUR6E12E18Y_LCHQuote</v>
      </c>
      <c r="I39" s="127">
        <v>0</v>
      </c>
      <c r="J39" s="64"/>
      <c r="K39" s="64"/>
      <c r="L39" s="48"/>
      <c r="M39" s="10" t="str">
        <f t="shared" si="10"/>
        <v>BasSw</v>
      </c>
      <c r="N39" s="94" t="str">
        <f t="shared" si="11"/>
        <v>--</v>
      </c>
      <c r="O39" s="94" t="str">
        <f t="shared" si="12"/>
        <v>--</v>
      </c>
      <c r="P39" s="146" t="str">
        <f>IFERROR(_xll.qlRateHelperQuoteName(N39,Trigger),"--")</f>
        <v>--</v>
      </c>
      <c r="Q39" s="98" t="str">
        <f>IFERROR(_xll.qlRateHelperQuoteValue($N39,Trigger),"--")</f>
        <v>--</v>
      </c>
      <c r="R39" s="97" t="b">
        <v>0</v>
      </c>
      <c r="S39" s="94">
        <v>20</v>
      </c>
      <c r="T39" s="94">
        <v>1</v>
      </c>
      <c r="U39" s="99" t="str">
        <f>IFERROR(_xll.qlRateHelperEarliestDate(N39,Trigger),"--")</f>
        <v>--</v>
      </c>
      <c r="V39" s="99" t="str">
        <f>IFERROR(_xll.qlRateHelperPillarDate(N39,Trigger),"--")</f>
        <v>--</v>
      </c>
      <c r="X39" s="4" t="str">
        <f t="shared" si="15"/>
        <v/>
      </c>
      <c r="Y39" s="4" t="e">
        <v>#N/A</v>
      </c>
      <c r="Z39" s="4" t="e">
        <v>#N/A</v>
      </c>
      <c r="AA39" s="4" t="str">
        <f>IFERROR(_xll.qlRateHelperQuoteName(Y39,Trigger),"")</f>
        <v/>
      </c>
      <c r="AB39" s="70" t="str">
        <f>IFERROR(_xll.qlRateHelperRate(Y39,Trigger),"")</f>
        <v/>
      </c>
      <c r="AC39" s="104" t="str">
        <f>IF(ISERROR(_xll.qlSwapRateHelperSpread($Y39)),IF(ISERROR(_xll.qlFuturesRateHelperConvexityAdjustment($Y39)),"",_xll.qlFuturesRateHelperConvexityAdjustment($Y39)),_xll.qlSwapRateHelperSpread($Y39))</f>
        <v/>
      </c>
      <c r="AD39" s="5" t="str">
        <f>IFERROR(_xll.qlRateHelperEarliestDate(Y39,Trigger),"")</f>
        <v/>
      </c>
      <c r="AE39" s="5" t="str">
        <f>IFERROR(_xll.qlRateHelperPillarDate(Y39,Trigger),"")</f>
        <v/>
      </c>
      <c r="AF39" s="70" t="e">
        <v>#N/A</v>
      </c>
      <c r="AG39" s="77" t="e">
        <v>#N/A</v>
      </c>
      <c r="AH39" s="170" t="e">
        <v>#N/A</v>
      </c>
      <c r="AI39" s="171" t="e">
        <v>#N/A</v>
      </c>
      <c r="AJ39" s="173" t="e">
        <f t="shared" si="4"/>
        <v>#N/A</v>
      </c>
      <c r="AK39" s="80" t="e">
        <v>#N/A</v>
      </c>
      <c r="AL39" s="162" t="e">
        <f t="shared" si="5"/>
        <v>#N/A</v>
      </c>
    </row>
    <row r="40" spans="1:39" ht="11.25" customHeight="1" x14ac:dyDescent="0.2">
      <c r="A40" s="59" t="s">
        <v>118</v>
      </c>
      <c r="B40" s="60" t="s">
        <v>104</v>
      </c>
      <c r="C40" s="61" t="s">
        <v>6</v>
      </c>
      <c r="D40" s="61" t="s">
        <v>8</v>
      </c>
      <c r="E40" s="61" t="s">
        <v>7</v>
      </c>
      <c r="F40" s="61" t="s">
        <v>125</v>
      </c>
      <c r="G40" s="61" t="str">
        <f t="shared" si="13"/>
        <v>Euribor1Y</v>
      </c>
      <c r="H40" s="59" t="str">
        <f t="shared" si="14"/>
        <v>EUR6E12E19Y_LCHQuote</v>
      </c>
      <c r="I40" s="127">
        <v>0</v>
      </c>
      <c r="J40" s="64"/>
      <c r="K40" s="64"/>
      <c r="L40" s="48"/>
      <c r="M40" s="10" t="str">
        <f t="shared" si="10"/>
        <v>BasSw</v>
      </c>
      <c r="N40" s="94" t="str">
        <f t="shared" si="11"/>
        <v>--</v>
      </c>
      <c r="O40" s="94" t="str">
        <f t="shared" si="12"/>
        <v>--</v>
      </c>
      <c r="P40" s="146" t="str">
        <f>IFERROR(_xll.qlRateHelperQuoteName(N40,Trigger),"--")</f>
        <v>--</v>
      </c>
      <c r="Q40" s="98" t="str">
        <f>IFERROR(_xll.qlRateHelperQuoteValue($N40,Trigger),"--")</f>
        <v>--</v>
      </c>
      <c r="R40" s="97" t="b">
        <v>0</v>
      </c>
      <c r="S40" s="94">
        <v>20</v>
      </c>
      <c r="T40" s="94">
        <v>1</v>
      </c>
      <c r="U40" s="99" t="str">
        <f>IFERROR(_xll.qlRateHelperEarliestDate(N40,Trigger),"--")</f>
        <v>--</v>
      </c>
      <c r="V40" s="99" t="str">
        <f>IFERROR(_xll.qlRateHelperPillarDate(N40,Trigger),"--")</f>
        <v>--</v>
      </c>
      <c r="X40" s="4" t="str">
        <f t="shared" si="15"/>
        <v/>
      </c>
      <c r="Y40" s="4" t="e">
        <v>#N/A</v>
      </c>
      <c r="Z40" s="4" t="e">
        <v>#N/A</v>
      </c>
      <c r="AA40" s="4" t="str">
        <f>IFERROR(_xll.qlRateHelperQuoteName(Y40,Trigger),"")</f>
        <v/>
      </c>
      <c r="AB40" s="70" t="str">
        <f>IFERROR(_xll.qlRateHelperRate(Y40,Trigger),"")</f>
        <v/>
      </c>
      <c r="AC40" s="104" t="str">
        <f>IF(ISERROR(_xll.qlSwapRateHelperSpread($Y40)),IF(ISERROR(_xll.qlFuturesRateHelperConvexityAdjustment($Y40)),"",_xll.qlFuturesRateHelperConvexityAdjustment($Y40)),_xll.qlSwapRateHelperSpread($Y40))</f>
        <v/>
      </c>
      <c r="AD40" s="5" t="str">
        <f>IFERROR(_xll.qlRateHelperEarliestDate(Y40,Trigger),"")</f>
        <v/>
      </c>
      <c r="AE40" s="5" t="str">
        <f>IFERROR(_xll.qlRateHelperPillarDate(Y40,Trigger),"")</f>
        <v/>
      </c>
      <c r="AF40" s="70" t="e">
        <v>#N/A</v>
      </c>
      <c r="AG40" s="77" t="e">
        <v>#N/A</v>
      </c>
      <c r="AH40" s="170" t="e">
        <v>#N/A</v>
      </c>
      <c r="AI40" s="171" t="e">
        <v>#N/A</v>
      </c>
      <c r="AJ40" s="173" t="e">
        <f t="shared" si="4"/>
        <v>#N/A</v>
      </c>
      <c r="AK40" s="80" t="e">
        <v>#N/A</v>
      </c>
      <c r="AL40" s="162" t="e">
        <f t="shared" si="5"/>
        <v>#N/A</v>
      </c>
    </row>
    <row r="41" spans="1:39" ht="11.25" customHeight="1" x14ac:dyDescent="0.2">
      <c r="A41" s="59" t="s">
        <v>118</v>
      </c>
      <c r="B41" s="60" t="s">
        <v>63</v>
      </c>
      <c r="C41" s="61" t="s">
        <v>6</v>
      </c>
      <c r="D41" s="61" t="s">
        <v>8</v>
      </c>
      <c r="E41" s="61" t="s">
        <v>7</v>
      </c>
      <c r="F41" s="61" t="s">
        <v>125</v>
      </c>
      <c r="G41" s="61" t="str">
        <f t="shared" si="13"/>
        <v>Euribor1Y</v>
      </c>
      <c r="H41" s="59" t="str">
        <f t="shared" si="14"/>
        <v>EUR6E12E20Y_LCHQuote</v>
      </c>
      <c r="I41" s="127">
        <v>0</v>
      </c>
      <c r="J41" s="64" t="str">
        <f>_xll.qlSwapRateHelper2(,$H41,2,$B41,Calendar,$D41,$E41,$F41,$G41,$I41,$C41,Discounting1,PillarDate,,Permanent,Trigger,ObjectOverwrite)</f>
        <v>obj_005d8#0005</v>
      </c>
      <c r="K41" s="64" t="str">
        <f>_xll.qlSwapRateHelper2(,$H41,2,$B41,Calendar,$D41,$E41,$F41,$G41,$I41,$C41,Discounting2,PillarDate,,Permanent,Trigger,ObjectOverwrite)</f>
        <v>obj_005da#0005</v>
      </c>
      <c r="M41" s="10" t="str">
        <f t="shared" si="10"/>
        <v>BasSw</v>
      </c>
      <c r="N41" s="94" t="str">
        <f t="shared" si="11"/>
        <v>--</v>
      </c>
      <c r="O41" s="94" t="str">
        <f t="shared" si="12"/>
        <v>--</v>
      </c>
      <c r="P41" s="146" t="str">
        <f>IFERROR(_xll.qlRateHelperQuoteName(N41,Trigger),"--")</f>
        <v>--</v>
      </c>
      <c r="Q41" s="98" t="str">
        <f>IFERROR(_xll.qlRateHelperQuoteValue($N41,Trigger),"--")</f>
        <v>--</v>
      </c>
      <c r="R41" s="97" t="b">
        <v>0</v>
      </c>
      <c r="S41" s="94">
        <v>20</v>
      </c>
      <c r="T41" s="94">
        <v>1</v>
      </c>
      <c r="U41" s="99" t="str">
        <f>IFERROR(_xll.qlRateHelperEarliestDate(N41,Trigger),"--")</f>
        <v>--</v>
      </c>
      <c r="V41" s="99" t="str">
        <f>IFERROR(_xll.qlRateHelperPillarDate(N41,Trigger),"--")</f>
        <v>--</v>
      </c>
      <c r="X41" s="4" t="str">
        <f t="shared" si="15"/>
        <v/>
      </c>
      <c r="Y41" s="4" t="e">
        <v>#N/A</v>
      </c>
      <c r="Z41" s="4" t="e">
        <v>#N/A</v>
      </c>
      <c r="AA41" s="4" t="str">
        <f>IFERROR(_xll.qlRateHelperQuoteName(Y41,Trigger),"")</f>
        <v/>
      </c>
      <c r="AB41" s="70" t="str">
        <f>IFERROR(_xll.qlRateHelperRate(Y41,Trigger),"")</f>
        <v/>
      </c>
      <c r="AC41" s="104" t="str">
        <f>IF(ISERROR(_xll.qlSwapRateHelperSpread($Y41)),IF(ISERROR(_xll.qlFuturesRateHelperConvexityAdjustment($Y41)),"",_xll.qlFuturesRateHelperConvexityAdjustment($Y41)),_xll.qlSwapRateHelperSpread($Y41))</f>
        <v/>
      </c>
      <c r="AD41" s="5" t="str">
        <f>IFERROR(_xll.qlRateHelperEarliestDate(Y41,Trigger),"")</f>
        <v/>
      </c>
      <c r="AE41" s="5" t="str">
        <f>IFERROR(_xll.qlRateHelperPillarDate(Y41,Trigger),"")</f>
        <v/>
      </c>
      <c r="AF41" s="70" t="e">
        <v>#N/A</v>
      </c>
      <c r="AG41" s="77" t="e">
        <v>#N/A</v>
      </c>
      <c r="AH41" s="170" t="e">
        <v>#N/A</v>
      </c>
      <c r="AI41" s="171" t="e">
        <v>#N/A</v>
      </c>
      <c r="AJ41" s="173" t="e">
        <f t="shared" si="4"/>
        <v>#N/A</v>
      </c>
      <c r="AK41" s="80" t="e">
        <v>#N/A</v>
      </c>
      <c r="AL41" s="162" t="e">
        <f t="shared" si="5"/>
        <v>#N/A</v>
      </c>
    </row>
    <row r="42" spans="1:39" ht="11.25" customHeight="1" x14ac:dyDescent="0.2">
      <c r="A42" s="59" t="s">
        <v>118</v>
      </c>
      <c r="B42" s="60" t="s">
        <v>105</v>
      </c>
      <c r="C42" s="61" t="s">
        <v>6</v>
      </c>
      <c r="D42" s="61" t="s">
        <v>8</v>
      </c>
      <c r="E42" s="61" t="s">
        <v>7</v>
      </c>
      <c r="F42" s="61" t="s">
        <v>125</v>
      </c>
      <c r="G42" s="61" t="str">
        <f t="shared" si="13"/>
        <v>Euribor1Y</v>
      </c>
      <c r="H42" s="59" t="str">
        <f t="shared" si="14"/>
        <v>EUR6E12E21Y_LCHQuote</v>
      </c>
      <c r="I42" s="127">
        <v>0</v>
      </c>
      <c r="J42" s="64"/>
      <c r="K42" s="64"/>
      <c r="M42" s="10" t="str">
        <f t="shared" si="10"/>
        <v>BasSw</v>
      </c>
      <c r="N42" s="94" t="str">
        <f t="shared" si="11"/>
        <v>obj_005cc#0005</v>
      </c>
      <c r="O42" s="94" t="str">
        <f t="shared" si="12"/>
        <v>obj_005d4#0005</v>
      </c>
      <c r="P42" s="146" t="str">
        <f>IFERROR(_xll.qlRateHelperQuoteName(N42,Trigger),"--")</f>
        <v>EUR6E12E25Y_LCHQuote</v>
      </c>
      <c r="Q42" s="98">
        <f>IFERROR(_xll.qlRateHelperQuoteValue($N42,Trigger),"--")</f>
        <v>1.7248833299999999E-2</v>
      </c>
      <c r="R42" s="97" t="b">
        <v>1</v>
      </c>
      <c r="S42" s="94">
        <v>20</v>
      </c>
      <c r="T42" s="94">
        <v>1</v>
      </c>
      <c r="U42" s="99">
        <f>IFERROR(_xll.qlRateHelperEarliestDate(N42,Trigger),"--")</f>
        <v>42250</v>
      </c>
      <c r="V42" s="99">
        <f>IFERROR(_xll.qlRateHelperPillarDate(N42,Trigger),"--")</f>
        <v>51382</v>
      </c>
      <c r="X42" s="4" t="str">
        <f t="shared" si="15"/>
        <v/>
      </c>
      <c r="Y42" s="4" t="e">
        <v>#N/A</v>
      </c>
      <c r="Z42" s="4" t="e">
        <v>#N/A</v>
      </c>
      <c r="AA42" s="4" t="str">
        <f>IFERROR(_xll.qlRateHelperQuoteName(Y42,Trigger),"")</f>
        <v/>
      </c>
      <c r="AB42" s="70" t="str">
        <f>IFERROR(_xll.qlRateHelperRate(Y42,Trigger),"")</f>
        <v/>
      </c>
      <c r="AC42" s="104" t="str">
        <f>IF(ISERROR(_xll.qlSwapRateHelperSpread($Y42)),IF(ISERROR(_xll.qlFuturesRateHelperConvexityAdjustment($Y42)),"",_xll.qlFuturesRateHelperConvexityAdjustment($Y42)),_xll.qlSwapRateHelperSpread($Y42))</f>
        <v/>
      </c>
      <c r="AD42" s="5" t="str">
        <f>IFERROR(_xll.qlRateHelperEarliestDate(Y42,Trigger),"")</f>
        <v/>
      </c>
      <c r="AE42" s="5" t="str">
        <f>IFERROR(_xll.qlRateHelperPillarDate(Y42,Trigger),"")</f>
        <v/>
      </c>
      <c r="AF42" s="70" t="e">
        <v>#N/A</v>
      </c>
      <c r="AG42" s="77" t="e">
        <v>#N/A</v>
      </c>
      <c r="AH42" s="170" t="e">
        <v>#N/A</v>
      </c>
      <c r="AI42" s="171" t="e">
        <v>#N/A</v>
      </c>
      <c r="AJ42" s="173" t="e">
        <f t="shared" si="4"/>
        <v>#N/A</v>
      </c>
      <c r="AK42" s="80" t="e">
        <v>#N/A</v>
      </c>
      <c r="AL42" s="162" t="e">
        <f t="shared" si="5"/>
        <v>#N/A</v>
      </c>
    </row>
    <row r="43" spans="1:39" ht="11.25" customHeight="1" x14ac:dyDescent="0.2">
      <c r="A43" s="59" t="s">
        <v>118</v>
      </c>
      <c r="B43" s="60" t="s">
        <v>106</v>
      </c>
      <c r="C43" s="61" t="s">
        <v>6</v>
      </c>
      <c r="D43" s="61" t="s">
        <v>8</v>
      </c>
      <c r="E43" s="61" t="s">
        <v>7</v>
      </c>
      <c r="F43" s="61" t="s">
        <v>125</v>
      </c>
      <c r="G43" s="61" t="str">
        <f t="shared" si="13"/>
        <v>Euribor1Y</v>
      </c>
      <c r="H43" s="59" t="str">
        <f t="shared" si="14"/>
        <v>EUR6E12E22Y_LCHQuote</v>
      </c>
      <c r="I43" s="127">
        <v>0</v>
      </c>
      <c r="J43" s="64"/>
      <c r="K43" s="64"/>
      <c r="M43" s="10" t="str">
        <f t="shared" si="10"/>
        <v>BasSw</v>
      </c>
      <c r="N43" s="94" t="str">
        <f t="shared" si="11"/>
        <v>--</v>
      </c>
      <c r="O43" s="94" t="str">
        <f t="shared" si="12"/>
        <v>--</v>
      </c>
      <c r="P43" s="146" t="str">
        <f>IFERROR(_xll.qlRateHelperQuoteName(N43,Trigger),"--")</f>
        <v>--</v>
      </c>
      <c r="Q43" s="98" t="str">
        <f>IFERROR(_xll.qlRateHelperQuoteValue($N43,Trigger),"--")</f>
        <v>--</v>
      </c>
      <c r="R43" s="97" t="b">
        <v>0</v>
      </c>
      <c r="S43" s="94">
        <v>20</v>
      </c>
      <c r="T43" s="94">
        <v>1</v>
      </c>
      <c r="U43" s="99" t="str">
        <f>IFERROR(_xll.qlRateHelperEarliestDate(N43,Trigger),"--")</f>
        <v>--</v>
      </c>
      <c r="V43" s="99" t="str">
        <f>IFERROR(_xll.qlRateHelperPillarDate(N43,Trigger),"--")</f>
        <v>--</v>
      </c>
      <c r="X43" s="4" t="str">
        <f t="shared" si="15"/>
        <v/>
      </c>
      <c r="Y43" s="4" t="e">
        <v>#N/A</v>
      </c>
      <c r="Z43" s="4" t="e">
        <v>#N/A</v>
      </c>
      <c r="AA43" s="4" t="str">
        <f>IFERROR(_xll.qlRateHelperQuoteName(Y43,Trigger),"")</f>
        <v/>
      </c>
      <c r="AB43" s="70" t="str">
        <f>IFERROR(_xll.qlRateHelperRate(Y43,Trigger),"")</f>
        <v/>
      </c>
      <c r="AC43" s="104" t="str">
        <f>IF(ISERROR(_xll.qlSwapRateHelperSpread($Y43)),IF(ISERROR(_xll.qlFuturesRateHelperConvexityAdjustment($Y43)),"",_xll.qlFuturesRateHelperConvexityAdjustment($Y43)),_xll.qlSwapRateHelperSpread($Y43))</f>
        <v/>
      </c>
      <c r="AD43" s="5" t="str">
        <f>IFERROR(_xll.qlRateHelperEarliestDate(Y43,Trigger),"")</f>
        <v/>
      </c>
      <c r="AE43" s="5" t="str">
        <f>IFERROR(_xll.qlRateHelperPillarDate(Y43,Trigger),"")</f>
        <v/>
      </c>
      <c r="AF43" s="70" t="e">
        <v>#N/A</v>
      </c>
      <c r="AG43" s="77" t="e">
        <v>#N/A</v>
      </c>
      <c r="AH43" s="170" t="e">
        <v>#N/A</v>
      </c>
      <c r="AI43" s="171" t="e">
        <v>#N/A</v>
      </c>
      <c r="AJ43" s="173" t="e">
        <f t="shared" si="4"/>
        <v>#N/A</v>
      </c>
      <c r="AK43" s="80" t="e">
        <v>#N/A</v>
      </c>
      <c r="AL43" s="162" t="e">
        <f t="shared" si="5"/>
        <v>#N/A</v>
      </c>
    </row>
    <row r="44" spans="1:39" ht="11.25" customHeight="1" x14ac:dyDescent="0.2">
      <c r="A44" s="59" t="s">
        <v>118</v>
      </c>
      <c r="B44" s="60" t="s">
        <v>107</v>
      </c>
      <c r="C44" s="61" t="s">
        <v>6</v>
      </c>
      <c r="D44" s="61" t="s">
        <v>8</v>
      </c>
      <c r="E44" s="61" t="s">
        <v>7</v>
      </c>
      <c r="F44" s="61" t="s">
        <v>125</v>
      </c>
      <c r="G44" s="61" t="str">
        <f t="shared" si="13"/>
        <v>Euribor1Y</v>
      </c>
      <c r="H44" s="59" t="str">
        <f t="shared" si="14"/>
        <v>EUR6E12E23Y_LCHQuote</v>
      </c>
      <c r="I44" s="127">
        <v>0</v>
      </c>
      <c r="J44" s="64"/>
      <c r="K44" s="64"/>
      <c r="M44" s="10" t="str">
        <f t="shared" si="10"/>
        <v>BasSw</v>
      </c>
      <c r="N44" s="94" t="str">
        <f t="shared" si="11"/>
        <v>--</v>
      </c>
      <c r="O44" s="94" t="str">
        <f t="shared" si="12"/>
        <v>--</v>
      </c>
      <c r="P44" s="146" t="str">
        <f>IFERROR(_xll.qlRateHelperQuoteName(N44,Trigger),"--")</f>
        <v>--</v>
      </c>
      <c r="Q44" s="98" t="str">
        <f>IFERROR(_xll.qlRateHelperQuoteValue($N44,Trigger),"--")</f>
        <v>--</v>
      </c>
      <c r="R44" s="97" t="b">
        <v>0</v>
      </c>
      <c r="S44" s="94">
        <v>20</v>
      </c>
      <c r="T44" s="94">
        <v>1</v>
      </c>
      <c r="U44" s="99" t="str">
        <f>IFERROR(_xll.qlRateHelperEarliestDate(N44,Trigger),"--")</f>
        <v>--</v>
      </c>
      <c r="V44" s="99" t="str">
        <f>IFERROR(_xll.qlRateHelperPillarDate(N44,Trigger),"--")</f>
        <v>--</v>
      </c>
      <c r="X44" s="4" t="str">
        <f t="shared" si="15"/>
        <v/>
      </c>
      <c r="Y44" s="4" t="e">
        <v>#N/A</v>
      </c>
      <c r="Z44" s="4" t="e">
        <v>#N/A</v>
      </c>
      <c r="AA44" s="4" t="str">
        <f>IFERROR(_xll.qlRateHelperQuoteName(Y44,Trigger),"")</f>
        <v/>
      </c>
      <c r="AB44" s="70" t="str">
        <f>IFERROR(_xll.qlRateHelperRate(Y44,Trigger),"")</f>
        <v/>
      </c>
      <c r="AC44" s="104" t="str">
        <f>IF(ISERROR(_xll.qlSwapRateHelperSpread($Y44)),IF(ISERROR(_xll.qlFuturesRateHelperConvexityAdjustment($Y44)),"",_xll.qlFuturesRateHelperConvexityAdjustment($Y44)),_xll.qlSwapRateHelperSpread($Y44))</f>
        <v/>
      </c>
      <c r="AD44" s="5" t="str">
        <f>IFERROR(_xll.qlRateHelperEarliestDate(Y44,Trigger),"")</f>
        <v/>
      </c>
      <c r="AE44" s="5" t="str">
        <f>IFERROR(_xll.qlRateHelperPillarDate(Y44,Trigger),"")</f>
        <v/>
      </c>
      <c r="AF44" s="70" t="e">
        <v>#N/A</v>
      </c>
      <c r="AG44" s="77" t="e">
        <v>#N/A</v>
      </c>
      <c r="AH44" s="170" t="e">
        <v>#N/A</v>
      </c>
      <c r="AI44" s="171" t="e">
        <v>#N/A</v>
      </c>
      <c r="AJ44" s="173" t="e">
        <f t="shared" si="4"/>
        <v>#N/A</v>
      </c>
      <c r="AK44" s="80" t="e">
        <v>#N/A</v>
      </c>
      <c r="AL44" s="162" t="e">
        <f t="shared" si="5"/>
        <v>#N/A</v>
      </c>
    </row>
    <row r="45" spans="1:39" ht="11.25" customHeight="1" x14ac:dyDescent="0.2">
      <c r="A45" s="59" t="s">
        <v>118</v>
      </c>
      <c r="B45" s="60" t="s">
        <v>108</v>
      </c>
      <c r="C45" s="61" t="s">
        <v>6</v>
      </c>
      <c r="D45" s="61" t="s">
        <v>8</v>
      </c>
      <c r="E45" s="61" t="s">
        <v>7</v>
      </c>
      <c r="F45" s="61" t="s">
        <v>125</v>
      </c>
      <c r="G45" s="61" t="str">
        <f t="shared" si="13"/>
        <v>Euribor1Y</v>
      </c>
      <c r="H45" s="59" t="str">
        <f t="shared" si="14"/>
        <v>EUR6E12E24Y_LCHQuote</v>
      </c>
      <c r="I45" s="127">
        <v>0</v>
      </c>
      <c r="J45" s="64"/>
      <c r="K45" s="64"/>
      <c r="M45" s="10" t="str">
        <f t="shared" si="10"/>
        <v>BasSw</v>
      </c>
      <c r="N45" s="94" t="str">
        <f t="shared" si="11"/>
        <v>--</v>
      </c>
      <c r="O45" s="94" t="str">
        <f t="shared" si="12"/>
        <v>--</v>
      </c>
      <c r="P45" s="146" t="str">
        <f>IFERROR(_xll.qlRateHelperQuoteName(N45,Trigger),"--")</f>
        <v>--</v>
      </c>
      <c r="Q45" s="98" t="str">
        <f>IFERROR(_xll.qlRateHelperQuoteValue($N45,Trigger),"--")</f>
        <v>--</v>
      </c>
      <c r="R45" s="97" t="b">
        <v>0</v>
      </c>
      <c r="S45" s="94">
        <v>20</v>
      </c>
      <c r="T45" s="94">
        <v>1</v>
      </c>
      <c r="U45" s="99" t="str">
        <f>IFERROR(_xll.qlRateHelperEarliestDate(N45,Trigger),"--")</f>
        <v>--</v>
      </c>
      <c r="V45" s="99" t="str">
        <f>IFERROR(_xll.qlRateHelperPillarDate(N45,Trigger),"--")</f>
        <v>--</v>
      </c>
      <c r="X45" s="4" t="str">
        <f t="shared" si="15"/>
        <v/>
      </c>
      <c r="Y45" s="4" t="e">
        <v>#N/A</v>
      </c>
      <c r="Z45" s="4" t="e">
        <v>#N/A</v>
      </c>
      <c r="AA45" s="4" t="str">
        <f>IFERROR(_xll.qlRateHelperQuoteName(Y45,Trigger),"")</f>
        <v/>
      </c>
      <c r="AB45" s="70" t="str">
        <f>IFERROR(_xll.qlRateHelperRate(Y45,Trigger),"")</f>
        <v/>
      </c>
      <c r="AC45" s="104" t="str">
        <f>IF(ISERROR(_xll.qlSwapRateHelperSpread($Y45)),IF(ISERROR(_xll.qlFuturesRateHelperConvexityAdjustment($Y45)),"",_xll.qlFuturesRateHelperConvexityAdjustment($Y45)),_xll.qlSwapRateHelperSpread($Y45))</f>
        <v/>
      </c>
      <c r="AD45" s="5" t="str">
        <f>IFERROR(_xll.qlRateHelperEarliestDate(Y45,Trigger),"")</f>
        <v/>
      </c>
      <c r="AE45" s="5" t="str">
        <f>IFERROR(_xll.qlRateHelperPillarDate(Y45,Trigger),"")</f>
        <v/>
      </c>
      <c r="AF45" s="70" t="e">
        <v>#N/A</v>
      </c>
      <c r="AG45" s="77" t="e">
        <v>#N/A</v>
      </c>
      <c r="AH45" s="170" t="e">
        <v>#N/A</v>
      </c>
      <c r="AI45" s="171" t="e">
        <v>#N/A</v>
      </c>
      <c r="AJ45" s="173" t="e">
        <f t="shared" si="4"/>
        <v>#N/A</v>
      </c>
      <c r="AK45" s="80" t="e">
        <v>#N/A</v>
      </c>
      <c r="AL45" s="162" t="e">
        <f t="shared" si="5"/>
        <v>#N/A</v>
      </c>
    </row>
    <row r="46" spans="1:39" ht="11.25" customHeight="1" x14ac:dyDescent="0.2">
      <c r="A46" s="59" t="s">
        <v>118</v>
      </c>
      <c r="B46" s="60" t="s">
        <v>64</v>
      </c>
      <c r="C46" s="61" t="s">
        <v>6</v>
      </c>
      <c r="D46" s="61" t="s">
        <v>8</v>
      </c>
      <c r="E46" s="61" t="s">
        <v>7</v>
      </c>
      <c r="F46" s="61" t="s">
        <v>125</v>
      </c>
      <c r="G46" s="61" t="str">
        <f t="shared" si="13"/>
        <v>Euribor1Y</v>
      </c>
      <c r="H46" s="59" t="str">
        <f t="shared" si="14"/>
        <v>EUR6E12E25Y_LCHQuote</v>
      </c>
      <c r="I46" s="127">
        <v>0</v>
      </c>
      <c r="J46" s="64" t="str">
        <f>_xll.qlSwapRateHelper2(,$H46,2,$B46,Calendar,$D46,$E46,$F46,$G46,$I46,$C46,Discounting1,PillarDate,,Permanent,Trigger,ObjectOverwrite)</f>
        <v>obj_005cc#0005</v>
      </c>
      <c r="K46" s="64" t="str">
        <f>_xll.qlSwapRateHelper2(,$H46,2,$B46,Calendar,$D46,$E46,$F46,$G46,$I46,$C46,Discounting2,PillarDate,,Permanent,Trigger,ObjectOverwrite)</f>
        <v>obj_005d4#0005</v>
      </c>
      <c r="M46" s="10" t="str">
        <f t="shared" si="10"/>
        <v>BasSw</v>
      </c>
      <c r="N46" s="94" t="str">
        <f t="shared" si="11"/>
        <v>--</v>
      </c>
      <c r="O46" s="94" t="str">
        <f t="shared" si="12"/>
        <v>--</v>
      </c>
      <c r="P46" s="146" t="str">
        <f>IFERROR(_xll.qlRateHelperQuoteName(N46,Trigger),"--")</f>
        <v>--</v>
      </c>
      <c r="Q46" s="98" t="str">
        <f>IFERROR(_xll.qlRateHelperQuoteValue($N46,Trigger),"--")</f>
        <v>--</v>
      </c>
      <c r="R46" s="97" t="b">
        <v>0</v>
      </c>
      <c r="S46" s="94">
        <v>20</v>
      </c>
      <c r="T46" s="94">
        <v>1</v>
      </c>
      <c r="U46" s="99" t="str">
        <f>IFERROR(_xll.qlRateHelperEarliestDate(N46,Trigger),"--")</f>
        <v>--</v>
      </c>
      <c r="V46" s="99" t="str">
        <f>IFERROR(_xll.qlRateHelperPillarDate(N46,Trigger),"--")</f>
        <v>--</v>
      </c>
      <c r="X46" s="4" t="str">
        <f t="shared" si="15"/>
        <v/>
      </c>
      <c r="Y46" s="4" t="e">
        <v>#N/A</v>
      </c>
      <c r="Z46" s="4" t="e">
        <v>#N/A</v>
      </c>
      <c r="AA46" s="4" t="str">
        <f>IFERROR(_xll.qlRateHelperQuoteName(Y46,Trigger),"")</f>
        <v/>
      </c>
      <c r="AB46" s="70" t="str">
        <f>IFERROR(_xll.qlRateHelperRate(Y46,Trigger),"")</f>
        <v/>
      </c>
      <c r="AC46" s="104" t="str">
        <f>IF(ISERROR(_xll.qlSwapRateHelperSpread($Y46)),IF(ISERROR(_xll.qlFuturesRateHelperConvexityAdjustment($Y46)),"",_xll.qlFuturesRateHelperConvexityAdjustment($Y46)),_xll.qlSwapRateHelperSpread($Y46))</f>
        <v/>
      </c>
      <c r="AD46" s="5" t="str">
        <f>IFERROR(_xll.qlRateHelperEarliestDate(Y46,Trigger),"")</f>
        <v/>
      </c>
      <c r="AE46" s="5" t="str">
        <f>IFERROR(_xll.qlRateHelperPillarDate(Y46,Trigger),"")</f>
        <v/>
      </c>
      <c r="AF46" s="70" t="e">
        <v>#N/A</v>
      </c>
      <c r="AG46" s="77" t="e">
        <v>#N/A</v>
      </c>
      <c r="AH46" s="170" t="e">
        <v>#N/A</v>
      </c>
      <c r="AI46" s="171" t="e">
        <v>#N/A</v>
      </c>
      <c r="AJ46" s="173" t="e">
        <f t="shared" si="4"/>
        <v>#N/A</v>
      </c>
      <c r="AK46" s="80" t="e">
        <v>#N/A</v>
      </c>
      <c r="AL46" s="162" t="e">
        <f t="shared" si="5"/>
        <v>#N/A</v>
      </c>
    </row>
    <row r="47" spans="1:39" ht="11.25" customHeight="1" x14ac:dyDescent="0.2">
      <c r="A47" s="59" t="s">
        <v>118</v>
      </c>
      <c r="B47" s="60" t="s">
        <v>109</v>
      </c>
      <c r="C47" s="61" t="s">
        <v>6</v>
      </c>
      <c r="D47" s="61" t="s">
        <v>8</v>
      </c>
      <c r="E47" s="61" t="s">
        <v>7</v>
      </c>
      <c r="F47" s="61" t="s">
        <v>125</v>
      </c>
      <c r="G47" s="61" t="str">
        <f t="shared" si="13"/>
        <v>Euribor1Y</v>
      </c>
      <c r="H47" s="59" t="str">
        <f t="shared" si="14"/>
        <v>EUR6E12E26Y_LCHQuote</v>
      </c>
      <c r="I47" s="127">
        <v>0</v>
      </c>
      <c r="J47" s="64"/>
      <c r="K47" s="64"/>
      <c r="M47" s="10" t="str">
        <f t="shared" si="10"/>
        <v>BasSw</v>
      </c>
      <c r="N47" s="94" t="str">
        <f t="shared" si="11"/>
        <v>obj_005e7#0005</v>
      </c>
      <c r="O47" s="94" t="str">
        <f t="shared" si="12"/>
        <v>obj_005cb#0005</v>
      </c>
      <c r="P47" s="146" t="str">
        <f>IFERROR(_xll.qlRateHelperQuoteName(N47,Trigger),"--")</f>
        <v>EUR6E12E30Y_LCHQuote</v>
      </c>
      <c r="Q47" s="98">
        <f>IFERROR(_xll.qlRateHelperQuoteValue($N47,Trigger),"--")</f>
        <v>1.72585E-2</v>
      </c>
      <c r="R47" s="97" t="b">
        <v>1</v>
      </c>
      <c r="S47" s="94">
        <v>20</v>
      </c>
      <c r="T47" s="94">
        <v>1</v>
      </c>
      <c r="U47" s="99">
        <f>IFERROR(_xll.qlRateHelperEarliestDate(N47,Trigger),"--")</f>
        <v>42250</v>
      </c>
      <c r="V47" s="99">
        <f>IFERROR(_xll.qlRateHelperPillarDate(N47,Trigger),"--")</f>
        <v>53209</v>
      </c>
      <c r="X47" s="4" t="str">
        <f t="shared" si="15"/>
        <v/>
      </c>
      <c r="Y47" s="4" t="e">
        <v>#N/A</v>
      </c>
      <c r="Z47" s="4" t="e">
        <v>#N/A</v>
      </c>
      <c r="AA47" s="4" t="str">
        <f>IFERROR(_xll.qlRateHelperQuoteName(Y47,Trigger),"")</f>
        <v/>
      </c>
      <c r="AB47" s="70" t="str">
        <f>IFERROR(_xll.qlRateHelperRate(Y47,Trigger),"")</f>
        <v/>
      </c>
      <c r="AC47" s="104" t="str">
        <f>IF(ISERROR(_xll.qlSwapRateHelperSpread($Y47)),IF(ISERROR(_xll.qlFuturesRateHelperConvexityAdjustment($Y47)),"",_xll.qlFuturesRateHelperConvexityAdjustment($Y47)),_xll.qlSwapRateHelperSpread($Y47))</f>
        <v/>
      </c>
      <c r="AD47" s="5" t="str">
        <f>IFERROR(_xll.qlRateHelperEarliestDate(Y47,Trigger),"")</f>
        <v/>
      </c>
      <c r="AE47" s="5" t="str">
        <f>IFERROR(_xll.qlRateHelperPillarDate(Y47,Trigger),"")</f>
        <v/>
      </c>
      <c r="AF47" s="70" t="e">
        <v>#N/A</v>
      </c>
      <c r="AG47" s="77" t="e">
        <v>#N/A</v>
      </c>
      <c r="AH47" s="170" t="e">
        <v>#N/A</v>
      </c>
      <c r="AI47" s="171" t="e">
        <v>#N/A</v>
      </c>
      <c r="AJ47" s="173" t="e">
        <f t="shared" si="4"/>
        <v>#N/A</v>
      </c>
      <c r="AK47" s="80" t="e">
        <v>#N/A</v>
      </c>
      <c r="AL47" s="162" t="e">
        <f t="shared" si="5"/>
        <v>#N/A</v>
      </c>
    </row>
    <row r="48" spans="1:39" ht="11.25" customHeight="1" x14ac:dyDescent="0.2">
      <c r="A48" s="59" t="s">
        <v>118</v>
      </c>
      <c r="B48" s="60" t="s">
        <v>65</v>
      </c>
      <c r="C48" s="61" t="s">
        <v>6</v>
      </c>
      <c r="D48" s="61" t="s">
        <v>8</v>
      </c>
      <c r="E48" s="61" t="s">
        <v>7</v>
      </c>
      <c r="F48" s="61" t="s">
        <v>125</v>
      </c>
      <c r="G48" s="61" t="str">
        <f t="shared" si="13"/>
        <v>Euribor1Y</v>
      </c>
      <c r="H48" s="59" t="str">
        <f t="shared" si="14"/>
        <v>EUR6E12E27Y_LCHQuote</v>
      </c>
      <c r="I48" s="127">
        <v>0</v>
      </c>
      <c r="J48" s="64"/>
      <c r="K48" s="64"/>
      <c r="M48" s="10" t="str">
        <f t="shared" si="10"/>
        <v>BasSw</v>
      </c>
      <c r="N48" s="94" t="str">
        <f t="shared" si="11"/>
        <v>--</v>
      </c>
      <c r="O48" s="94" t="str">
        <f t="shared" si="12"/>
        <v>--</v>
      </c>
      <c r="P48" s="146" t="str">
        <f>IFERROR(_xll.qlRateHelperQuoteName(N48,Trigger),"--")</f>
        <v>--</v>
      </c>
      <c r="Q48" s="98" t="str">
        <f>IFERROR(_xll.qlRateHelperQuoteValue($N48,Trigger),"--")</f>
        <v>--</v>
      </c>
      <c r="R48" s="97" t="b">
        <v>0</v>
      </c>
      <c r="S48" s="94">
        <v>20</v>
      </c>
      <c r="T48" s="94">
        <v>1</v>
      </c>
      <c r="U48" s="99" t="str">
        <f>IFERROR(_xll.qlRateHelperEarliestDate(N48,Trigger),"--")</f>
        <v>--</v>
      </c>
      <c r="V48" s="99" t="str">
        <f>IFERROR(_xll.qlRateHelperPillarDate(N48,Trigger),"--")</f>
        <v>--</v>
      </c>
      <c r="X48" s="4" t="str">
        <f t="shared" si="15"/>
        <v/>
      </c>
      <c r="Y48" s="4" t="e">
        <v>#N/A</v>
      </c>
      <c r="Z48" s="4" t="e">
        <v>#N/A</v>
      </c>
      <c r="AA48" s="4" t="str">
        <f>IFERROR(_xll.qlRateHelperQuoteName(Y48,Trigger),"")</f>
        <v/>
      </c>
      <c r="AB48" s="70" t="str">
        <f>IFERROR(_xll.qlRateHelperRate(Y48,Trigger),"")</f>
        <v/>
      </c>
      <c r="AC48" s="104" t="str">
        <f>IF(ISERROR(_xll.qlSwapRateHelperSpread($Y48)),IF(ISERROR(_xll.qlFuturesRateHelperConvexityAdjustment($Y48)),"",_xll.qlFuturesRateHelperConvexityAdjustment($Y48)),_xll.qlSwapRateHelperSpread($Y48))</f>
        <v/>
      </c>
      <c r="AD48" s="5" t="str">
        <f>IFERROR(_xll.qlRateHelperEarliestDate(Y48,Trigger),"")</f>
        <v/>
      </c>
      <c r="AE48" s="5" t="str">
        <f>IFERROR(_xll.qlRateHelperPillarDate(Y48,Trigger),"")</f>
        <v/>
      </c>
      <c r="AF48" s="70" t="e">
        <v>#N/A</v>
      </c>
      <c r="AG48" s="77" t="e">
        <v>#N/A</v>
      </c>
      <c r="AH48" s="170" t="e">
        <v>#N/A</v>
      </c>
      <c r="AI48" s="171" t="e">
        <v>#N/A</v>
      </c>
      <c r="AJ48" s="173" t="e">
        <f t="shared" si="4"/>
        <v>#N/A</v>
      </c>
      <c r="AK48" s="80" t="e">
        <v>#N/A</v>
      </c>
      <c r="AL48" s="162" t="e">
        <f t="shared" si="5"/>
        <v>#N/A</v>
      </c>
    </row>
    <row r="49" spans="1:38" ht="11.25" customHeight="1" x14ac:dyDescent="0.2">
      <c r="A49" s="59" t="s">
        <v>118</v>
      </c>
      <c r="B49" s="60" t="s">
        <v>110</v>
      </c>
      <c r="C49" s="61" t="s">
        <v>6</v>
      </c>
      <c r="D49" s="61" t="s">
        <v>8</v>
      </c>
      <c r="E49" s="61" t="s">
        <v>7</v>
      </c>
      <c r="F49" s="61" t="s">
        <v>125</v>
      </c>
      <c r="G49" s="61" t="str">
        <f t="shared" si="13"/>
        <v>Euribor1Y</v>
      </c>
      <c r="H49" s="59" t="str">
        <f t="shared" si="14"/>
        <v>EUR6E12E28Y_LCHQuote</v>
      </c>
      <c r="I49" s="127">
        <v>0</v>
      </c>
      <c r="J49" s="64"/>
      <c r="K49" s="64"/>
      <c r="M49" s="10" t="str">
        <f t="shared" si="10"/>
        <v>BasSw</v>
      </c>
      <c r="N49" s="94" t="str">
        <f t="shared" si="11"/>
        <v>obj_005d2#0005</v>
      </c>
      <c r="O49" s="94" t="str">
        <f t="shared" si="12"/>
        <v>obj_005e4#0005</v>
      </c>
      <c r="P49" s="146" t="str">
        <f>IFERROR(_xll.qlRateHelperQuoteName(N49,Trigger),"--")</f>
        <v>EUR6E12E40Y_LCHQuote</v>
      </c>
      <c r="Q49" s="98">
        <f>IFERROR(_xll.qlRateHelperQuoteValue($N49,Trigger),"--")</f>
        <v>1.7326000000000001E-2</v>
      </c>
      <c r="R49" s="97" t="b">
        <v>1</v>
      </c>
      <c r="S49" s="94">
        <v>20</v>
      </c>
      <c r="T49" s="94">
        <v>1</v>
      </c>
      <c r="U49" s="99">
        <f>IFERROR(_xll.qlRateHelperEarliestDate(N49,Trigger),"--")</f>
        <v>42250</v>
      </c>
      <c r="V49" s="99">
        <f>IFERROR(_xll.qlRateHelperPillarDate(N49,Trigger),"--")</f>
        <v>56860</v>
      </c>
      <c r="X49" s="4" t="str">
        <f t="shared" si="15"/>
        <v/>
      </c>
      <c r="Y49" s="4" t="e">
        <v>#N/A</v>
      </c>
      <c r="Z49" s="4" t="e">
        <v>#N/A</v>
      </c>
      <c r="AA49" s="4" t="str">
        <f>IFERROR(_xll.qlRateHelperQuoteName(Y49,Trigger),"")</f>
        <v/>
      </c>
      <c r="AB49" s="70" t="str">
        <f>IFERROR(_xll.qlRateHelperRate(Y49,Trigger),"")</f>
        <v/>
      </c>
      <c r="AC49" s="104" t="str">
        <f>IF(ISERROR(_xll.qlSwapRateHelperSpread($Y49)),IF(ISERROR(_xll.qlFuturesRateHelperConvexityAdjustment($Y49)),"",_xll.qlFuturesRateHelperConvexityAdjustment($Y49)),_xll.qlSwapRateHelperSpread($Y49))</f>
        <v/>
      </c>
      <c r="AD49" s="5" t="str">
        <f>IFERROR(_xll.qlRateHelperEarliestDate(Y49,Trigger),"")</f>
        <v/>
      </c>
      <c r="AE49" s="5" t="str">
        <f>IFERROR(_xll.qlRateHelperPillarDate(Y49,Trigger),"")</f>
        <v/>
      </c>
      <c r="AF49" s="70" t="e">
        <v>#N/A</v>
      </c>
      <c r="AG49" s="77" t="e">
        <v>#N/A</v>
      </c>
      <c r="AH49" s="170" t="e">
        <v>#N/A</v>
      </c>
      <c r="AI49" s="171" t="e">
        <v>#N/A</v>
      </c>
      <c r="AJ49" s="173" t="e">
        <f t="shared" si="4"/>
        <v>#N/A</v>
      </c>
      <c r="AK49" s="80" t="e">
        <v>#N/A</v>
      </c>
      <c r="AL49" s="162" t="e">
        <f t="shared" si="5"/>
        <v>#N/A</v>
      </c>
    </row>
    <row r="50" spans="1:38" ht="11.25" customHeight="1" x14ac:dyDescent="0.2">
      <c r="A50" s="59" t="s">
        <v>118</v>
      </c>
      <c r="B50" s="60" t="s">
        <v>111</v>
      </c>
      <c r="C50" s="61" t="s">
        <v>6</v>
      </c>
      <c r="D50" s="61" t="s">
        <v>8</v>
      </c>
      <c r="E50" s="61" t="s">
        <v>7</v>
      </c>
      <c r="F50" s="61" t="s">
        <v>125</v>
      </c>
      <c r="G50" s="61" t="str">
        <f t="shared" si="13"/>
        <v>Euribor1Y</v>
      </c>
      <c r="H50" s="59" t="str">
        <f t="shared" si="14"/>
        <v>EUR6E12E29Y_LCHQuote</v>
      </c>
      <c r="I50" s="127">
        <v>0</v>
      </c>
      <c r="J50" s="64"/>
      <c r="K50" s="64"/>
      <c r="M50" s="10" t="str">
        <f t="shared" si="10"/>
        <v>BasSw</v>
      </c>
      <c r="N50" s="94" t="str">
        <f t="shared" ref="N50:O51" si="16">IF(ISBLANK(J54),"--",J54)</f>
        <v>obj_005d7#0005</v>
      </c>
      <c r="O50" s="94" t="str">
        <f t="shared" si="16"/>
        <v>obj_005db#0005</v>
      </c>
      <c r="P50" s="146" t="str">
        <f>IFERROR(_xll.qlRateHelperQuoteName(N50,Trigger),"--")</f>
        <v>EUR6E12E50Y_LCHQuote</v>
      </c>
      <c r="Q50" s="98">
        <f>IFERROR(_xll.qlRateHelperQuoteValue($N50,Trigger),"--")</f>
        <v>1.6891E-2</v>
      </c>
      <c r="R50" s="97" t="b">
        <v>1</v>
      </c>
      <c r="S50" s="94">
        <v>20</v>
      </c>
      <c r="T50" s="94">
        <v>1</v>
      </c>
      <c r="U50" s="99">
        <f>IFERROR(_xll.qlRateHelperEarliestDate(N50,Trigger),"--")</f>
        <v>42250</v>
      </c>
      <c r="V50" s="99">
        <f>IFERROR(_xll.qlRateHelperPillarDate(N50,Trigger),"--")</f>
        <v>60513</v>
      </c>
      <c r="X50" s="4" t="str">
        <f t="shared" si="15"/>
        <v/>
      </c>
      <c r="Y50" s="4" t="e">
        <v>#N/A</v>
      </c>
      <c r="Z50" s="4" t="e">
        <v>#N/A</v>
      </c>
      <c r="AA50" s="4" t="str">
        <f>IFERROR(_xll.qlRateHelperQuoteName(Y50,Trigger),"")</f>
        <v/>
      </c>
      <c r="AB50" s="70" t="str">
        <f>IFERROR(_xll.qlRateHelperRate(Y50,Trigger),"")</f>
        <v/>
      </c>
      <c r="AC50" s="104" t="str">
        <f>IF(ISERROR(_xll.qlSwapRateHelperSpread($Y50)),IF(ISERROR(_xll.qlFuturesRateHelperConvexityAdjustment($Y50)),"",_xll.qlFuturesRateHelperConvexityAdjustment($Y50)),_xll.qlSwapRateHelperSpread($Y50))</f>
        <v/>
      </c>
      <c r="AD50" s="5" t="str">
        <f>IFERROR(_xll.qlRateHelperEarliestDate(Y50,Trigger),"")</f>
        <v/>
      </c>
      <c r="AE50" s="5" t="str">
        <f>IFERROR(_xll.qlRateHelperPillarDate(Y50,Trigger),"")</f>
        <v/>
      </c>
      <c r="AF50" s="70" t="e">
        <v>#N/A</v>
      </c>
      <c r="AG50" s="77" t="e">
        <v>#N/A</v>
      </c>
      <c r="AH50" s="170" t="e">
        <v>#N/A</v>
      </c>
      <c r="AI50" s="171" t="e">
        <v>#N/A</v>
      </c>
      <c r="AJ50" s="173" t="e">
        <f t="shared" si="4"/>
        <v>#N/A</v>
      </c>
      <c r="AK50" s="80" t="e">
        <v>#N/A</v>
      </c>
      <c r="AL50" s="162" t="e">
        <f t="shared" si="5"/>
        <v>#N/A</v>
      </c>
    </row>
    <row r="51" spans="1:38" ht="11.25" customHeight="1" x14ac:dyDescent="0.2">
      <c r="A51" s="59" t="s">
        <v>118</v>
      </c>
      <c r="B51" s="60" t="s">
        <v>66</v>
      </c>
      <c r="C51" s="61" t="s">
        <v>6</v>
      </c>
      <c r="D51" s="61" t="s">
        <v>8</v>
      </c>
      <c r="E51" s="61" t="s">
        <v>7</v>
      </c>
      <c r="F51" s="61" t="s">
        <v>125</v>
      </c>
      <c r="G51" s="61" t="str">
        <f t="shared" si="13"/>
        <v>Euribor1Y</v>
      </c>
      <c r="H51" s="59" t="str">
        <f t="shared" si="14"/>
        <v>EUR6E12E30Y_LCHQuote</v>
      </c>
      <c r="I51" s="127">
        <v>0</v>
      </c>
      <c r="J51" s="64" t="str">
        <f>_xll.qlSwapRateHelper2(,$H51,2,$B51,Calendar,$D51,$E51,$F51,$G51,$I51,$C51,Discounting1,PillarDate,,Permanent,Trigger,ObjectOverwrite)</f>
        <v>obj_005e7#0005</v>
      </c>
      <c r="K51" s="64" t="str">
        <f>_xll.qlSwapRateHelper2(,$H51,2,$B51,Calendar,$D51,$E51,$F51,$G51,$I51,$C51,Discounting2,PillarDate,,Permanent,Trigger,ObjectOverwrite)</f>
        <v>obj_005cb#0005</v>
      </c>
      <c r="M51" s="11" t="str">
        <f t="shared" si="10"/>
        <v>BasSw</v>
      </c>
      <c r="N51" s="95" t="str">
        <f t="shared" si="16"/>
        <v>obj_005e3#0005</v>
      </c>
      <c r="O51" s="95" t="str">
        <f t="shared" si="16"/>
        <v>obj_005d0#0005</v>
      </c>
      <c r="P51" s="147" t="str">
        <f>IFERROR(_xll.qlRateHelperQuoteName(N51,Trigger),"--")</f>
        <v>EUR6E12E60Y_LCHQuote</v>
      </c>
      <c r="Q51" s="101">
        <f>IFERROR(_xll.qlRateHelperQuoteValue($N51,Trigger),"--")</f>
        <v>1.6687500000000001E-2</v>
      </c>
      <c r="R51" s="100" t="b">
        <v>1</v>
      </c>
      <c r="S51" s="95">
        <v>20</v>
      </c>
      <c r="T51" s="95">
        <v>1</v>
      </c>
      <c r="U51" s="102">
        <f>IFERROR(_xll.qlRateHelperEarliestDate(N51,Trigger),"--")</f>
        <v>42250</v>
      </c>
      <c r="V51" s="102">
        <f>IFERROR(_xll.qlRateHelperPillarDate(N51,Trigger),"--")</f>
        <v>64165</v>
      </c>
      <c r="X51" s="6" t="str">
        <f t="shared" si="15"/>
        <v/>
      </c>
      <c r="Y51" s="6" t="e">
        <v>#N/A</v>
      </c>
      <c r="Z51" s="6" t="e">
        <v>#N/A</v>
      </c>
      <c r="AA51" s="6" t="str">
        <f>IFERROR(_xll.qlRateHelperQuoteName(Y51,Trigger),"")</f>
        <v/>
      </c>
      <c r="AB51" s="79" t="str">
        <f>IFERROR(_xll.qlRateHelperRate(Y51,Trigger),"")</f>
        <v/>
      </c>
      <c r="AC51" s="105" t="str">
        <f>IF(ISERROR(_xll.qlSwapRateHelperSpread($Y51)),IF(ISERROR(_xll.qlFuturesRateHelperConvexityAdjustment($Y51)),"",_xll.qlFuturesRateHelperConvexityAdjustment($Y51)),_xll.qlSwapRateHelperSpread($Y51))</f>
        <v/>
      </c>
      <c r="AD51" s="12" t="str">
        <f>IFERROR(_xll.qlRateHelperEarliestDate(Y51,Trigger),"")</f>
        <v/>
      </c>
      <c r="AE51" s="12" t="str">
        <f>IFERROR(_xll.qlRateHelperPillarDate(Y51,Trigger),"")</f>
        <v/>
      </c>
      <c r="AF51" s="79" t="e">
        <v>#N/A</v>
      </c>
      <c r="AG51" s="78" t="e">
        <v>#N/A</v>
      </c>
      <c r="AH51" s="170" t="e">
        <v>#N/A</v>
      </c>
      <c r="AI51" s="171" t="e">
        <v>#N/A</v>
      </c>
      <c r="AJ51" s="173" t="e">
        <f t="shared" si="4"/>
        <v>#N/A</v>
      </c>
      <c r="AK51" s="80" t="e">
        <v>#N/A</v>
      </c>
      <c r="AL51" s="162" t="e">
        <f t="shared" si="5"/>
        <v>#N/A</v>
      </c>
    </row>
    <row r="52" spans="1:38" ht="11.25" customHeight="1" x14ac:dyDescent="0.2">
      <c r="A52" s="59" t="s">
        <v>118</v>
      </c>
      <c r="B52" s="60" t="s">
        <v>67</v>
      </c>
      <c r="C52" s="61" t="s">
        <v>6</v>
      </c>
      <c r="D52" s="61" t="s">
        <v>8</v>
      </c>
      <c r="E52" s="61" t="s">
        <v>7</v>
      </c>
      <c r="F52" s="61" t="s">
        <v>125</v>
      </c>
      <c r="G52" s="61" t="str">
        <f t="shared" si="13"/>
        <v>Euribor1Y</v>
      </c>
      <c r="H52" s="59" t="str">
        <f t="shared" si="14"/>
        <v>EUR6E12E35Y_LCHQuote</v>
      </c>
      <c r="I52" s="127">
        <v>0</v>
      </c>
      <c r="J52" s="64"/>
      <c r="K52" s="64"/>
    </row>
    <row r="53" spans="1:38" ht="11.25" customHeight="1" x14ac:dyDescent="0.2">
      <c r="A53" s="59" t="s">
        <v>118</v>
      </c>
      <c r="B53" s="60" t="s">
        <v>68</v>
      </c>
      <c r="C53" s="61" t="s">
        <v>6</v>
      </c>
      <c r="D53" s="61" t="s">
        <v>8</v>
      </c>
      <c r="E53" s="61" t="s">
        <v>7</v>
      </c>
      <c r="F53" s="61" t="s">
        <v>125</v>
      </c>
      <c r="G53" s="61" t="str">
        <f t="shared" si="13"/>
        <v>Euribor1Y</v>
      </c>
      <c r="H53" s="59" t="str">
        <f t="shared" si="14"/>
        <v>EUR6E12E40Y_LCHQuote</v>
      </c>
      <c r="I53" s="125">
        <v>0</v>
      </c>
      <c r="J53" s="64" t="str">
        <f>_xll.qlSwapRateHelper2(,$H53,2,$B53,Calendar,$D53,$E53,$F53,$G53,$I53,$C53,Discounting1,PillarDate,,Permanent,Trigger,ObjectOverwrite)</f>
        <v>obj_005d2#0005</v>
      </c>
      <c r="K53" s="64" t="str">
        <f>_xll.qlSwapRateHelper2(,$H53,2,$B53,Calendar,$D53,$E53,$F53,$G53,$I53,$C53,Discounting2,PillarDate,,Permanent,Trigger,ObjectOverwrite)</f>
        <v>obj_005e4#0005</v>
      </c>
    </row>
    <row r="54" spans="1:38" ht="11.25" customHeight="1" x14ac:dyDescent="0.2">
      <c r="A54" s="59" t="s">
        <v>118</v>
      </c>
      <c r="B54" s="60" t="s">
        <v>69</v>
      </c>
      <c r="C54" s="61" t="s">
        <v>6</v>
      </c>
      <c r="D54" s="61" t="s">
        <v>8</v>
      </c>
      <c r="E54" s="61" t="s">
        <v>7</v>
      </c>
      <c r="F54" s="61" t="s">
        <v>125</v>
      </c>
      <c r="G54" s="61" t="str">
        <f t="shared" si="13"/>
        <v>Euribor1Y</v>
      </c>
      <c r="H54" s="59" t="str">
        <f t="shared" si="14"/>
        <v>EUR6E12E50Y_LCHQuote</v>
      </c>
      <c r="I54" s="125">
        <v>0</v>
      </c>
      <c r="J54" s="64" t="str">
        <f>_xll.qlSwapRateHelper2(,$H54,2,$B54,Calendar,$D54,$E54,$F54,$G54,$I54,$C54,Discounting1,PillarDate,,Permanent,Trigger,ObjectOverwrite)</f>
        <v>obj_005d7#0005</v>
      </c>
      <c r="K54" s="64" t="str">
        <f>_xll.qlSwapRateHelper2(,$H54,2,$B54,Calendar,$D54,$E54,$F54,$G54,$I54,$C54,Discounting2,PillarDate,,Permanent,Trigger,ObjectOverwrite)</f>
        <v>obj_005db#0005</v>
      </c>
    </row>
    <row r="55" spans="1:38" ht="11.25" customHeight="1" x14ac:dyDescent="0.2">
      <c r="A55" s="1" t="s">
        <v>118</v>
      </c>
      <c r="B55" s="8" t="s">
        <v>112</v>
      </c>
      <c r="C55" s="7" t="s">
        <v>6</v>
      </c>
      <c r="D55" s="7" t="s">
        <v>8</v>
      </c>
      <c r="E55" s="7" t="s">
        <v>7</v>
      </c>
      <c r="F55" s="7" t="s">
        <v>125</v>
      </c>
      <c r="G55" s="7" t="str">
        <f t="shared" si="13"/>
        <v>Euribor1Y</v>
      </c>
      <c r="H55" s="1" t="str">
        <f t="shared" si="14"/>
        <v>EUR6E12E60Y_LCHQuote</v>
      </c>
      <c r="I55" s="128">
        <v>0</v>
      </c>
      <c r="J55" s="3" t="str">
        <f>_xll.qlSwapRateHelper2(,$H55,2,$B55,Calendar,$D55,$E55,$F55,$G55,$I55,$C55,Discounting1,PillarDate,,Permanent,Trigger,ObjectOverwrite)</f>
        <v>obj_005e3#0005</v>
      </c>
      <c r="K55" s="3" t="str">
        <f>_xll.qlSwapRateHelper2(,$H55,2,$B55,Calendar,$D55,$E55,$F55,$G55,$I55,$C55,Discounting2,PillarDate,,Permanent,Trigger,ObjectOverwrite)</f>
        <v>obj_005d0#0005</v>
      </c>
    </row>
    <row r="56" spans="1:38" ht="11.25" customHeight="1" x14ac:dyDescent="0.2"/>
    <row r="57" spans="1:38" ht="11.25" customHeight="1" x14ac:dyDescent="0.2"/>
    <row r="58" spans="1:38" ht="11.25" customHeight="1" x14ac:dyDescent="0.2"/>
    <row r="59" spans="1:38" ht="11.25" customHeight="1" x14ac:dyDescent="0.2"/>
    <row r="60" spans="1:38" ht="11.25" customHeight="1" x14ac:dyDescent="0.2"/>
    <row r="61" spans="1:38" ht="11.25" customHeight="1" x14ac:dyDescent="0.2"/>
    <row r="62" spans="1:38" ht="11.25" customHeight="1" x14ac:dyDescent="0.2"/>
    <row r="63" spans="1:38" ht="11.25" customHeight="1" x14ac:dyDescent="0.2"/>
    <row r="64" spans="1:38" ht="11.25" customHeight="1" x14ac:dyDescent="0.2"/>
    <row r="65" s="46" customFormat="1" ht="11.25" customHeight="1" x14ac:dyDescent="0.2"/>
    <row r="66" s="46" customFormat="1" ht="11.25" customHeight="1" x14ac:dyDescent="0.2"/>
    <row r="67" s="46" customFormat="1" ht="11.25" customHeight="1" x14ac:dyDescent="0.2"/>
    <row r="68" s="46" customFormat="1" ht="11.25" customHeight="1" x14ac:dyDescent="0.2"/>
    <row r="69" s="46" customFormat="1" ht="11.25" customHeight="1" x14ac:dyDescent="0.2"/>
    <row r="70" s="46" customFormat="1" ht="11.25" customHeight="1" x14ac:dyDescent="0.2"/>
    <row r="71" s="46" customFormat="1" ht="11.25" customHeight="1" x14ac:dyDescent="0.2"/>
    <row r="72" s="46" customFormat="1" ht="11.25" customHeight="1" x14ac:dyDescent="0.2"/>
    <row r="73" s="46" customFormat="1" ht="11.25" customHeight="1" x14ac:dyDescent="0.2"/>
    <row r="74" s="46" customFormat="1" ht="11.25" customHeight="1" x14ac:dyDescent="0.2"/>
    <row r="75" s="46" customFormat="1" ht="11.25" customHeight="1" x14ac:dyDescent="0.2"/>
    <row r="76" s="46" customFormat="1" ht="11.25" customHeight="1" x14ac:dyDescent="0.2"/>
    <row r="77" s="46" customFormat="1" ht="11.25" customHeight="1" x14ac:dyDescent="0.2"/>
    <row r="78" s="46" customFormat="1" ht="11.25" customHeight="1" x14ac:dyDescent="0.2"/>
    <row r="79" s="46" customFormat="1" ht="11.25" customHeight="1" x14ac:dyDescent="0.2"/>
    <row r="80" s="46" customFormat="1" ht="11.25" customHeight="1" x14ac:dyDescent="0.2"/>
    <row r="90" spans="12:12" s="46" customFormat="1" x14ac:dyDescent="0.2">
      <c r="L90" s="46" t="s">
        <v>36</v>
      </c>
    </row>
  </sheetData>
  <mergeCells count="1">
    <mergeCell ref="AN2:AO2"/>
  </mergeCells>
  <dataValidations count="4">
    <dataValidation type="list" allowBlank="1" showInputMessage="1" showErrorMessage="1" sqref="D19:D55">
      <formula1>"Annual,Semiannual,EveryFourthMonth,Quarterly,Bimonthly,Monthly,Biweekly,Weekly,Daily,Once,NoFrequency"</formula1>
    </dataValidation>
    <dataValidation type="list" allowBlank="1" showInputMessage="1" showErrorMessage="1" sqref="E19:E55">
      <formula1>"Following,Modified Following,Preceding,Modified Preceding,Unadjusted,Half-Month Modified Following"</formula1>
    </dataValidation>
    <dataValidation type="list" allowBlank="1" showInputMessage="1" showErrorMessage="1" sqref="F19:F55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AO6">
      <formula1>"AllDepos,DeposBeforeFirstFuturesStartDate,DeposBeforeFirstFuturesStartDatePlusOne,DeposBeforeFirstFuturesExpiryDate"</formula1>
    </dataValidation>
  </dataValidations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I103"/>
  <sheetViews>
    <sheetView topLeftCell="K1" workbookViewId="0">
      <selection activeCell="K1" sqref="K1"/>
    </sheetView>
  </sheetViews>
  <sheetFormatPr defaultRowHeight="11.25" outlineLevelCol="1" x14ac:dyDescent="0.2"/>
  <cols>
    <col min="1" max="1" width="6" style="46" hidden="1" customWidth="1" outlineLevel="1"/>
    <col min="2" max="2" width="9" style="51" hidden="1" customWidth="1" outlineLevel="1"/>
    <col min="3" max="3" width="6.7109375" style="50" hidden="1" customWidth="1" outlineLevel="1"/>
    <col min="4" max="4" width="7" style="50" hidden="1" customWidth="1" outlineLevel="1"/>
    <col min="5" max="5" width="19.28515625" style="50" hidden="1" customWidth="1" outlineLevel="1"/>
    <col min="6" max="6" width="20.28515625" style="50" hidden="1" customWidth="1" outlineLevel="1"/>
    <col min="7" max="7" width="15.140625" style="50" hidden="1" customWidth="1" outlineLevel="1"/>
    <col min="8" max="8" width="24.42578125" style="52" hidden="1" customWidth="1" outlineLevel="1"/>
    <col min="9" max="9" width="9" style="46" hidden="1" customWidth="1" outlineLevel="1"/>
    <col min="10" max="10" width="15.140625" style="46" hidden="1" customWidth="1" outlineLevel="1"/>
    <col min="11" max="11" width="2.7109375" style="46" customWidth="1" collapsed="1"/>
    <col min="12" max="12" width="6" style="46" hidden="1" customWidth="1" outlineLevel="1"/>
    <col min="13" max="13" width="15.140625" style="103" hidden="1" customWidth="1" outlineLevel="1"/>
    <col min="14" max="14" width="22.42578125" style="103" hidden="1" customWidth="1" outlineLevel="1"/>
    <col min="15" max="15" width="12" style="103" hidden="1" customWidth="1" outlineLevel="1"/>
    <col min="16" max="16" width="7.85546875" style="103" hidden="1" customWidth="1" outlineLevel="1"/>
    <col min="17" max="17" width="9" style="103" hidden="1" customWidth="1" outlineLevel="1"/>
    <col min="18" max="18" width="5.85546875" style="103" hidden="1" customWidth="1" outlineLevel="1"/>
    <col min="19" max="20" width="10.7109375" style="103" hidden="1" customWidth="1" outlineLevel="1"/>
    <col min="21" max="21" width="2.7109375" style="48" hidden="1" customWidth="1" outlineLevel="1"/>
    <col min="22" max="22" width="6" style="46" bestFit="1" customWidth="1" collapsed="1"/>
    <col min="23" max="23" width="10.140625" style="46" hidden="1" customWidth="1" outlineLevel="1"/>
    <col min="24" max="24" width="24.7109375" style="46" customWidth="1" collapsed="1"/>
    <col min="25" max="26" width="9.7109375" style="46" customWidth="1"/>
    <col min="27" max="28" width="17.28515625" style="46" bestFit="1" customWidth="1"/>
    <col min="29" max="29" width="12" style="46" bestFit="1" customWidth="1"/>
    <col min="30" max="31" width="10.85546875" style="46" hidden="1" customWidth="1" outlineLevel="1"/>
    <col min="32" max="32" width="10" style="46" hidden="1" customWidth="1" outlineLevel="1"/>
    <col min="33" max="33" width="3.28515625" style="46" customWidth="1" collapsed="1"/>
    <col min="34" max="34" width="24.42578125" style="46" bestFit="1" customWidth="1"/>
    <col min="35" max="35" width="9" style="46" bestFit="1" customWidth="1"/>
    <col min="36" max="16384" width="9.140625" style="46"/>
  </cols>
  <sheetData>
    <row r="1" spans="1:35" ht="18" customHeight="1" x14ac:dyDescent="0.2">
      <c r="H1" s="50"/>
      <c r="L1" s="67" t="s">
        <v>24</v>
      </c>
      <c r="M1" s="106"/>
      <c r="N1" s="106"/>
      <c r="O1" s="106"/>
      <c r="P1" s="106"/>
      <c r="Q1" s="106"/>
      <c r="R1" s="106"/>
      <c r="S1" s="106"/>
      <c r="T1" s="96"/>
      <c r="U1" s="93"/>
      <c r="V1" s="74" t="str">
        <f>Currency&amp;"STD"</f>
        <v>EURSTD</v>
      </c>
      <c r="W1" s="66"/>
      <c r="X1" s="66"/>
      <c r="Y1" s="69"/>
      <c r="Z1" s="69"/>
      <c r="AA1" s="66"/>
      <c r="AB1" s="66"/>
      <c r="AC1" s="73" t="s">
        <v>143</v>
      </c>
    </row>
    <row r="2" spans="1:35" ht="21.75" customHeight="1" x14ac:dyDescent="0.2">
      <c r="A2" s="65" t="s">
        <v>9</v>
      </c>
      <c r="B2" s="65" t="s">
        <v>29</v>
      </c>
      <c r="C2" s="65"/>
      <c r="D2" s="65" t="s">
        <v>159</v>
      </c>
      <c r="E2" s="65" t="s">
        <v>160</v>
      </c>
      <c r="F2" s="65" t="s">
        <v>115</v>
      </c>
      <c r="G2" s="65" t="s">
        <v>4</v>
      </c>
      <c r="H2" s="65" t="s">
        <v>1</v>
      </c>
      <c r="I2" s="65"/>
      <c r="J2" s="65" t="s">
        <v>24</v>
      </c>
      <c r="L2" s="73" t="s">
        <v>9</v>
      </c>
      <c r="M2" s="73" t="s">
        <v>150</v>
      </c>
      <c r="N2" s="73" t="s">
        <v>79</v>
      </c>
      <c r="O2" s="73" t="s">
        <v>82</v>
      </c>
      <c r="P2" s="73" t="s">
        <v>80</v>
      </c>
      <c r="Q2" s="73" t="s">
        <v>81</v>
      </c>
      <c r="R2" s="73" t="s">
        <v>83</v>
      </c>
      <c r="S2" s="73" t="s">
        <v>22</v>
      </c>
      <c r="T2" s="73" t="s">
        <v>76</v>
      </c>
      <c r="U2" s="93"/>
      <c r="V2" s="73" t="s">
        <v>9</v>
      </c>
      <c r="W2" s="73" t="s">
        <v>24</v>
      </c>
      <c r="X2" s="73" t="s">
        <v>79</v>
      </c>
      <c r="Y2" s="75" t="s">
        <v>23</v>
      </c>
      <c r="Z2" s="75" t="s">
        <v>84</v>
      </c>
      <c r="AA2" s="73" t="s">
        <v>22</v>
      </c>
      <c r="AB2" s="73" t="s">
        <v>76</v>
      </c>
      <c r="AC2" s="172">
        <f t="array" ref="AC2:AC60">_xll.qlPiecewiseYieldCurveData(yieldcurve1_STD,Trigger)</f>
        <v>-1.1152794816550935E-3</v>
      </c>
      <c r="AH2" s="182" t="s">
        <v>85</v>
      </c>
      <c r="AI2" s="183"/>
    </row>
    <row r="3" spans="1:35" ht="11.25" customHeight="1" x14ac:dyDescent="0.2">
      <c r="A3" s="186" t="s">
        <v>26</v>
      </c>
      <c r="B3" s="187" t="s">
        <v>37</v>
      </c>
      <c r="C3" s="187" t="s">
        <v>74</v>
      </c>
      <c r="D3" s="210" t="b">
        <v>0</v>
      </c>
      <c r="E3" s="210" t="s">
        <v>7</v>
      </c>
      <c r="F3" s="210" t="s">
        <v>27</v>
      </c>
      <c r="G3" s="189" t="str">
        <f>_xll.qlIborIndex(,FamilyName,"1D",,Currency,Calendar,$E3,$D3,$F3,,Permanent,Trigger,ObjectOverwrite)</f>
        <v>obj_00671#0020</v>
      </c>
      <c r="H3" s="190" t="str">
        <f>IF(LCHQuoteOverwrite,Currency&amp;B3&amp;"D"&amp;LCHQuoteSuffix,Currency&amp;B3&amp;"D"&amp;QuoteSuffix)</f>
        <v>EUROND_LCHQuote</v>
      </c>
      <c r="I3" s="188"/>
      <c r="J3" s="191" t="str">
        <f>_xll.qlDepositRateHelper(,$H3,$G3,Permanent,Trigger,ObjectOverwrite)</f>
        <v>obj_00672#0020</v>
      </c>
      <c r="K3" s="49"/>
      <c r="L3" s="68" t="str">
        <f>A3</f>
        <v>Dp</v>
      </c>
      <c r="M3" s="131" t="str">
        <f>IF(ISBLANK(J3),"--",J3)</f>
        <v>obj_00672#0020</v>
      </c>
      <c r="N3" s="145" t="str">
        <f>IFERROR(_xll.qlRateHelperQuoteName(M3,Trigger),"--")</f>
        <v>EUROND_LCHQuote</v>
      </c>
      <c r="O3" s="133">
        <f>IFERROR(_xll.qlRateHelperQuoteValue($M3,Trigger),"--")</f>
        <v>-1.1000000000000001E-3</v>
      </c>
      <c r="P3" s="132" t="b">
        <v>1</v>
      </c>
      <c r="Q3" s="131">
        <v>30</v>
      </c>
      <c r="R3" s="131">
        <v>1</v>
      </c>
      <c r="S3" s="134">
        <f>IFERROR(_xll.qlRateHelperEarliestDate(M3,Trigger),"--")</f>
        <v>42248</v>
      </c>
      <c r="T3" s="134">
        <f>IFERROR(_xll.qlRateHelperPillarDate(M3,Trigger),"--")</f>
        <v>42249</v>
      </c>
      <c r="V3" s="4" t="str">
        <f>IFERROR(INDEX($L$3:$L$60,MATCH(X3,$N$3:$N$60,0),1),"")</f>
        <v>Dp</v>
      </c>
      <c r="W3" s="4" t="str">
        <f t="array" ref="W3:W60">_xll.qlRateHelperSelection(_xll.ohFilter(RateHelpers,IncludeFlag),_xll.ohFilter(Priority,IncludeFlag),$AI$3,$AI$4,$AI$5,$AI$6,_xll.ohFilter(MinDistance,IncludeFlag),Trigger)</f>
        <v>obj_00672</v>
      </c>
      <c r="X3" s="4" t="str">
        <f>IFERROR(_xll.qlRateHelperQuoteName(W3,Trigger),"")</f>
        <v>EUROND_LCHQuote</v>
      </c>
      <c r="Y3" s="70">
        <f>IFERROR(_xll.qlRateHelperRate(W3,Trigger),"")</f>
        <v>-1.1000000000000001E-3</v>
      </c>
      <c r="Z3" s="104" t="str">
        <f>IF(ISERROR(_xll.qlSwapRateHelperSpread($W3)),IF(ISERROR(_xll.qlFuturesRateHelperConvexityAdjustment($W3)),"",_xll.qlFuturesRateHelperConvexityAdjustment($W3)),_xll.qlSwapRateHelperSpread($W3))</f>
        <v/>
      </c>
      <c r="AA3" s="5">
        <f>IFERROR(_xll.qlRateHelperEarliestDate(W3,Trigger),"")</f>
        <v>42248</v>
      </c>
      <c r="AB3" s="5">
        <f>IFERROR(_xll.qlRateHelperPillarDate(W3,Trigger),"")</f>
        <v>42249</v>
      </c>
      <c r="AC3" s="70">
        <v>-1.1152794816550935E-3</v>
      </c>
      <c r="AD3" s="170">
        <f t="array" ref="AD3:AD60">_xll.ohFilter([1]REP00079!$C$2:$C$1000,([1]REP00079!$A$2:$A$1000="EUR_EURIBOR_EOD"))</f>
        <v>42249</v>
      </c>
      <c r="AE3" s="171">
        <f t="array" ref="AE3:AE60">_xll.ohFilter([1]REP00079!$E$2:$E$1000,([1]REP00079!$A$2:$A$1000="EUR_EURIBOR_EOD"))</f>
        <v>-1.1152794816851599E-3</v>
      </c>
      <c r="AF3" s="173">
        <f>_xll.qlYieldTSZeroRate(yieldcurve1_STD,$AD3,"ACTUAL/365 (FIXED)",,,TRUE,Trigger)-AE3</f>
        <v>0</v>
      </c>
      <c r="AG3" s="162"/>
      <c r="AH3" s="107" t="s">
        <v>86</v>
      </c>
      <c r="AI3" s="108">
        <v>12</v>
      </c>
    </row>
    <row r="4" spans="1:35" ht="11.25" customHeight="1" x14ac:dyDescent="0.2">
      <c r="A4" s="192" t="s">
        <v>26</v>
      </c>
      <c r="B4" s="193" t="s">
        <v>73</v>
      </c>
      <c r="C4" s="193" t="s">
        <v>157</v>
      </c>
      <c r="D4" s="211" t="b">
        <v>0</v>
      </c>
      <c r="E4" s="211" t="s">
        <v>7</v>
      </c>
      <c r="F4" s="211" t="s">
        <v>27</v>
      </c>
      <c r="G4" s="195" t="str">
        <f>_xll.qlIborIndex(,FamilyName,"1D",,Currency,Calendar,$E4,$D4,$F4,,Permanent,Trigger,ObjectOverwrite)</f>
        <v>obj_00673#0018</v>
      </c>
      <c r="H4" s="196" t="str">
        <f>IF(LCHQuoteOverwrite,Currency&amp;B4&amp;"D"&amp;LCHQuoteSuffix,Currency&amp;B4&amp;"D"&amp;QuoteSuffix)</f>
        <v>EURTND_LCHQuote</v>
      </c>
      <c r="I4" s="194"/>
      <c r="J4" s="197" t="str">
        <f>_xll.qlFraRateHelper(,$H4,"1D",$G4,PillarDate,,Permanent,Trigger,ObjectOverwrite)</f>
        <v>obj_00674#0043</v>
      </c>
      <c r="K4" s="49"/>
      <c r="L4" s="10" t="str">
        <f t="shared" ref="L4:L12" si="0">A4</f>
        <v>Dp</v>
      </c>
      <c r="M4" s="94" t="str">
        <f t="shared" ref="M4:M12" si="1">IF(ISBLANK(J4),"--",J4)</f>
        <v>obj_00674#0043</v>
      </c>
      <c r="N4" s="146" t="str">
        <f>IFERROR(_xll.qlRateHelperQuoteName(M4,Trigger),"--")</f>
        <v>EURTND_LCHQuote</v>
      </c>
      <c r="O4" s="98">
        <f>IFERROR(_xll.qlRateHelperQuoteValue($M4,Trigger),"--")</f>
        <v>-1.1000000000000001E-3</v>
      </c>
      <c r="P4" s="97" t="b">
        <v>1</v>
      </c>
      <c r="Q4" s="94">
        <v>30</v>
      </c>
      <c r="R4" s="94">
        <v>1</v>
      </c>
      <c r="S4" s="99">
        <f>IFERROR(_xll.qlRateHelperEarliestDate(M4,Trigger),"--")</f>
        <v>42249</v>
      </c>
      <c r="T4" s="99">
        <f>IFERROR(_xll.qlRateHelperPillarDate(M4,Trigger),"--")</f>
        <v>42250</v>
      </c>
      <c r="V4" s="4" t="str">
        <f>IFERROR(INDEX($L$3:$L$60,MATCH(X4,$N$3:$N$60,0),1),"")</f>
        <v>Dp</v>
      </c>
      <c r="W4" s="4" t="str">
        <v>obj_00674</v>
      </c>
      <c r="X4" s="4" t="str">
        <f>IFERROR(_xll.qlRateHelperQuoteName(W4,Trigger),"")</f>
        <v>EURTND_LCHQuote</v>
      </c>
      <c r="Y4" s="70">
        <f>IFERROR(_xll.qlRateHelperRate(W4,Trigger),"")</f>
        <v>-1.1000000000000001E-3</v>
      </c>
      <c r="Z4" s="104" t="str">
        <f>IF(ISERROR(_xll.qlSwapRateHelperSpread($W4)),IF(ISERROR(_xll.qlFuturesRateHelperConvexityAdjustment($W4)),"",_xll.qlFuturesRateHelperConvexityAdjustment($W4)),_xll.qlSwapRateHelperSpread($W4))</f>
        <v/>
      </c>
      <c r="AA4" s="5">
        <f>IFERROR(_xll.qlRateHelperEarliestDate(W4,Trigger),"")</f>
        <v>42249</v>
      </c>
      <c r="AB4" s="5">
        <f>IFERROR(_xll.qlRateHelperPillarDate(W4,Trigger),"")</f>
        <v>42250</v>
      </c>
      <c r="AC4" s="70">
        <v>-1.1152794816444956E-3</v>
      </c>
      <c r="AD4" s="170">
        <v>42255</v>
      </c>
      <c r="AE4" s="171">
        <v>-1.30116936328498E-3</v>
      </c>
      <c r="AF4" s="173">
        <f>_xll.qlYieldTSZeroRate(yieldcurve1_STD,$AD4,"ACTUAL/365 (FIXED)",,,TRUE,Trigger)-AE4</f>
        <v>1.3575078561256504E-14</v>
      </c>
      <c r="AG4" s="162"/>
      <c r="AH4" s="107" t="s">
        <v>87</v>
      </c>
      <c r="AI4" s="108">
        <v>0</v>
      </c>
    </row>
    <row r="5" spans="1:35" ht="11.25" customHeight="1" x14ac:dyDescent="0.2">
      <c r="A5" s="59" t="s">
        <v>26</v>
      </c>
      <c r="B5" s="60" t="s">
        <v>158</v>
      </c>
      <c r="C5" s="60" t="s">
        <v>38</v>
      </c>
      <c r="D5" s="123"/>
      <c r="E5" s="123"/>
      <c r="F5" s="123"/>
      <c r="G5" s="61" t="str">
        <f>PROPER(Currency)&amp;FamilyName&amp;B5</f>
        <v>EuriborSW</v>
      </c>
      <c r="H5" s="185" t="str">
        <f>IF(LCHQuoteOverwrite,Currency&amp;C5&amp;"D"&amp;LCHQuoteSuffix,Currency&amp;B5&amp;"D"&amp;QuoteSuffix)</f>
        <v>EUR1WD_LCHQuote</v>
      </c>
      <c r="I5" s="123"/>
      <c r="J5" s="64" t="str">
        <f>_xll.qlDepositRateHelper(,$H5,$G5,Permanent,Trigger,ObjectOverwrite)</f>
        <v>obj_0066c#0018</v>
      </c>
      <c r="K5" s="49"/>
      <c r="L5" s="10" t="str">
        <f t="shared" si="0"/>
        <v>Dp</v>
      </c>
      <c r="M5" s="94" t="str">
        <f t="shared" si="1"/>
        <v>obj_0066c#0018</v>
      </c>
      <c r="N5" s="146" t="str">
        <f>IFERROR(_xll.qlRateHelperQuoteName(M5,Trigger),"--")</f>
        <v>EUR1WD_LCHQuote</v>
      </c>
      <c r="O5" s="98">
        <f>IFERROR(_xll.qlRateHelperQuoteValue($M5,Trigger),"--")</f>
        <v>-1.4300000000000001E-3</v>
      </c>
      <c r="P5" s="97" t="b">
        <v>1</v>
      </c>
      <c r="Q5" s="94">
        <v>30</v>
      </c>
      <c r="R5" s="94">
        <v>1</v>
      </c>
      <c r="S5" s="99">
        <f>IFERROR(_xll.qlRateHelperEarliestDate(M5,Trigger),"--")</f>
        <v>42250</v>
      </c>
      <c r="T5" s="99">
        <f>IFERROR(_xll.qlRateHelperPillarDate(M5,Trigger),"--")</f>
        <v>42257</v>
      </c>
      <c r="V5" s="4" t="str">
        <f>IFERROR(INDEX($L$3:$L$60,MATCH(X5,$N$3:$N$60,0),1),"")</f>
        <v>Dp</v>
      </c>
      <c r="W5" s="4" t="str">
        <v>obj_0066c</v>
      </c>
      <c r="X5" s="4" t="str">
        <f>IFERROR(_xll.qlRateHelperQuoteName(W5,Trigger),"")</f>
        <v>EUR1WD_LCHQuote</v>
      </c>
      <c r="Y5" s="70">
        <f>IFERROR(_xll.qlRateHelperRate(W5,Trigger),"")</f>
        <v>-1.4300000000000001E-3</v>
      </c>
      <c r="Z5" s="104" t="str">
        <f>IF(ISERROR(_xll.qlSwapRateHelperSpread($W5)),IF(ISERROR(_xll.qlFuturesRateHelperConvexityAdjustment($W5)),"",_xll.qlFuturesRateHelperConvexityAdjustment($W5)),_xll.qlSwapRateHelperSpread($W5))</f>
        <v/>
      </c>
      <c r="AA5" s="5">
        <f>IFERROR(_xll.qlRateHelperEarliestDate(W5,Trigger),"")</f>
        <v>42250</v>
      </c>
      <c r="AB5" s="5">
        <f>IFERROR(_xll.qlRateHelperPillarDate(W5,Trigger),"")</f>
        <v>42257</v>
      </c>
      <c r="AC5" s="70">
        <v>-1.3755253159308601E-3</v>
      </c>
      <c r="AD5" s="170">
        <v>42278</v>
      </c>
      <c r="AE5" s="171">
        <v>-1.18415372101807E-3</v>
      </c>
      <c r="AF5" s="173">
        <f>_xll.qlYieldTSZeroRate(yieldcurve1_STD,$AD5,"ACTUAL/365 (FIXED)",,,TRUE,Trigger)-AE5</f>
        <v>2.9147691205100301E-15</v>
      </c>
      <c r="AG5" s="162"/>
      <c r="AH5" s="107" t="s">
        <v>88</v>
      </c>
      <c r="AI5" s="108">
        <v>8</v>
      </c>
    </row>
    <row r="6" spans="1:35" ht="11.25" customHeight="1" x14ac:dyDescent="0.2">
      <c r="A6" s="59" t="s">
        <v>26</v>
      </c>
      <c r="B6" s="60" t="s">
        <v>2</v>
      </c>
      <c r="C6" s="60" t="s">
        <v>2</v>
      </c>
      <c r="D6" s="123"/>
      <c r="E6" s="123"/>
      <c r="F6" s="123"/>
      <c r="G6" s="61" t="str">
        <f>PROPER(Currency)&amp;FamilyName&amp;B6</f>
        <v>Euribor1M</v>
      </c>
      <c r="H6" s="185" t="str">
        <f>IF(LCHQuoteOverwrite,Currency&amp;B6&amp;"D"&amp;LCHQuoteSuffix,Currency&amp;B6&amp;"D"&amp;QuoteSuffix)</f>
        <v>EUR1MD_LCHQuote</v>
      </c>
      <c r="I6" s="123"/>
      <c r="J6" s="64"/>
      <c r="K6" s="49"/>
      <c r="L6" s="10" t="str">
        <f t="shared" si="0"/>
        <v>Dp</v>
      </c>
      <c r="M6" s="94" t="str">
        <f t="shared" si="1"/>
        <v>--</v>
      </c>
      <c r="N6" s="146" t="str">
        <f>IFERROR(_xll.qlRateHelperQuoteName(M6,Trigger),"--")</f>
        <v>--</v>
      </c>
      <c r="O6" s="98" t="str">
        <f>IFERROR(_xll.qlRateHelperQuoteValue($M6,Trigger),"--")</f>
        <v>--</v>
      </c>
      <c r="P6" s="97" t="b">
        <v>0</v>
      </c>
      <c r="Q6" s="94">
        <v>30</v>
      </c>
      <c r="R6" s="94">
        <v>1</v>
      </c>
      <c r="S6" s="99" t="str">
        <f>IFERROR(_xll.qlRateHelperEarliestDate(M6,Trigger),"--")</f>
        <v>--</v>
      </c>
      <c r="T6" s="99" t="str">
        <f>IFERROR(_xll.qlRateHelperPillarDate(M6,Trigger),"--")</f>
        <v>--</v>
      </c>
      <c r="V6" s="4" t="str">
        <f>IFERROR(INDEX($L$3:$L$60,MATCH(X6,$N$3:$N$60,0),1),"")</f>
        <v>FUT</v>
      </c>
      <c r="W6" s="4" t="str">
        <v>obj_00675</v>
      </c>
      <c r="X6" s="4" t="str">
        <f>IFERROR(_xll.qlRateHelperQuoteName(W6,Trigger),"")</f>
        <v>FEIU5_LCHQuote</v>
      </c>
      <c r="Y6" s="70">
        <f>IFERROR(_xll.qlRateHelperRate(W6,Trigger),"")</f>
        <v>-3.5000000000007248E-4</v>
      </c>
      <c r="Z6" s="104">
        <f>IF(ISERROR(_xll.qlSwapRateHelperSpread($W6)),IF(ISERROR(_xll.qlFuturesRateHelperConvexityAdjustment($W6)),"",_xll.qlFuturesRateHelperConvexityAdjustment($W6)),_xll.qlSwapRateHelperSpread($W6))</f>
        <v>0</v>
      </c>
      <c r="AA6" s="5">
        <f>IFERROR(_xll.qlRateHelperEarliestDate(W6,Trigger),"")</f>
        <v>42263</v>
      </c>
      <c r="AB6" s="5">
        <f>IFERROR(_xll.qlRateHelperPillarDate(W6,Trigger),"")</f>
        <v>42354</v>
      </c>
      <c r="AC6" s="70">
        <v>-4.9157080608129696E-4</v>
      </c>
      <c r="AD6" s="170">
        <v>42308</v>
      </c>
      <c r="AE6" s="171">
        <v>-9.1076572827997995E-4</v>
      </c>
      <c r="AF6" s="173">
        <f>_xll.qlYieldTSZeroRate(yieldcurve1_STD,$AD6,"ACTUAL/365 (FIXED)",,,TRUE,Trigger)-AE6</f>
        <v>1.2796838241846409E-15</v>
      </c>
      <c r="AG6" s="162"/>
      <c r="AH6" s="107" t="s">
        <v>89</v>
      </c>
      <c r="AI6" s="109" t="s">
        <v>90</v>
      </c>
    </row>
    <row r="7" spans="1:35" ht="11.25" customHeight="1" x14ac:dyDescent="0.2">
      <c r="A7" s="59" t="s">
        <v>26</v>
      </c>
      <c r="B7" s="60" t="s">
        <v>41</v>
      </c>
      <c r="C7" s="60" t="s">
        <v>41</v>
      </c>
      <c r="D7" s="123"/>
      <c r="E7" s="123"/>
      <c r="F7" s="123"/>
      <c r="G7" s="61" t="str">
        <f>PROPER(Currency)&amp;FamilyName&amp;B7</f>
        <v>Euribor2M</v>
      </c>
      <c r="H7" s="185" t="str">
        <f>IF(LCHQuoteOverwrite,Currency&amp;B7&amp;"D"&amp;LCHQuoteSuffix,Currency&amp;B7&amp;"D"&amp;QuoteSuffix)</f>
        <v>EUR2MD_LCHQuote</v>
      </c>
      <c r="I7" s="123"/>
      <c r="J7" s="64"/>
      <c r="K7" s="49"/>
      <c r="L7" s="10" t="str">
        <f t="shared" si="0"/>
        <v>Dp</v>
      </c>
      <c r="M7" s="94" t="str">
        <f t="shared" si="1"/>
        <v>--</v>
      </c>
      <c r="N7" s="146" t="str">
        <f>IFERROR(_xll.qlRateHelperQuoteName(M7,Trigger),"--")</f>
        <v>--</v>
      </c>
      <c r="O7" s="98" t="str">
        <f>IFERROR(_xll.qlRateHelperQuoteValue($M7,Trigger),"--")</f>
        <v>--</v>
      </c>
      <c r="P7" s="97" t="b">
        <v>0</v>
      </c>
      <c r="Q7" s="94">
        <v>30</v>
      </c>
      <c r="R7" s="94">
        <v>1</v>
      </c>
      <c r="S7" s="99" t="str">
        <f>IFERROR(_xll.qlRateHelperEarliestDate(M7,Trigger),"--")</f>
        <v>--</v>
      </c>
      <c r="T7" s="99" t="str">
        <f>IFERROR(_xll.qlRateHelperPillarDate(M7,Trigger),"--")</f>
        <v>--</v>
      </c>
      <c r="V7" s="4" t="str">
        <f>IFERROR(INDEX($L$3:$L$60,MATCH(X7,$N$3:$N$60,0),1),"")</f>
        <v>FUT</v>
      </c>
      <c r="W7" s="4" t="str">
        <v>obj_00676</v>
      </c>
      <c r="X7" s="4" t="str">
        <f>IFERROR(_xll.qlRateHelperQuoteName(W7,Trigger),"")</f>
        <v>FEIZ5_LCHQuote</v>
      </c>
      <c r="Y7" s="70">
        <f>IFERROR(_xll.qlRateHelperRate(W7,Trigger),"")</f>
        <v>-3.5399999999996545E-4</v>
      </c>
      <c r="Z7" s="104">
        <f>IF(ISERROR(_xll.qlSwapRateHelperSpread($W7)),IF(ISERROR(_xll.qlFuturesRateHelperConvexityAdjustment($W7)),"",_xll.qlFuturesRateHelperConvexityAdjustment($W7)),_xll.qlSwapRateHelperSpread($W7))</f>
        <v>0</v>
      </c>
      <c r="AA7" s="5">
        <f>IFERROR(_xll.qlRateHelperEarliestDate(W7,Trigger),"")</f>
        <v>42354</v>
      </c>
      <c r="AB7" s="5">
        <f>IFERROR(_xll.qlRateHelperPillarDate(W7,Trigger),"")</f>
        <v>42445</v>
      </c>
      <c r="AC7" s="70">
        <v>-4.3030143921061743E-4</v>
      </c>
      <c r="AD7" s="170">
        <v>42339</v>
      </c>
      <c r="AE7" s="171">
        <v>-6.2826480245061996E-4</v>
      </c>
      <c r="AF7" s="173">
        <f>_xll.qlYieldTSZeroRate(yieldcurve1_STD,$AD7,"ACTUAL/365 (FIXED)",,,TRUE,Trigger)-AE7</f>
        <v>3.5247412627503749E-16</v>
      </c>
      <c r="AG7" s="162"/>
    </row>
    <row r="8" spans="1:35" ht="11.25" customHeight="1" x14ac:dyDescent="0.2">
      <c r="A8" s="59" t="s">
        <v>26</v>
      </c>
      <c r="B8" s="60" t="s">
        <v>0</v>
      </c>
      <c r="C8" s="60" t="s">
        <v>0</v>
      </c>
      <c r="D8" s="123"/>
      <c r="E8" s="123"/>
      <c r="F8" s="123"/>
      <c r="G8" s="61" t="str">
        <f>PROPER(Currency)&amp;FamilyName&amp;B8</f>
        <v>Euribor3M</v>
      </c>
      <c r="H8" s="185" t="str">
        <f>IF(LCHQuoteOverwrite,Currency&amp;B8&amp;"D"&amp;LCHQuoteSuffix,Currency&amp;B8&amp;"D"&amp;QuoteSuffix)</f>
        <v>EUR3MD_LCHQuote</v>
      </c>
      <c r="I8" s="123"/>
      <c r="J8" s="64"/>
      <c r="K8" s="49"/>
      <c r="L8" s="10" t="str">
        <f t="shared" si="0"/>
        <v>Dp</v>
      </c>
      <c r="M8" s="94" t="str">
        <f t="shared" si="1"/>
        <v>--</v>
      </c>
      <c r="N8" s="146" t="str">
        <f>IFERROR(_xll.qlRateHelperQuoteName(M8,Trigger),"--")</f>
        <v>--</v>
      </c>
      <c r="O8" s="98" t="str">
        <f>IFERROR(_xll.qlRateHelperQuoteValue($M8,Trigger),"--")</f>
        <v>--</v>
      </c>
      <c r="P8" s="97" t="b">
        <v>0</v>
      </c>
      <c r="Q8" s="94">
        <v>30</v>
      </c>
      <c r="R8" s="94">
        <v>1</v>
      </c>
      <c r="S8" s="99" t="str">
        <f>IFERROR(_xll.qlRateHelperEarliestDate(M8,Trigger),"--")</f>
        <v>--</v>
      </c>
      <c r="T8" s="99" t="str">
        <f>IFERROR(_xll.qlRateHelperPillarDate(M8,Trigger),"--")</f>
        <v>--</v>
      </c>
      <c r="V8" s="4" t="str">
        <f>IFERROR(INDEX($L$3:$L$60,MATCH(X8,$N$3:$N$60,0),1),"")</f>
        <v>FUT</v>
      </c>
      <c r="W8" s="4" t="str">
        <v>obj_00678</v>
      </c>
      <c r="X8" s="4" t="str">
        <f>IFERROR(_xll.qlRateHelperQuoteName(W8,Trigger),"")</f>
        <v>FEIH6_LCHQuote</v>
      </c>
      <c r="Y8" s="70">
        <f>IFERROR(_xll.qlRateHelperRate(W8,Trigger),"")</f>
        <v>-3.0900109999998371E-4</v>
      </c>
      <c r="Z8" s="104">
        <f>IF(ISERROR(_xll.qlSwapRateHelperSpread($W8)),IF(ISERROR(_xll.qlFuturesRateHelperConvexityAdjustment($W8)),"",_xll.qlFuturesRateHelperConvexityAdjustment($W8)),_xll.qlSwapRateHelperSpread($W8))</f>
        <v>0</v>
      </c>
      <c r="AA8" s="5">
        <f>IFERROR(_xll.qlRateHelperEarliestDate(W8,Trigger),"")</f>
        <v>42445</v>
      </c>
      <c r="AB8" s="5">
        <f>IFERROR(_xll.qlRateHelperPillarDate(W8,Trigger),"")</f>
        <v>42536</v>
      </c>
      <c r="AC8" s="70">
        <v>-3.9333386250165516E-4</v>
      </c>
      <c r="AD8" s="170">
        <v>42430</v>
      </c>
      <c r="AE8" s="171">
        <v>-4.4040078539912001E-4</v>
      </c>
      <c r="AF8" s="173">
        <f>_xll.qlYieldTSZeroRate(yieldcurve1_STD,$AD8,"ACTUAL/365 (FIXED)",,,TRUE,Trigger)-AE8</f>
        <v>9.3653383659297873E-16</v>
      </c>
      <c r="AG8" s="162"/>
    </row>
    <row r="9" spans="1:35" ht="11.25" customHeight="1" x14ac:dyDescent="0.2">
      <c r="A9" s="198" t="s">
        <v>26</v>
      </c>
      <c r="B9" s="199" t="s">
        <v>42</v>
      </c>
      <c r="C9" s="199" t="s">
        <v>42</v>
      </c>
      <c r="D9" s="200"/>
      <c r="E9" s="200"/>
      <c r="F9" s="200"/>
      <c r="G9" s="201" t="str">
        <f>_xll.qlEuribor(,$C9,,Permanent,Trigger,ObjectOverwrite)</f>
        <v>obj_0066d#0036</v>
      </c>
      <c r="H9" s="202" t="str">
        <f>IF(LCHQuoteOverwrite,Currency&amp;B9&amp;"D"&amp;LCHQuoteSuffix,Currency&amp;B9&amp;"D"&amp;QuoteSuffix)</f>
        <v>EUR4MD_LCHQuote</v>
      </c>
      <c r="I9" s="200"/>
      <c r="J9" s="203"/>
      <c r="K9" s="48"/>
      <c r="L9" s="10" t="str">
        <f t="shared" si="0"/>
        <v>Dp</v>
      </c>
      <c r="M9" s="94" t="str">
        <f t="shared" si="1"/>
        <v>--</v>
      </c>
      <c r="N9" s="146" t="str">
        <f>IFERROR(_xll.qlRateHelperQuoteName(M9,Trigger),"--")</f>
        <v>--</v>
      </c>
      <c r="O9" s="98" t="str">
        <f>IFERROR(_xll.qlRateHelperQuoteValue($M9,Trigger),"--")</f>
        <v>--</v>
      </c>
      <c r="P9" s="97" t="b">
        <v>0</v>
      </c>
      <c r="Q9" s="94">
        <v>30</v>
      </c>
      <c r="R9" s="94">
        <v>1</v>
      </c>
      <c r="S9" s="99" t="str">
        <f>IFERROR(_xll.qlRateHelperEarliestDate(M9,Trigger),"--")</f>
        <v>--</v>
      </c>
      <c r="T9" s="99" t="str">
        <f>IFERROR(_xll.qlRateHelperPillarDate(M9,Trigger),"--")</f>
        <v>--</v>
      </c>
      <c r="V9" s="4" t="str">
        <f>IFERROR(INDEX($L$3:$L$60,MATCH(X9,$N$3:$N$60,0),1),"")</f>
        <v>FUT</v>
      </c>
      <c r="W9" s="4" t="str">
        <v>obj_0067a</v>
      </c>
      <c r="X9" s="4" t="str">
        <f>IFERROR(_xll.qlRateHelperQuoteName(W9,Trigger),"")</f>
        <v>FEIM6_LCHQuote</v>
      </c>
      <c r="Y9" s="70">
        <f>IFERROR(_xll.qlRateHelperRate(W9,Trigger),"")</f>
        <v>-2.6700000000001722E-4</v>
      </c>
      <c r="Z9" s="104">
        <f>IF(ISERROR(_xll.qlSwapRateHelperSpread($W9)),IF(ISERROR(_xll.qlFuturesRateHelperConvexityAdjustment($W9)),"",_xll.qlFuturesRateHelperConvexityAdjustment($W9)),_xll.qlSwapRateHelperSpread($W9))</f>
        <v>0</v>
      </c>
      <c r="AA9" s="5">
        <f>IFERROR(_xll.qlRateHelperEarliestDate(W9,Trigger),"")</f>
        <v>42536</v>
      </c>
      <c r="AB9" s="5">
        <f>IFERROR(_xll.qlRateHelperPillarDate(W9,Trigger),"")</f>
        <v>42634</v>
      </c>
      <c r="AC9" s="70">
        <v>-3.6220330104545719E-4</v>
      </c>
      <c r="AD9" s="170">
        <v>42521</v>
      </c>
      <c r="AE9" s="171">
        <v>-3.9942741562429003E-4</v>
      </c>
      <c r="AF9" s="173">
        <f>_xll.qlYieldTSZeroRate(yieldcurve1_STD,$AD9,"ACTUAL/365 (FIXED)",,,TRUE,Trigger)-AE9</f>
        <v>-3.4777599636909295E-12</v>
      </c>
      <c r="AG9" s="162"/>
    </row>
    <row r="10" spans="1:35" ht="11.25" customHeight="1" x14ac:dyDescent="0.2">
      <c r="A10" s="204" t="s">
        <v>26</v>
      </c>
      <c r="B10" s="205" t="s">
        <v>43</v>
      </c>
      <c r="C10" s="205" t="s">
        <v>43</v>
      </c>
      <c r="D10" s="206"/>
      <c r="E10" s="206"/>
      <c r="F10" s="206"/>
      <c r="G10" s="207" t="str">
        <f>_xll.qlEuribor(,$C10,,Permanent,Trigger,ObjectOverwrite)</f>
        <v>obj_0066f#0018</v>
      </c>
      <c r="H10" s="208" t="str">
        <f>IF(LCHQuoteOverwrite,Currency&amp;B10&amp;"D"&amp;LCHQuoteSuffix,Currency&amp;B10&amp;"D"&amp;QuoteSuffix)</f>
        <v>EUR5MD_LCHQuote</v>
      </c>
      <c r="I10" s="206"/>
      <c r="J10" s="209"/>
      <c r="K10" s="48"/>
      <c r="L10" s="10" t="str">
        <f t="shared" si="0"/>
        <v>Dp</v>
      </c>
      <c r="M10" s="94" t="str">
        <f t="shared" si="1"/>
        <v>--</v>
      </c>
      <c r="N10" s="146" t="str">
        <f>IFERROR(_xll.qlRateHelperQuoteName(M10,Trigger),"--")</f>
        <v>--</v>
      </c>
      <c r="O10" s="98" t="str">
        <f>IFERROR(_xll.qlRateHelperQuoteValue($M10,Trigger),"--")</f>
        <v>--</v>
      </c>
      <c r="P10" s="97" t="b">
        <v>0</v>
      </c>
      <c r="Q10" s="94">
        <v>30</v>
      </c>
      <c r="R10" s="94">
        <v>1</v>
      </c>
      <c r="S10" s="99" t="str">
        <f>IFERROR(_xll.qlRateHelperEarliestDate(M10,Trigger),"--")</f>
        <v>--</v>
      </c>
      <c r="T10" s="99" t="str">
        <f>IFERROR(_xll.qlRateHelperPillarDate(M10,Trigger),"--")</f>
        <v>--</v>
      </c>
      <c r="V10" s="4" t="str">
        <f>IFERROR(INDEX($L$3:$L$60,MATCH(X10,$N$3:$N$60,0),1),"")</f>
        <v>FUT</v>
      </c>
      <c r="W10" s="4" t="str">
        <v>obj_0067c</v>
      </c>
      <c r="X10" s="4" t="str">
        <f>IFERROR(_xll.qlRateHelperQuoteName(W10,Trigger),"")</f>
        <v>FEIU6_LCHQuote</v>
      </c>
      <c r="Y10" s="70">
        <f>IFERROR(_xll.qlRateHelperRate(W10,Trigger),"")</f>
        <v>-7.5999999999964984E-5</v>
      </c>
      <c r="Z10" s="104">
        <f>IF(ISERROR(_xll.qlSwapRateHelperSpread($W10)),IF(ISERROR(_xll.qlFuturesRateHelperConvexityAdjustment($W10)),"",_xll.qlFuturesRateHelperConvexityAdjustment($W10)),_xll.qlSwapRateHelperSpread($W10))</f>
        <v>0</v>
      </c>
      <c r="AA10" s="5">
        <f>IFERROR(_xll.qlRateHelperEarliestDate(W10,Trigger),"")</f>
        <v>42634</v>
      </c>
      <c r="AB10" s="5">
        <f>IFERROR(_xll.qlRateHelperPillarDate(W10,Trigger),"")</f>
        <v>42725</v>
      </c>
      <c r="AC10" s="70">
        <v>-3.0780418682436594E-4</v>
      </c>
      <c r="AD10" s="170">
        <v>42613</v>
      </c>
      <c r="AE10" s="171">
        <v>-3.6887413230971E-4</v>
      </c>
      <c r="AF10" s="173">
        <f>_xll.qlYieldTSZeroRate(yieldcurve1_STD,$AD10,"ACTUAL/365 (FIXED)",,,TRUE,Trigger)-AE10</f>
        <v>-3.3334192068960877E-12</v>
      </c>
      <c r="AG10" s="162"/>
    </row>
    <row r="11" spans="1:35" ht="11.25" customHeight="1" x14ac:dyDescent="0.2">
      <c r="A11" s="1" t="s">
        <v>26</v>
      </c>
      <c r="B11" s="8" t="s">
        <v>3</v>
      </c>
      <c r="C11" s="8" t="s">
        <v>3</v>
      </c>
      <c r="D11" s="124"/>
      <c r="E11" s="124"/>
      <c r="F11" s="124"/>
      <c r="G11" s="7" t="str">
        <f>PROPER(Currency)&amp;FamilyName&amp;B11</f>
        <v>Euribor6M</v>
      </c>
      <c r="H11" s="121" t="str">
        <f>IF(LCHQuoteOverwrite,Currency&amp;B11&amp;"D"&amp;LCHQuoteSuffix,Currency&amp;B11&amp;"D"&amp;QuoteSuffix)</f>
        <v>EUR6MD_LCHQuote</v>
      </c>
      <c r="I11" s="124"/>
      <c r="J11" s="3"/>
      <c r="K11" s="48"/>
      <c r="L11" s="11" t="str">
        <f t="shared" si="0"/>
        <v>Dp</v>
      </c>
      <c r="M11" s="95" t="str">
        <f t="shared" si="1"/>
        <v>--</v>
      </c>
      <c r="N11" s="147" t="str">
        <f>IFERROR(_xll.qlRateHelperQuoteName(M11,Trigger),"--")</f>
        <v>--</v>
      </c>
      <c r="O11" s="101" t="str">
        <f>IFERROR(_xll.qlRateHelperQuoteValue($M11,Trigger),"--")</f>
        <v>--</v>
      </c>
      <c r="P11" s="100" t="b">
        <v>0</v>
      </c>
      <c r="Q11" s="95">
        <v>30</v>
      </c>
      <c r="R11" s="95">
        <v>1</v>
      </c>
      <c r="S11" s="102" t="str">
        <f>IFERROR(_xll.qlRateHelperEarliestDate(M11,Trigger),"--")</f>
        <v>--</v>
      </c>
      <c r="T11" s="102" t="str">
        <f>IFERROR(_xll.qlRateHelperPillarDate(M11,Trigger),"--")</f>
        <v>--</v>
      </c>
      <c r="V11" s="4" t="str">
        <f>IFERROR(INDEX($L$3:$L$60,MATCH(X11,$N$3:$N$60,0),1),"")</f>
        <v>FUT</v>
      </c>
      <c r="W11" s="4" t="str">
        <v>obj_0067d</v>
      </c>
      <c r="X11" s="4" t="str">
        <f>IFERROR(_xll.qlRateHelperQuoteName(W11,Trigger),"")</f>
        <v>FEIZ6_LCHQuote</v>
      </c>
      <c r="Y11" s="70">
        <f>IFERROR(_xll.qlRateHelperRate(W11,Trigger),"")</f>
        <v>2.6301350000002E-4</v>
      </c>
      <c r="Z11" s="104">
        <f>IF(ISERROR(_xll.qlSwapRateHelperSpread($W11)),IF(ISERROR(_xll.qlFuturesRateHelperConvexityAdjustment($W11)),"",_xll.qlFuturesRateHelperConvexityAdjustment($W11)),_xll.qlSwapRateHelperSpread($W11))</f>
        <v>0</v>
      </c>
      <c r="AA11" s="5">
        <f>IFERROR(_xll.qlRateHelperEarliestDate(W11,Trigger),"")</f>
        <v>42725</v>
      </c>
      <c r="AB11" s="5">
        <f>IFERROR(_xll.qlRateHelperPillarDate(W11,Trigger),"")</f>
        <v>42809</v>
      </c>
      <c r="AC11" s="70">
        <v>-2.217885034605494E-4</v>
      </c>
      <c r="AD11" s="170">
        <v>42795</v>
      </c>
      <c r="AE11" s="171">
        <v>-2.3612445100962E-4</v>
      </c>
      <c r="AF11" s="173">
        <f>_xll.qlYieldTSZeroRate(yieldcurve1_STD,$AD11,"ACTUAL/365 (FIXED)",,,TRUE,Trigger)-AE11</f>
        <v>3.2173707600023638E-13</v>
      </c>
      <c r="AG11" s="162"/>
    </row>
    <row r="12" spans="1:35" ht="11.25" customHeight="1" x14ac:dyDescent="0.2">
      <c r="B12" s="46"/>
      <c r="C12" s="46"/>
      <c r="D12" s="46"/>
      <c r="E12" s="46"/>
      <c r="F12" s="46"/>
      <c r="G12" s="46"/>
      <c r="H12" s="46"/>
      <c r="K12" s="48"/>
      <c r="L12" s="68" t="str">
        <f>A14</f>
        <v>FUT</v>
      </c>
      <c r="M12" s="131" t="str">
        <f>IF(ISBLANK(J14),"--",J14)</f>
        <v>obj_00675#0016</v>
      </c>
      <c r="N12" s="145" t="str">
        <f>IFERROR(_xll.qlRateHelperQuoteName(M12,Trigger),"--")</f>
        <v>FEIU5_LCHQuote</v>
      </c>
      <c r="O12" s="215">
        <f>IFERROR(_xll.qlRateHelperQuoteValue($M12,Trigger),"--")</f>
        <v>100.03500000000001</v>
      </c>
      <c r="P12" s="132" t="b">
        <v>1</v>
      </c>
      <c r="Q12" s="131">
        <v>20</v>
      </c>
      <c r="R12" s="131">
        <v>1</v>
      </c>
      <c r="S12" s="134">
        <f>IFERROR(_xll.qlRateHelperEarliestDate(M12,Trigger),"--")</f>
        <v>42263</v>
      </c>
      <c r="T12" s="134">
        <f>IFERROR(_xll.qlRateHelperPillarDate(M12,Trigger),"--")</f>
        <v>42354</v>
      </c>
      <c r="V12" s="4" t="str">
        <f>IFERROR(INDEX($L$3:$L$60,MATCH(X12,$N$3:$N$60,0),1),"")</f>
        <v>FUT</v>
      </c>
      <c r="W12" s="4" t="str">
        <v>obj_0067e</v>
      </c>
      <c r="X12" s="4" t="str">
        <f>IFERROR(_xll.qlRateHelperQuoteName(W12,Trigger),"")</f>
        <v>FEIH7_LCHQuote</v>
      </c>
      <c r="Y12" s="70">
        <f>IFERROR(_xll.qlRateHelperRate(W12,Trigger),"")</f>
        <v>6.499884999999761E-4</v>
      </c>
      <c r="Z12" s="104">
        <f>IF(ISERROR(_xll.qlSwapRateHelperSpread($W12)),IF(ISERROR(_xll.qlFuturesRateHelperConvexityAdjustment($W12)),"",_xll.qlFuturesRateHelperConvexityAdjustment($W12)),_xll.qlSwapRateHelperSpread($W12))</f>
        <v>0</v>
      </c>
      <c r="AA12" s="5">
        <f>IFERROR(_xll.qlRateHelperEarliestDate(W12,Trigger),"")</f>
        <v>42809</v>
      </c>
      <c r="AB12" s="5">
        <f>IFERROR(_xll.qlRateHelperPillarDate(W12,Trigger),"")</f>
        <v>42907</v>
      </c>
      <c r="AC12" s="70">
        <v>-9.0812039775328468E-5</v>
      </c>
      <c r="AD12" s="170">
        <v>42978</v>
      </c>
      <c r="AE12" s="171">
        <v>2.1909556782040002E-5</v>
      </c>
      <c r="AF12" s="173">
        <f>_xll.qlYieldTSZeroRate(yieldcurve1_STD,$AD12,"ACTUAL/365 (FIXED)",,,TRUE,Trigger)-AE12</f>
        <v>3.2405936590293276E-13</v>
      </c>
      <c r="AG12" s="162"/>
    </row>
    <row r="13" spans="1:35" ht="11.25" customHeight="1" x14ac:dyDescent="0.2">
      <c r="A13" s="65" t="s">
        <v>9</v>
      </c>
      <c r="B13" s="65" t="s">
        <v>161</v>
      </c>
      <c r="C13" s="65" t="s">
        <v>33</v>
      </c>
      <c r="D13" s="65"/>
      <c r="E13" s="65" t="s">
        <v>147</v>
      </c>
      <c r="F13" s="65" t="s">
        <v>148</v>
      </c>
      <c r="G13" s="65" t="s">
        <v>4</v>
      </c>
      <c r="H13" s="65" t="s">
        <v>1</v>
      </c>
      <c r="I13" s="65" t="s">
        <v>162</v>
      </c>
      <c r="J13" s="65" t="s">
        <v>24</v>
      </c>
      <c r="K13" s="48"/>
      <c r="L13" s="10" t="str">
        <f t="shared" ref="L13:L24" si="2">A15</f>
        <v>FUT</v>
      </c>
      <c r="M13" s="94" t="str">
        <f>IF(ISBLANK(J15),"--",J15)</f>
        <v>obj_00676#0017</v>
      </c>
      <c r="N13" s="146" t="str">
        <f>IFERROR(_xll.qlRateHelperQuoteName(M13,Trigger),"--")</f>
        <v>FEIZ5_LCHQuote</v>
      </c>
      <c r="O13" s="216">
        <f>IFERROR(_xll.qlRateHelperQuoteValue($M13,Trigger),"--")</f>
        <v>100.0354</v>
      </c>
      <c r="P13" s="97" t="b">
        <v>1</v>
      </c>
      <c r="Q13" s="94">
        <v>20</v>
      </c>
      <c r="R13" s="94">
        <v>1</v>
      </c>
      <c r="S13" s="99">
        <f>IFERROR(_xll.qlRateHelperEarliestDate(M13,Trigger),"--")</f>
        <v>42354</v>
      </c>
      <c r="T13" s="99">
        <f>IFERROR(_xll.qlRateHelperPillarDate(M13,Trigger),"--")</f>
        <v>42445</v>
      </c>
      <c r="V13" s="4" t="str">
        <f>IFERROR(INDEX($L$3:$L$60,MATCH(X13,$N$3:$N$60,0),1),"")</f>
        <v>FUT</v>
      </c>
      <c r="W13" s="4" t="str">
        <v>obj_0067f</v>
      </c>
      <c r="X13" s="4" t="str">
        <f>IFERROR(_xll.qlRateHelperQuoteName(W13,Trigger),"")</f>
        <v>FEIM7_LCHQuote</v>
      </c>
      <c r="Y13" s="70">
        <f>IFERROR(_xll.qlRateHelperRate(W13,Trigger),"")</f>
        <v>1.0849922000000234E-3</v>
      </c>
      <c r="Z13" s="104">
        <f>IF(ISERROR(_xll.qlSwapRateHelperSpread($W13)),IF(ISERROR(_xll.qlFuturesRateHelperConvexityAdjustment($W13)),"",_xll.qlFuturesRateHelperConvexityAdjustment($W13)),_xll.qlSwapRateHelperSpread($W13))</f>
        <v>0</v>
      </c>
      <c r="AA13" s="5">
        <f>IFERROR(_xll.qlRateHelperEarliestDate(W13,Trigger),"")</f>
        <v>42907</v>
      </c>
      <c r="AB13" s="5">
        <f>IFERROR(_xll.qlRateHelperPillarDate(W13,Trigger),"")</f>
        <v>42998</v>
      </c>
      <c r="AC13" s="70">
        <v>5.3662119607887819E-5</v>
      </c>
      <c r="AD13" s="170">
        <v>43343</v>
      </c>
      <c r="AE13" s="171">
        <v>8.4929400917900001E-4</v>
      </c>
      <c r="AF13" s="173">
        <f>_xll.qlYieldTSZeroRate(yieldcurve1_STD,$AD13,"ACTUAL/365 (FIXED)",,,TRUE,Trigger)-AE13</f>
        <v>9.3390399580339789E-13</v>
      </c>
      <c r="AG13" s="162"/>
    </row>
    <row r="14" spans="1:35" ht="11.25" customHeight="1" x14ac:dyDescent="0.2">
      <c r="A14" s="53" t="s">
        <v>94</v>
      </c>
      <c r="B14" s="115" t="b">
        <v>1</v>
      </c>
      <c r="C14" s="56" t="str">
        <f>_xll.qlIMMNextCode(EvaluationDate-1,$B14,Trigger)</f>
        <v>U5</v>
      </c>
      <c r="D14" s="129"/>
      <c r="E14" s="212">
        <f>_xll.qlIMMdate($C14,,Trigger)</f>
        <v>42263</v>
      </c>
      <c r="F14" s="212">
        <f>_xll.qlIMMNextDate($E14,,Trigger)</f>
        <v>42354</v>
      </c>
      <c r="G14" s="55" t="str">
        <f>PROPER(Currency)&amp;FamilyName&amp;"3M"</f>
        <v>Euribor3M</v>
      </c>
      <c r="H14" s="118" t="str">
        <f>IF(LCHQuoteOverwrite,"FEI"&amp;$C14&amp;LCHQuoteSuffix,Currency&amp;"FUT"&amp;"3M"&amp;$C14&amp;QuoteSuffix)</f>
        <v>FEIU5_LCHQuote</v>
      </c>
      <c r="I14" s="118">
        <v>0</v>
      </c>
      <c r="J14" s="58" t="str">
        <f>_xll.qlFuturesRateHelper(,$H14,,$E14,$G14,$I14,FALSE,"customdate",$F14,Permanent,Trigger,ObjectOverwrite)</f>
        <v>obj_00675#0016</v>
      </c>
      <c r="K14" s="48"/>
      <c r="L14" s="10" t="str">
        <f t="shared" si="2"/>
        <v>FUT</v>
      </c>
      <c r="M14" s="94" t="str">
        <f>IF(ISBLANK(J16),"--",J16)</f>
        <v>obj_00678#0017</v>
      </c>
      <c r="N14" s="146" t="str">
        <f>IFERROR(_xll.qlRateHelperQuoteName(M14,Trigger),"--")</f>
        <v>FEIH6_LCHQuote</v>
      </c>
      <c r="O14" s="216">
        <f>IFERROR(_xll.qlRateHelperQuoteValue($M14,Trigger),"--")</f>
        <v>100.03090011</v>
      </c>
      <c r="P14" s="97" t="b">
        <v>1</v>
      </c>
      <c r="Q14" s="94">
        <v>20</v>
      </c>
      <c r="R14" s="94">
        <v>1</v>
      </c>
      <c r="S14" s="99">
        <f>IFERROR(_xll.qlRateHelperEarliestDate(M14,Trigger),"--")</f>
        <v>42445</v>
      </c>
      <c r="T14" s="99">
        <f>IFERROR(_xll.qlRateHelperPillarDate(M14,Trigger),"--")</f>
        <v>42536</v>
      </c>
      <c r="V14" s="4" t="str">
        <f>IFERROR(INDEX($L$3:$L$60,MATCH(X14,$N$3:$N$60,0),1),"")</f>
        <v>FUT</v>
      </c>
      <c r="W14" s="4" t="str">
        <v>obj_00680</v>
      </c>
      <c r="X14" s="4" t="str">
        <f>IFERROR(_xll.qlRateHelperQuoteName(W14,Trigger),"")</f>
        <v>FEIU7_LCHQuote</v>
      </c>
      <c r="Y14" s="70">
        <f>IFERROR(_xll.qlRateHelperRate(W14,Trigger),"")</f>
        <v>1.6190000000000371E-3</v>
      </c>
      <c r="Z14" s="104">
        <f>IF(ISERROR(_xll.qlSwapRateHelperSpread($W14)),IF(ISERROR(_xll.qlFuturesRateHelperConvexityAdjustment($W14)),"",_xll.qlFuturesRateHelperConvexityAdjustment($W14)),_xll.qlSwapRateHelperSpread($W14))</f>
        <v>0</v>
      </c>
      <c r="AA14" s="5">
        <f>IFERROR(_xll.qlRateHelperEarliestDate(W14,Trigger),"")</f>
        <v>42998</v>
      </c>
      <c r="AB14" s="5">
        <f>IFERROR(_xll.qlRateHelperPillarDate(W14,Trigger),"")</f>
        <v>43089</v>
      </c>
      <c r="AC14" s="70">
        <v>2.2543551538997808E-4</v>
      </c>
      <c r="AD14" s="170">
        <v>43708</v>
      </c>
      <c r="AE14" s="171">
        <v>3.1022599183150599E-3</v>
      </c>
      <c r="AF14" s="173">
        <f>_xll.qlYieldTSZeroRate(yieldcurve1_STD,$AD14,"ACTUAL/365 (FIXED)",,,TRUE,Trigger)-AE14</f>
        <v>6.0789841208573614E-8</v>
      </c>
      <c r="AG14" s="162"/>
    </row>
    <row r="15" spans="1:35" ht="11.25" customHeight="1" x14ac:dyDescent="0.2">
      <c r="A15" s="59" t="s">
        <v>94</v>
      </c>
      <c r="B15" s="116" t="b">
        <v>1</v>
      </c>
      <c r="C15" s="62" t="str">
        <f>_xll.qlIMMNextCode($C14,$B15,Trigger)</f>
        <v>Z5</v>
      </c>
      <c r="D15" s="123"/>
      <c r="E15" s="213">
        <f>_xll.qlIMMdate($C15,,Trigger)</f>
        <v>42354</v>
      </c>
      <c r="F15" s="213">
        <f>_xll.qlIMMNextDate($E15,,Trigger)</f>
        <v>42445</v>
      </c>
      <c r="G15" s="61" t="str">
        <f>PROPER(Currency)&amp;FamilyName&amp;"3M"</f>
        <v>Euribor3M</v>
      </c>
      <c r="H15" s="119" t="str">
        <f>IF(LCHQuoteOverwrite,"FEI"&amp;$C15&amp;LCHQuoteSuffix,Currency&amp;"FUT"&amp;"3M"&amp;$C15&amp;QuoteSuffix)</f>
        <v>FEIZ5_LCHQuote</v>
      </c>
      <c r="I15" s="119">
        <v>0</v>
      </c>
      <c r="J15" s="64" t="str">
        <f>_xll.qlFuturesRateHelper(,$H15,,$E15,$G15,$I15,FALSE,"customdate",$F15,Permanent,Trigger,ObjectOverwrite)</f>
        <v>obj_00676#0017</v>
      </c>
      <c r="K15" s="48"/>
      <c r="L15" s="10" t="str">
        <f t="shared" si="2"/>
        <v>FUT</v>
      </c>
      <c r="M15" s="94" t="str">
        <f>IF(ISBLANK(J17),"--",J17)</f>
        <v>obj_0067a#0017</v>
      </c>
      <c r="N15" s="146" t="str">
        <f>IFERROR(_xll.qlRateHelperQuoteName(M15,Trigger),"--")</f>
        <v>FEIM6_LCHQuote</v>
      </c>
      <c r="O15" s="216">
        <f>IFERROR(_xll.qlRateHelperQuoteValue($M15,Trigger),"--")</f>
        <v>100.02670000000001</v>
      </c>
      <c r="P15" s="97" t="b">
        <v>1</v>
      </c>
      <c r="Q15" s="94">
        <v>20</v>
      </c>
      <c r="R15" s="94">
        <v>1</v>
      </c>
      <c r="S15" s="99">
        <f>IFERROR(_xll.qlRateHelperEarliestDate(M15,Trigger),"--")</f>
        <v>42536</v>
      </c>
      <c r="T15" s="99">
        <f>IFERROR(_xll.qlRateHelperPillarDate(M15,Trigger),"--")</f>
        <v>42634</v>
      </c>
      <c r="V15" s="4" t="str">
        <f>IFERROR(INDEX($L$3:$L$60,MATCH(X15,$N$3:$N$60,0),1),"")</f>
        <v>FUT</v>
      </c>
      <c r="W15" s="4" t="str">
        <v>obj_00677</v>
      </c>
      <c r="X15" s="4" t="str">
        <f>IFERROR(_xll.qlRateHelperQuoteName(W15,Trigger),"")</f>
        <v>FEIZ7_LCHQuote</v>
      </c>
      <c r="Y15" s="70">
        <f>IFERROR(_xll.qlRateHelperRate(W15,Trigger),"")</f>
        <v>2.2010000000000085E-3</v>
      </c>
      <c r="Z15" s="104">
        <f>IF(ISERROR(_xll.qlSwapRateHelperSpread($W15)),IF(ISERROR(_xll.qlFuturesRateHelperConvexityAdjustment($W15)),"",_xll.qlFuturesRateHelperConvexityAdjustment($W15)),_xll.qlSwapRateHelperSpread($W15))</f>
        <v>0</v>
      </c>
      <c r="AA15" s="5">
        <f>IFERROR(_xll.qlRateHelperEarliestDate(W15,Trigger),"")</f>
        <v>43089</v>
      </c>
      <c r="AB15" s="5">
        <f>IFERROR(_xll.qlRateHelperPillarDate(W15,Trigger),"")</f>
        <v>43180</v>
      </c>
      <c r="AC15" s="70">
        <v>4.212534741993977E-4</v>
      </c>
      <c r="AD15" s="170">
        <v>44073</v>
      </c>
      <c r="AE15" s="171">
        <v>4.5399412004232297E-3</v>
      </c>
      <c r="AF15" s="173">
        <f>_xll.qlYieldTSZeroRate(yieldcurve1_STD,$AD15,"ACTUAL/365 (FIXED)",,,TRUE,Trigger)-AE15</f>
        <v>4.9392370014313125E-8</v>
      </c>
      <c r="AG15" s="162"/>
    </row>
    <row r="16" spans="1:35" ht="11.25" customHeight="1" x14ac:dyDescent="0.2">
      <c r="A16" s="59" t="s">
        <v>94</v>
      </c>
      <c r="B16" s="116" t="b">
        <v>1</v>
      </c>
      <c r="C16" s="62" t="str">
        <f>_xll.qlIMMNextCode($C15,$B16,Trigger)</f>
        <v>H6</v>
      </c>
      <c r="D16" s="123"/>
      <c r="E16" s="213">
        <f>_xll.qlIMMdate($C16,,Trigger)</f>
        <v>42445</v>
      </c>
      <c r="F16" s="213">
        <f>_xll.qlIMMNextDate($E16,,Trigger)</f>
        <v>42536</v>
      </c>
      <c r="G16" s="61" t="str">
        <f>PROPER(Currency)&amp;FamilyName&amp;"3M"</f>
        <v>Euribor3M</v>
      </c>
      <c r="H16" s="119" t="str">
        <f>IF(LCHQuoteOverwrite,"FEI"&amp;$C16&amp;LCHQuoteSuffix,Currency&amp;"FUT"&amp;"3M"&amp;$C16&amp;QuoteSuffix)</f>
        <v>FEIH6_LCHQuote</v>
      </c>
      <c r="I16" s="119">
        <v>0</v>
      </c>
      <c r="J16" s="64" t="str">
        <f>_xll.qlFuturesRateHelper(,$H16,,$E16,$G16,$I16,FALSE,"customdate",$F16,Permanent,Trigger,ObjectOverwrite)</f>
        <v>obj_00678#0017</v>
      </c>
      <c r="K16" s="48"/>
      <c r="L16" s="10" t="str">
        <f t="shared" si="2"/>
        <v>FUT</v>
      </c>
      <c r="M16" s="94" t="str">
        <f>IF(ISBLANK(J18),"--",J18)</f>
        <v>obj_0067c#0017</v>
      </c>
      <c r="N16" s="146" t="str">
        <f>IFERROR(_xll.qlRateHelperQuoteName(M16,Trigger),"--")</f>
        <v>FEIU6_LCHQuote</v>
      </c>
      <c r="O16" s="216">
        <f>IFERROR(_xll.qlRateHelperQuoteValue($M16,Trigger),"--")</f>
        <v>100.0076</v>
      </c>
      <c r="P16" s="97" t="b">
        <v>1</v>
      </c>
      <c r="Q16" s="94">
        <v>20</v>
      </c>
      <c r="R16" s="94">
        <v>1</v>
      </c>
      <c r="S16" s="99">
        <f>IFERROR(_xll.qlRateHelperEarliestDate(M16,Trigger),"--")</f>
        <v>42634</v>
      </c>
      <c r="T16" s="99">
        <f>IFERROR(_xll.qlRateHelperPillarDate(M16,Trigger),"--")</f>
        <v>42725</v>
      </c>
      <c r="V16" s="4" t="str">
        <f>IFERROR(INDEX($L$3:$L$60,MATCH(X16,$N$3:$N$60,0),1),"")</f>
        <v>FUT</v>
      </c>
      <c r="W16" s="4" t="str">
        <v>obj_00679</v>
      </c>
      <c r="X16" s="4" t="str">
        <f>IFERROR(_xll.qlRateHelperQuoteName(W16,Trigger),"")</f>
        <v>FEIH8_LCHQuote</v>
      </c>
      <c r="Y16" s="70">
        <f>IFERROR(_xll.qlRateHelperRate(W16,Trigger),"")</f>
        <v>2.9319999999999347E-3</v>
      </c>
      <c r="Z16" s="104">
        <f>IF(ISERROR(_xll.qlSwapRateHelperSpread($W16)),IF(ISERROR(_xll.qlFuturesRateHelperConvexityAdjustment($W16)),"",_xll.qlFuturesRateHelperConvexityAdjustment($W16)),_xll.qlSwapRateHelperSpread($W16))</f>
        <v>0</v>
      </c>
      <c r="AA16" s="5">
        <f>IFERROR(_xll.qlRateHelperEarliestDate(W16,Trigger),"")</f>
        <v>43180</v>
      </c>
      <c r="AB16" s="5">
        <f>IFERROR(_xll.qlRateHelperPillarDate(W16,Trigger),"")</f>
        <v>43271</v>
      </c>
      <c r="AC16" s="70">
        <v>6.4811794992621638E-4</v>
      </c>
      <c r="AD16" s="170">
        <v>44438</v>
      </c>
      <c r="AE16" s="171">
        <v>6.0263621944588201E-3</v>
      </c>
      <c r="AF16" s="173">
        <f>_xll.qlYieldTSZeroRate(yieldcurve1_STD,$AD16,"ACTUAL/365 (FIXED)",,,TRUE,Trigger)-AE16</f>
        <v>4.1340065038732166E-8</v>
      </c>
      <c r="AG16" s="162"/>
    </row>
    <row r="17" spans="1:33" ht="11.25" customHeight="1" x14ac:dyDescent="0.2">
      <c r="A17" s="59" t="s">
        <v>94</v>
      </c>
      <c r="B17" s="116" t="b">
        <v>1</v>
      </c>
      <c r="C17" s="62" t="str">
        <f>_xll.qlIMMNextCode($C16,$B17,Trigger)</f>
        <v>M6</v>
      </c>
      <c r="D17" s="123"/>
      <c r="E17" s="213">
        <f>_xll.qlIMMdate($C17,,Trigger)</f>
        <v>42536</v>
      </c>
      <c r="F17" s="213">
        <f>_xll.qlIMMNextDate($E17,,Trigger)</f>
        <v>42634</v>
      </c>
      <c r="G17" s="61" t="str">
        <f>PROPER(Currency)&amp;FamilyName&amp;"3M"</f>
        <v>Euribor3M</v>
      </c>
      <c r="H17" s="119" t="str">
        <f>IF(LCHQuoteOverwrite,"FEI"&amp;$C17&amp;LCHQuoteSuffix,Currency&amp;"FUT"&amp;"3M"&amp;$C17&amp;QuoteSuffix)</f>
        <v>FEIM6_LCHQuote</v>
      </c>
      <c r="I17" s="119">
        <v>0</v>
      </c>
      <c r="J17" s="64" t="str">
        <f>_xll.qlFuturesRateHelper(,$H17,,$E17,$G17,$I17,FALSE,"customdate",$F17,Permanent,Trigger,ObjectOverwrite)</f>
        <v>obj_0067a#0017</v>
      </c>
      <c r="K17" s="48"/>
      <c r="L17" s="10" t="str">
        <f t="shared" si="2"/>
        <v>FUT</v>
      </c>
      <c r="M17" s="94" t="str">
        <f>IF(ISBLANK(J19),"--",J19)</f>
        <v>obj_0067d#0017</v>
      </c>
      <c r="N17" s="146" t="str">
        <f>IFERROR(_xll.qlRateHelperQuoteName(M17,Trigger),"--")</f>
        <v>FEIZ6_LCHQuote</v>
      </c>
      <c r="O17" s="216">
        <f>IFERROR(_xll.qlRateHelperQuoteValue($M17,Trigger),"--")</f>
        <v>99.973698650000003</v>
      </c>
      <c r="P17" s="97" t="b">
        <v>1</v>
      </c>
      <c r="Q17" s="94">
        <v>20</v>
      </c>
      <c r="R17" s="94">
        <v>1</v>
      </c>
      <c r="S17" s="99">
        <f>IFERROR(_xll.qlRateHelperEarliestDate(M17,Trigger),"--")</f>
        <v>42725</v>
      </c>
      <c r="T17" s="99">
        <f>IFERROR(_xll.qlRateHelperPillarDate(M17,Trigger),"--")</f>
        <v>42809</v>
      </c>
      <c r="V17" s="4" t="str">
        <f>IFERROR(INDEX($L$3:$L$60,MATCH(X17,$N$3:$N$60,0),1),"")</f>
        <v>FUT</v>
      </c>
      <c r="W17" s="4" t="str">
        <v>obj_0067b</v>
      </c>
      <c r="X17" s="4" t="str">
        <f>IFERROR(_xll.qlRateHelperQuoteName(W17,Trigger),"")</f>
        <v>FEIM8_LCHQuote</v>
      </c>
      <c r="Y17" s="70">
        <f>IFERROR(_xll.qlRateHelperRate(W17,Trigger),"")</f>
        <v>3.7110000000000198E-3</v>
      </c>
      <c r="Z17" s="104">
        <f>IF(ISERROR(_xll.qlSwapRateHelperSpread($W17)),IF(ISERROR(_xll.qlFuturesRateHelperConvexityAdjustment($W17)),"",_xll.qlFuturesRateHelperConvexityAdjustment($W17)),_xll.qlSwapRateHelperSpread($W17))</f>
        <v>0</v>
      </c>
      <c r="AA17" s="5">
        <f>IFERROR(_xll.qlRateHelperEarliestDate(W17,Trigger),"")</f>
        <v>43271</v>
      </c>
      <c r="AB17" s="5">
        <f>IFERROR(_xll.qlRateHelperPillarDate(W17,Trigger),"")</f>
        <v>43362</v>
      </c>
      <c r="AC17" s="70">
        <v>9.0238213710658256E-4</v>
      </c>
      <c r="AD17" s="170">
        <v>44803</v>
      </c>
      <c r="AE17" s="171">
        <v>7.5037464664795299E-3</v>
      </c>
      <c r="AF17" s="173">
        <f>_xll.qlYieldTSZeroRate(yieldcurve1_STD,$AD17,"ACTUAL/365 (FIXED)",,,TRUE,Trigger)-AE17</f>
        <v>3.5597116722178856E-8</v>
      </c>
      <c r="AG17" s="162"/>
    </row>
    <row r="18" spans="1:33" ht="11.25" customHeight="1" x14ac:dyDescent="0.2">
      <c r="A18" s="59" t="s">
        <v>94</v>
      </c>
      <c r="B18" s="116" t="b">
        <v>1</v>
      </c>
      <c r="C18" s="62" t="str">
        <f>_xll.qlIMMNextCode($C17,$B18,Trigger)</f>
        <v>U6</v>
      </c>
      <c r="D18" s="123"/>
      <c r="E18" s="213">
        <f>_xll.qlIMMdate($C18,,Trigger)</f>
        <v>42634</v>
      </c>
      <c r="F18" s="213">
        <f>_xll.qlIMMNextDate($E18,,Trigger)</f>
        <v>42725</v>
      </c>
      <c r="G18" s="61" t="str">
        <f>PROPER(Currency)&amp;FamilyName&amp;"3M"</f>
        <v>Euribor3M</v>
      </c>
      <c r="H18" s="119" t="str">
        <f>IF(LCHQuoteOverwrite,"FEI"&amp;$C18&amp;LCHQuoteSuffix,Currency&amp;"FUT"&amp;"3M"&amp;$C18&amp;QuoteSuffix)</f>
        <v>FEIU6_LCHQuote</v>
      </c>
      <c r="I18" s="119">
        <v>0</v>
      </c>
      <c r="J18" s="64" t="str">
        <f>_xll.qlFuturesRateHelper(,$H18,,$E18,$G18,$I18,FALSE,"customdate",$F18,Permanent,Trigger,ObjectOverwrite)</f>
        <v>obj_0067c#0017</v>
      </c>
      <c r="K18" s="48"/>
      <c r="L18" s="10" t="str">
        <f t="shared" si="2"/>
        <v>FUT</v>
      </c>
      <c r="M18" s="94" t="str">
        <f>IF(ISBLANK(J20),"--",J20)</f>
        <v>obj_0067e#0017</v>
      </c>
      <c r="N18" s="146" t="str">
        <f>IFERROR(_xll.qlRateHelperQuoteName(M18,Trigger),"--")</f>
        <v>FEIH7_LCHQuote</v>
      </c>
      <c r="O18" s="216">
        <f>IFERROR(_xll.qlRateHelperQuoteValue($M18,Trigger),"--")</f>
        <v>99.935001150000005</v>
      </c>
      <c r="P18" s="97" t="b">
        <v>1</v>
      </c>
      <c r="Q18" s="94">
        <v>20</v>
      </c>
      <c r="R18" s="94">
        <v>1</v>
      </c>
      <c r="S18" s="99">
        <f>IFERROR(_xll.qlRateHelperEarliestDate(M18,Trigger),"--")</f>
        <v>42809</v>
      </c>
      <c r="T18" s="99">
        <f>IFERROR(_xll.qlRateHelperPillarDate(M18,Trigger),"--")</f>
        <v>42907</v>
      </c>
      <c r="V18" s="4" t="str">
        <f>IFERROR(INDEX($L$3:$L$60,MATCH(X18,$N$3:$N$60,0),1),"")</f>
        <v>Sw</v>
      </c>
      <c r="W18" s="4" t="str">
        <v>obj_0068c</v>
      </c>
      <c r="X18" s="4" t="str">
        <f>IFERROR(_xll.qlRateHelperQuoteName(W18,Trigger),"")</f>
        <v>EURAB6E4Y_LCHQuote</v>
      </c>
      <c r="Y18" s="70">
        <f>IFERROR(_xll.qlRateHelperRate(W18,Trigger),"")</f>
        <v>3.1212499999999999E-3</v>
      </c>
      <c r="Z18" s="104">
        <f>IF(ISERROR(_xll.qlSwapRateHelperSpread($W18)),IF(ISERROR(_xll.qlFuturesRateHelperConvexityAdjustment($W18)),"",_xll.qlFuturesRateHelperConvexityAdjustment($W18)),_xll.qlSwapRateHelperSpread($W18))</f>
        <v>0</v>
      </c>
      <c r="AA18" s="5">
        <f>IFERROR(_xll.qlRateHelperEarliestDate(W18,Trigger),"")</f>
        <v>42250</v>
      </c>
      <c r="AB18" s="5">
        <f>IFERROR(_xll.qlRateHelperPillarDate(W18,Trigger),"")</f>
        <v>43711</v>
      </c>
      <c r="AC18" s="70">
        <v>3.1213953200439903E-3</v>
      </c>
      <c r="AD18" s="170">
        <v>45168</v>
      </c>
      <c r="AE18" s="171">
        <v>8.9208560534790107E-3</v>
      </c>
      <c r="AF18" s="173">
        <f>_xll.qlYieldTSZeroRate(yieldcurve1_STD,$AD18,"ACTUAL/365 (FIXED)",,,TRUE,Trigger)-AE18</f>
        <v>-7.6031378400467919E-7</v>
      </c>
      <c r="AG18" s="162"/>
    </row>
    <row r="19" spans="1:33" ht="11.25" customHeight="1" x14ac:dyDescent="0.2">
      <c r="A19" s="59" t="s">
        <v>94</v>
      </c>
      <c r="B19" s="116" t="b">
        <v>1</v>
      </c>
      <c r="C19" s="62" t="str">
        <f>_xll.qlIMMNextCode($C18,$B19,Trigger)</f>
        <v>Z6</v>
      </c>
      <c r="D19" s="123"/>
      <c r="E19" s="213">
        <f>_xll.qlIMMdate($C19,,Trigger)</f>
        <v>42725</v>
      </c>
      <c r="F19" s="213">
        <f>_xll.qlIMMNextDate($E19,,Trigger)</f>
        <v>42809</v>
      </c>
      <c r="G19" s="61" t="str">
        <f>PROPER(Currency)&amp;FamilyName&amp;"3M"</f>
        <v>Euribor3M</v>
      </c>
      <c r="H19" s="119" t="str">
        <f>IF(LCHQuoteOverwrite,"FEI"&amp;$C19&amp;LCHQuoteSuffix,Currency&amp;"FUT"&amp;"3M"&amp;$C19&amp;QuoteSuffix)</f>
        <v>FEIZ6_LCHQuote</v>
      </c>
      <c r="I19" s="119">
        <v>0</v>
      </c>
      <c r="J19" s="64" t="str">
        <f>_xll.qlFuturesRateHelper(,$H19,,$E19,$G19,$I19,FALSE,"customdate",$F19,Permanent,Trigger,ObjectOverwrite)</f>
        <v>obj_0067d#0017</v>
      </c>
      <c r="K19" s="48"/>
      <c r="L19" s="10" t="str">
        <f t="shared" si="2"/>
        <v>FUT</v>
      </c>
      <c r="M19" s="94" t="str">
        <f>IF(ISBLANK(J21),"--",J21)</f>
        <v>obj_0067f#0017</v>
      </c>
      <c r="N19" s="146" t="str">
        <f>IFERROR(_xll.qlRateHelperQuoteName(M19,Trigger),"--")</f>
        <v>FEIM7_LCHQuote</v>
      </c>
      <c r="O19" s="216">
        <f>IFERROR(_xll.qlRateHelperQuoteValue($M19,Trigger),"--")</f>
        <v>99.891500780000001</v>
      </c>
      <c r="P19" s="97" t="b">
        <v>1</v>
      </c>
      <c r="Q19" s="94">
        <v>20</v>
      </c>
      <c r="R19" s="94">
        <v>1</v>
      </c>
      <c r="S19" s="99">
        <f>IFERROR(_xll.qlRateHelperEarliestDate(M19,Trigger),"--")</f>
        <v>42907</v>
      </c>
      <c r="T19" s="99">
        <f>IFERROR(_xll.qlRateHelperPillarDate(M19,Trigger),"--")</f>
        <v>42998</v>
      </c>
      <c r="V19" s="4" t="str">
        <f>IFERROR(INDEX($L$3:$L$60,MATCH(X19,$N$3:$N$60,0),1),"")</f>
        <v>Sw</v>
      </c>
      <c r="W19" s="4" t="str">
        <v>obj_00690</v>
      </c>
      <c r="X19" s="4" t="str">
        <f>IFERROR(_xll.qlRateHelperQuoteName(W19,Trigger),"")</f>
        <v>EURAB6E5Y_LCHQuote</v>
      </c>
      <c r="Y19" s="70">
        <f>IFERROR(_xll.qlRateHelperRate(W19,Trigger),"")</f>
        <v>4.5490000000000001E-3</v>
      </c>
      <c r="Z19" s="104">
        <f>IF(ISERROR(_xll.qlSwapRateHelperSpread($W19)),IF(ISERROR(_xll.qlFuturesRateHelperConvexityAdjustment($W19)),"",_xll.qlFuturesRateHelperConvexityAdjustment($W19)),_xll.qlSwapRateHelperSpread($W19))</f>
        <v>0</v>
      </c>
      <c r="AA19" s="5">
        <f>IFERROR(_xll.qlRateHelperEarliestDate(W19,Trigger),"")</f>
        <v>42250</v>
      </c>
      <c r="AB19" s="5">
        <f>IFERROR(_xll.qlRateHelperPillarDate(W19,Trigger),"")</f>
        <v>44077</v>
      </c>
      <c r="AC19" s="70">
        <v>4.5556656786799789E-3</v>
      </c>
      <c r="AD19" s="170">
        <v>45533</v>
      </c>
      <c r="AE19" s="171">
        <v>1.02153970567231E-2</v>
      </c>
      <c r="AF19" s="173">
        <f>_xll.qlYieldTSZeroRate(yieldcurve1_STD,$AD19,"ACTUAL/365 (FIXED)",,,TRUE,Trigger)-AE19</f>
        <v>-4.8831468501923936E-7</v>
      </c>
      <c r="AG19" s="162"/>
    </row>
    <row r="20" spans="1:33" ht="11.25" customHeight="1" x14ac:dyDescent="0.2">
      <c r="A20" s="59" t="s">
        <v>94</v>
      </c>
      <c r="B20" s="116" t="b">
        <v>1</v>
      </c>
      <c r="C20" s="62" t="str">
        <f>_xll.qlIMMNextCode($C19,$B20,Trigger)</f>
        <v>H7</v>
      </c>
      <c r="D20" s="123"/>
      <c r="E20" s="213">
        <f>_xll.qlIMMdate($C20,,Trigger)</f>
        <v>42809</v>
      </c>
      <c r="F20" s="213">
        <f>_xll.qlIMMNextDate($E20,,Trigger)</f>
        <v>42907</v>
      </c>
      <c r="G20" s="61" t="str">
        <f>PROPER(Currency)&amp;FamilyName&amp;"3M"</f>
        <v>Euribor3M</v>
      </c>
      <c r="H20" s="119" t="str">
        <f>IF(LCHQuoteOverwrite,"FEI"&amp;$C20&amp;LCHQuoteSuffix,Currency&amp;"FUT"&amp;"3M"&amp;$C20&amp;QuoteSuffix)</f>
        <v>FEIH7_LCHQuote</v>
      </c>
      <c r="I20" s="119">
        <v>0</v>
      </c>
      <c r="J20" s="64" t="str">
        <f>_xll.qlFuturesRateHelper(,$H20,,$E20,$G20,$I20,FALSE,"customdate",$F20,Permanent,Trigger,ObjectOverwrite)</f>
        <v>obj_0067e#0017</v>
      </c>
      <c r="K20" s="48"/>
      <c r="L20" s="10" t="str">
        <f t="shared" si="2"/>
        <v>FUT</v>
      </c>
      <c r="M20" s="94" t="str">
        <f>IF(ISBLANK(J22),"--",J22)</f>
        <v>obj_00680#0017</v>
      </c>
      <c r="N20" s="146" t="str">
        <f>IFERROR(_xll.qlRateHelperQuoteName(M20,Trigger),"--")</f>
        <v>FEIU7_LCHQuote</v>
      </c>
      <c r="O20" s="216">
        <f>IFERROR(_xll.qlRateHelperQuoteValue($M20,Trigger),"--")</f>
        <v>99.838099999999997</v>
      </c>
      <c r="P20" s="97" t="b">
        <v>1</v>
      </c>
      <c r="Q20" s="94">
        <v>20</v>
      </c>
      <c r="R20" s="94">
        <v>1</v>
      </c>
      <c r="S20" s="99">
        <f>IFERROR(_xll.qlRateHelperEarliestDate(M20,Trigger),"--")</f>
        <v>42998</v>
      </c>
      <c r="T20" s="99">
        <f>IFERROR(_xll.qlRateHelperPillarDate(M20,Trigger),"--")</f>
        <v>43089</v>
      </c>
      <c r="V20" s="4" t="str">
        <f>IFERROR(INDEX($L$3:$L$60,MATCH(X20,$N$3:$N$60,0),1),"")</f>
        <v>Sw</v>
      </c>
      <c r="W20" s="4" t="str">
        <v>obj_00691</v>
      </c>
      <c r="X20" s="4" t="str">
        <f>IFERROR(_xll.qlRateHelperQuoteName(W20,Trigger),"")</f>
        <v>EURAB6E6Y_LCHQuote</v>
      </c>
      <c r="Y20" s="70">
        <f>IFERROR(_xll.qlRateHelperRate(W20,Trigger),"")</f>
        <v>6.0192500000000003E-3</v>
      </c>
      <c r="Z20" s="104">
        <f>IF(ISERROR(_xll.qlSwapRateHelperSpread($W20)),IF(ISERROR(_xll.qlFuturesRateHelperConvexityAdjustment($W20)),"",_xll.qlFuturesRateHelperConvexityAdjustment($W20)),_xll.qlSwapRateHelperSpread($W20))</f>
        <v>0</v>
      </c>
      <c r="AA20" s="5">
        <f>IFERROR(_xll.qlRateHelperEarliestDate(W20,Trigger),"")</f>
        <v>42250</v>
      </c>
      <c r="AB20" s="5">
        <f>IFERROR(_xll.qlRateHelperPillarDate(W20,Trigger),"")</f>
        <v>44442</v>
      </c>
      <c r="AC20" s="70">
        <v>6.0426997988545306E-3</v>
      </c>
      <c r="AD20" s="170">
        <v>45898</v>
      </c>
      <c r="AE20" s="171">
        <v>1.1349570446114199E-2</v>
      </c>
      <c r="AF20" s="173">
        <f>_xll.qlYieldTSZeroRate(yieldcurve1_STD,$AD20,"ACTUAL/365 (FIXED)",,,TRUE,Trigger)-AE20</f>
        <v>-4.4014855864020486E-7</v>
      </c>
      <c r="AG20" s="162"/>
    </row>
    <row r="21" spans="1:33" ht="11.25" customHeight="1" x14ac:dyDescent="0.2">
      <c r="A21" s="59" t="s">
        <v>94</v>
      </c>
      <c r="B21" s="116" t="b">
        <v>1</v>
      </c>
      <c r="C21" s="62" t="str">
        <f>_xll.qlIMMNextCode($C20,$B21,Trigger)</f>
        <v>M7</v>
      </c>
      <c r="D21" s="123"/>
      <c r="E21" s="213">
        <f>_xll.qlIMMdate($C21,,Trigger)</f>
        <v>42907</v>
      </c>
      <c r="F21" s="213">
        <f>_xll.qlIMMNextDate($E21,,Trigger)</f>
        <v>42998</v>
      </c>
      <c r="G21" s="61" t="str">
        <f>PROPER(Currency)&amp;FamilyName&amp;"3M"</f>
        <v>Euribor3M</v>
      </c>
      <c r="H21" s="119" t="str">
        <f>IF(LCHQuoteOverwrite,"FEI"&amp;$C21&amp;LCHQuoteSuffix,Currency&amp;"FUT"&amp;"3M"&amp;$C21&amp;QuoteSuffix)</f>
        <v>FEIM7_LCHQuote</v>
      </c>
      <c r="I21" s="119">
        <v>0</v>
      </c>
      <c r="J21" s="64" t="str">
        <f>_xll.qlFuturesRateHelper(,$H21,,$E21,$G21,$I21,FALSE,"customdate",$F21,Permanent,Trigger,ObjectOverwrite)</f>
        <v>obj_0067f#0017</v>
      </c>
      <c r="K21" s="48"/>
      <c r="L21" s="10" t="str">
        <f t="shared" si="2"/>
        <v>FUT</v>
      </c>
      <c r="M21" s="94" t="str">
        <f>IF(ISBLANK(J23),"--",J23)</f>
        <v>obj_00677#0017</v>
      </c>
      <c r="N21" s="146" t="str">
        <f>IFERROR(_xll.qlRateHelperQuoteName(M21,Trigger),"--")</f>
        <v>FEIZ7_LCHQuote</v>
      </c>
      <c r="O21" s="216">
        <f>IFERROR(_xll.qlRateHelperQuoteValue($M21,Trigger),"--")</f>
        <v>99.779899999999998</v>
      </c>
      <c r="P21" s="97" t="b">
        <v>1</v>
      </c>
      <c r="Q21" s="94">
        <v>20</v>
      </c>
      <c r="R21" s="94">
        <v>1</v>
      </c>
      <c r="S21" s="99">
        <f>IFERROR(_xll.qlRateHelperEarliestDate(M21,Trigger),"--")</f>
        <v>43089</v>
      </c>
      <c r="T21" s="99">
        <f>IFERROR(_xll.qlRateHelperPillarDate(M21,Trigger),"--")</f>
        <v>43180</v>
      </c>
      <c r="V21" s="4" t="str">
        <f>IFERROR(INDEX($L$3:$L$60,MATCH(X21,$N$3:$N$60,0),1),"")</f>
        <v>Sw</v>
      </c>
      <c r="W21" s="4" t="str">
        <v>obj_00681</v>
      </c>
      <c r="X21" s="4" t="str">
        <f>IFERROR(_xll.qlRateHelperQuoteName(W21,Trigger),"")</f>
        <v>EURAB6E7Y_LCHQuote</v>
      </c>
      <c r="Y21" s="70">
        <f>IFERROR(_xll.qlRateHelperRate(W21,Trigger),"")</f>
        <v>7.4780000000000003E-3</v>
      </c>
      <c r="Z21" s="104">
        <f>IF(ISERROR(_xll.qlSwapRateHelperSpread($W21)),IF(ISERROR(_xll.qlFuturesRateHelperConvexityAdjustment($W21)),"",_xll.qlFuturesRateHelperConvexityAdjustment($W21)),_xll.qlSwapRateHelperSpread($W21))</f>
        <v>0</v>
      </c>
      <c r="AA21" s="5">
        <f>IFERROR(_xll.qlRateHelperEarliestDate(W21,Trigger),"")</f>
        <v>42250</v>
      </c>
      <c r="AB21" s="5">
        <f>IFERROR(_xll.qlRateHelperPillarDate(W21,Trigger),"")</f>
        <v>44809</v>
      </c>
      <c r="AC21" s="70">
        <v>7.5280659793537487E-3</v>
      </c>
      <c r="AD21" s="170">
        <v>46628</v>
      </c>
      <c r="AE21" s="171">
        <v>1.3198953864858601E-2</v>
      </c>
      <c r="AF21" s="173">
        <f>_xll.qlYieldTSZeroRate(yieldcurve1_STD,$AD21,"ACTUAL/365 (FIXED)",,,TRUE,Trigger)-AE21</f>
        <v>-3.7176022083668103E-7</v>
      </c>
      <c r="AG21" s="162"/>
    </row>
    <row r="22" spans="1:33" ht="11.25" customHeight="1" x14ac:dyDescent="0.2">
      <c r="A22" s="59" t="s">
        <v>94</v>
      </c>
      <c r="B22" s="116" t="b">
        <v>1</v>
      </c>
      <c r="C22" s="62" t="str">
        <f>_xll.qlIMMNextCode($C21,$B22,Trigger)</f>
        <v>U7</v>
      </c>
      <c r="D22" s="123"/>
      <c r="E22" s="213">
        <f>_xll.qlIMMdate($C22,,Trigger)</f>
        <v>42998</v>
      </c>
      <c r="F22" s="213">
        <f>_xll.qlIMMNextDate($E22,,Trigger)</f>
        <v>43089</v>
      </c>
      <c r="G22" s="61" t="str">
        <f>PROPER(Currency)&amp;FamilyName&amp;"3M"</f>
        <v>Euribor3M</v>
      </c>
      <c r="H22" s="119" t="str">
        <f>IF(LCHQuoteOverwrite,"FEI"&amp;$C22&amp;LCHQuoteSuffix,Currency&amp;"FUT"&amp;"3M"&amp;$C22&amp;QuoteSuffix)</f>
        <v>FEIU7_LCHQuote</v>
      </c>
      <c r="I22" s="119">
        <v>0</v>
      </c>
      <c r="J22" s="64" t="str">
        <f>_xll.qlFuturesRateHelper(,$H22,,$E22,$G22,$I22,FALSE,"customdate",$F22,Permanent,Trigger,ObjectOverwrite)</f>
        <v>obj_00680#0017</v>
      </c>
      <c r="K22" s="48"/>
      <c r="L22" s="10" t="str">
        <f t="shared" si="2"/>
        <v>FUT</v>
      </c>
      <c r="M22" s="94" t="str">
        <f>IF(ISBLANK(J24),"--",J24)</f>
        <v>obj_00679#0017</v>
      </c>
      <c r="N22" s="146" t="str">
        <f>IFERROR(_xll.qlRateHelperQuoteName(M22,Trigger),"--")</f>
        <v>FEIH8_LCHQuote</v>
      </c>
      <c r="O22" s="216">
        <f>IFERROR(_xll.qlRateHelperQuoteValue($M22,Trigger),"--")</f>
        <v>99.706800000000001</v>
      </c>
      <c r="P22" s="97" t="b">
        <v>1</v>
      </c>
      <c r="Q22" s="94">
        <v>20</v>
      </c>
      <c r="R22" s="94">
        <v>1</v>
      </c>
      <c r="S22" s="99">
        <f>IFERROR(_xll.qlRateHelperEarliestDate(M22,Trigger),"--")</f>
        <v>43180</v>
      </c>
      <c r="T22" s="99">
        <f>IFERROR(_xll.qlRateHelperPillarDate(M22,Trigger),"--")</f>
        <v>43271</v>
      </c>
      <c r="V22" s="4" t="str">
        <f>IFERROR(INDEX($L$3:$L$60,MATCH(X22,$N$3:$N$60,0),1),"")</f>
        <v>Sw</v>
      </c>
      <c r="W22" s="4" t="str">
        <v>obj_00683</v>
      </c>
      <c r="X22" s="4" t="str">
        <f>IFERROR(_xll.qlRateHelperQuoteName(W22,Trigger),"")</f>
        <v>EURAB6E8Y_LCHQuote</v>
      </c>
      <c r="Y22" s="70">
        <f>IFERROR(_xll.qlRateHelperRate(W22,Trigger),"")</f>
        <v>8.8542499999999993E-3</v>
      </c>
      <c r="Z22" s="104">
        <f>IF(ISERROR(_xll.qlSwapRateHelperSpread($W22)),IF(ISERROR(_xll.qlFuturesRateHelperConvexityAdjustment($W22)),"",_xll.qlFuturesRateHelperConvexityAdjustment($W22)),_xll.qlSwapRateHelperSpread($W22))</f>
        <v>0</v>
      </c>
      <c r="AA22" s="5">
        <f>IFERROR(_xll.qlRateHelperEarliestDate(W22,Trigger),"")</f>
        <v>42250</v>
      </c>
      <c r="AB22" s="5">
        <f>IFERROR(_xll.qlRateHelperPillarDate(W22,Trigger),"")</f>
        <v>45173</v>
      </c>
      <c r="AC22" s="70">
        <v>8.939483340813955E-3</v>
      </c>
      <c r="AD22" s="170">
        <v>47723</v>
      </c>
      <c r="AE22" s="171">
        <v>1.50997667649345E-2</v>
      </c>
      <c r="AF22" s="173">
        <f>_xll.qlYieldTSZeroRate(yieldcurve1_STD,$AD22,"ACTUAL/365 (FIXED)",,,TRUE,Trigger)-AE22</f>
        <v>3.4491776247820571E-7</v>
      </c>
      <c r="AG22" s="162"/>
    </row>
    <row r="23" spans="1:33" ht="11.25" customHeight="1" x14ac:dyDescent="0.2">
      <c r="A23" s="59" t="s">
        <v>94</v>
      </c>
      <c r="B23" s="116" t="b">
        <v>1</v>
      </c>
      <c r="C23" s="62" t="str">
        <f>_xll.qlIMMNextCode($C22,$B23,Trigger)</f>
        <v>Z7</v>
      </c>
      <c r="D23" s="123"/>
      <c r="E23" s="213">
        <f>_xll.qlIMMdate($C23,,Trigger)</f>
        <v>43089</v>
      </c>
      <c r="F23" s="213">
        <f>_xll.qlIMMNextDate($E23,,Trigger)</f>
        <v>43180</v>
      </c>
      <c r="G23" s="61" t="str">
        <f>PROPER(Currency)&amp;FamilyName&amp;"3M"</f>
        <v>Euribor3M</v>
      </c>
      <c r="H23" s="119" t="str">
        <f>IF(LCHQuoteOverwrite,"FEI"&amp;$C23&amp;LCHQuoteSuffix,Currency&amp;"FUT"&amp;"3M"&amp;$C23&amp;QuoteSuffix)</f>
        <v>FEIZ7_LCHQuote</v>
      </c>
      <c r="I23" s="119">
        <v>0</v>
      </c>
      <c r="J23" s="64" t="str">
        <f>_xll.qlFuturesRateHelper(,$H23,,$E23,$G23,$I23,FALSE,"customdate",$F23,Permanent,Trigger,ObjectOverwrite)</f>
        <v>obj_00677#0017</v>
      </c>
      <c r="K23" s="48"/>
      <c r="L23" s="10" t="str">
        <f t="shared" si="2"/>
        <v>FUT</v>
      </c>
      <c r="M23" s="94" t="str">
        <f>IF(ISBLANK(J25),"--",J25)</f>
        <v>obj_0067b#0017</v>
      </c>
      <c r="N23" s="146" t="str">
        <f>IFERROR(_xll.qlRateHelperQuoteName(M23,Trigger),"--")</f>
        <v>FEIM8_LCHQuote</v>
      </c>
      <c r="O23" s="216">
        <f>IFERROR(_xll.qlRateHelperQuoteValue($M23,Trigger),"--")</f>
        <v>99.628900000000002</v>
      </c>
      <c r="P23" s="97" t="b">
        <v>1</v>
      </c>
      <c r="Q23" s="94">
        <v>20</v>
      </c>
      <c r="R23" s="94">
        <v>1</v>
      </c>
      <c r="S23" s="99">
        <f>IFERROR(_xll.qlRateHelperEarliestDate(M23,Trigger),"--")</f>
        <v>43271</v>
      </c>
      <c r="T23" s="99">
        <f>IFERROR(_xll.qlRateHelperPillarDate(M23,Trigger),"--")</f>
        <v>43362</v>
      </c>
      <c r="V23" s="4" t="str">
        <f>IFERROR(INDEX($L$3:$L$60,MATCH(X23,$N$3:$N$60,0),1),"")</f>
        <v>Sw</v>
      </c>
      <c r="W23" s="4" t="str">
        <v>obj_00685</v>
      </c>
      <c r="X23" s="4" t="str">
        <f>IFERROR(_xll.qlRateHelperQuoteName(W23,Trigger),"")</f>
        <v>EURAB6E9Y_LCHQuote</v>
      </c>
      <c r="Y23" s="70">
        <f>IFERROR(_xll.qlRateHelperRate(W23,Trigger),"")</f>
        <v>1.0107E-2</v>
      </c>
      <c r="Z23" s="104">
        <f>IF(ISERROR(_xll.qlSwapRateHelperSpread($W23)),IF(ISERROR(_xll.qlFuturesRateHelperConvexityAdjustment($W23)),"",_xll.qlFuturesRateHelperConvexityAdjustment($W23)),_xll.qlSwapRateHelperSpread($W23))</f>
        <v>0</v>
      </c>
      <c r="AA23" s="5">
        <f>IFERROR(_xll.qlRateHelperEarliestDate(W23,Trigger),"")</f>
        <v>42250</v>
      </c>
      <c r="AB23" s="5">
        <f>IFERROR(_xll.qlRateHelperPillarDate(W23,Trigger),"")</f>
        <v>45538</v>
      </c>
      <c r="AC23" s="70">
        <v>1.0232622983721755E-2</v>
      </c>
      <c r="AD23" s="170">
        <v>49548</v>
      </c>
      <c r="AE23" s="171">
        <v>1.6592959143731701E-2</v>
      </c>
      <c r="AF23" s="173">
        <f>_xll.qlYieldTSZeroRate(yieldcurve1_STD,$AD23,"ACTUAL/365 (FIXED)",,,TRUE,Trigger)-AE23</f>
        <v>1.3869384809829521E-6</v>
      </c>
      <c r="AG23" s="162"/>
    </row>
    <row r="24" spans="1:33" ht="11.25" customHeight="1" x14ac:dyDescent="0.2">
      <c r="A24" s="59" t="s">
        <v>94</v>
      </c>
      <c r="B24" s="116" t="b">
        <v>1</v>
      </c>
      <c r="C24" s="62" t="str">
        <f>_xll.qlIMMNextCode($C23,$B24,Trigger)</f>
        <v>H8</v>
      </c>
      <c r="D24" s="123"/>
      <c r="E24" s="213">
        <f>_xll.qlIMMdate($C24,,Trigger)</f>
        <v>43180</v>
      </c>
      <c r="F24" s="213">
        <f>_xll.qlIMMNextDate($E24,,Trigger)</f>
        <v>43271</v>
      </c>
      <c r="G24" s="61" t="str">
        <f>PROPER(Currency)&amp;FamilyName&amp;"3M"</f>
        <v>Euribor3M</v>
      </c>
      <c r="H24" s="119" t="str">
        <f>IF(LCHQuoteOverwrite,"FEI"&amp;$C24&amp;LCHQuoteSuffix,Currency&amp;"FUT"&amp;"3M"&amp;$C24&amp;QuoteSuffix)</f>
        <v>FEIH8_LCHQuote</v>
      </c>
      <c r="I24" s="119">
        <v>0</v>
      </c>
      <c r="J24" s="64" t="str">
        <f>_xll.qlFuturesRateHelper(,$H24,,$E24,$G24,$I24,FALSE,"customdate",$F24,Permanent,Trigger,ObjectOverwrite)</f>
        <v>obj_00679#0017</v>
      </c>
      <c r="K24" s="48"/>
      <c r="L24" s="68" t="str">
        <f>A28</f>
        <v>Sw</v>
      </c>
      <c r="M24" s="131" t="str">
        <f>IF(ISBLANK(J28),"--",J28)</f>
        <v>--</v>
      </c>
      <c r="N24" s="145" t="str">
        <f>IFERROR(_xll.qlRateHelperQuoteName(M24,Trigger),"--")</f>
        <v>--</v>
      </c>
      <c r="O24" s="133" t="str">
        <f>IFERROR(_xll.qlRateHelperQuoteValue($M24,Trigger),"--")</f>
        <v>--</v>
      </c>
      <c r="P24" s="132" t="b">
        <v>0</v>
      </c>
      <c r="Q24" s="131">
        <v>10</v>
      </c>
      <c r="R24" s="131">
        <v>1</v>
      </c>
      <c r="S24" s="134" t="str">
        <f>IFERROR(_xll.qlRateHelperEarliestDate(M24,Trigger),"--")</f>
        <v>--</v>
      </c>
      <c r="T24" s="134" t="str">
        <f>IFERROR(_xll.qlRateHelperPillarDate(M24,Trigger),"--")</f>
        <v>--</v>
      </c>
      <c r="V24" s="4" t="str">
        <f>IFERROR(INDEX($L$3:$L$60,MATCH(X24,$N$3:$N$60,0),1),"")</f>
        <v>Sw</v>
      </c>
      <c r="W24" s="4" t="str">
        <v>obj_00689</v>
      </c>
      <c r="X24" s="4" t="str">
        <f>IFERROR(_xll.qlRateHelperQuoteName(W24,Trigger),"")</f>
        <v>EURAB6E10Y_LCHQuote</v>
      </c>
      <c r="Y24" s="70">
        <f>IFERROR(_xll.qlRateHelperRate(W24,Trigger),"")</f>
        <v>1.1193E-2</v>
      </c>
      <c r="Z24" s="104">
        <f>IF(ISERROR(_xll.qlSwapRateHelperSpread($W24)),IF(ISERROR(_xll.qlFuturesRateHelperConvexityAdjustment($W24)),"",_xll.qlFuturesRateHelperConvexityAdjustment($W24)),_xll.qlSwapRateHelperSpread($W24))</f>
        <v>0</v>
      </c>
      <c r="AA24" s="5">
        <f>IFERROR(_xll.qlRateHelperEarliestDate(W24,Trigger),"")</f>
        <v>42250</v>
      </c>
      <c r="AB24" s="5">
        <f>IFERROR(_xll.qlRateHelperPillarDate(W24,Trigger),"")</f>
        <v>45903</v>
      </c>
      <c r="AC24" s="70">
        <v>1.1364637343581023E-2</v>
      </c>
      <c r="AD24" s="170">
        <v>51373</v>
      </c>
      <c r="AE24" s="171">
        <v>1.68460973505212E-2</v>
      </c>
      <c r="AF24" s="173">
        <f>_xll.qlYieldTSZeroRate(yieldcurve1_STD,$AD24,"ACTUAL/365 (FIXED)",,,TRUE,Trigger)-AE24</f>
        <v>1.3650988370493555E-6</v>
      </c>
      <c r="AG24" s="162"/>
    </row>
    <row r="25" spans="1:33" ht="11.25" customHeight="1" x14ac:dyDescent="0.2">
      <c r="A25" s="1" t="s">
        <v>94</v>
      </c>
      <c r="B25" s="117" t="b">
        <v>1</v>
      </c>
      <c r="C25" s="9" t="str">
        <f>_xll.qlIMMNextCode($C24,$B25,Trigger)</f>
        <v>M8</v>
      </c>
      <c r="D25" s="124"/>
      <c r="E25" s="214">
        <f>_xll.qlIMMdate($C25,,Trigger)</f>
        <v>43271</v>
      </c>
      <c r="F25" s="214">
        <f>_xll.qlIMMNextDate($E25,,Trigger)</f>
        <v>43362</v>
      </c>
      <c r="G25" s="7" t="str">
        <f>PROPER(Currency)&amp;FamilyName&amp;"3M"</f>
        <v>Euribor3M</v>
      </c>
      <c r="H25" s="120" t="str">
        <f>IF(LCHQuoteOverwrite,"FEI"&amp;$C25&amp;LCHQuoteSuffix,Currency&amp;"FUT"&amp;"3M"&amp;$C25&amp;QuoteSuffix)</f>
        <v>FEIM8_LCHQuote</v>
      </c>
      <c r="I25" s="120">
        <v>0</v>
      </c>
      <c r="J25" s="3" t="str">
        <f>_xll.qlFuturesRateHelper(,$H25,,$E25,$G25,$I25,FALSE,"customdate",$F25,Permanent,Trigger,ObjectOverwrite)</f>
        <v>obj_0067b#0017</v>
      </c>
      <c r="K25" s="48"/>
      <c r="L25" s="10" t="str">
        <f t="shared" ref="L25:L62" si="3">A29</f>
        <v>Sw</v>
      </c>
      <c r="M25" s="94" t="str">
        <f>IF(ISBLANK(J29),"--",J29)</f>
        <v>--</v>
      </c>
      <c r="N25" s="146" t="str">
        <f>IFERROR(_xll.qlRateHelperQuoteName(M25,Trigger),"--")</f>
        <v>--</v>
      </c>
      <c r="O25" s="98" t="str">
        <f>IFERROR(_xll.qlRateHelperQuoteValue($M25,Trigger),"--")</f>
        <v>--</v>
      </c>
      <c r="P25" s="97" t="b">
        <v>0</v>
      </c>
      <c r="Q25" s="94">
        <v>10</v>
      </c>
      <c r="R25" s="94">
        <v>1</v>
      </c>
      <c r="S25" s="99" t="str">
        <f>IFERROR(_xll.qlRateHelperEarliestDate(M25,Trigger),"--")</f>
        <v>--</v>
      </c>
      <c r="T25" s="99" t="str">
        <f>IFERROR(_xll.qlRateHelperPillarDate(M25,Trigger),"--")</f>
        <v>--</v>
      </c>
      <c r="V25" s="4" t="str">
        <f>IFERROR(INDEX($L$3:$L$60,MATCH(X25,$N$3:$N$60,0),1),"")</f>
        <v>Sw</v>
      </c>
      <c r="W25" s="4" t="str">
        <v>obj_0068d</v>
      </c>
      <c r="X25" s="4" t="str">
        <f>IFERROR(_xll.qlRateHelperQuoteName(W25,Trigger),"")</f>
        <v>EURAB6E12Y_LCHQuote</v>
      </c>
      <c r="Y25" s="70">
        <f>IFERROR(_xll.qlRateHelperRate(W25,Trigger),"")</f>
        <v>1.29455E-2</v>
      </c>
      <c r="Z25" s="104">
        <f>IF(ISERROR(_xll.qlSwapRateHelperSpread($W25)),IF(ISERROR(_xll.qlFuturesRateHelperConvexityAdjustment($W25)),"",_xll.qlFuturesRateHelperConvexityAdjustment($W25)),_xll.qlSwapRateHelperSpread($W25))</f>
        <v>0</v>
      </c>
      <c r="AA25" s="5">
        <f>IFERROR(_xll.qlRateHelperEarliestDate(W25,Trigger),"")</f>
        <v>42250</v>
      </c>
      <c r="AB25" s="5">
        <f>IFERROR(_xll.qlRateHelperPillarDate(W25,Trigger),"")</f>
        <v>46633</v>
      </c>
      <c r="AC25" s="70">
        <v>1.32112299995416E-2</v>
      </c>
      <c r="AD25" s="170">
        <v>53198</v>
      </c>
      <c r="AE25" s="171">
        <v>1.68398172641613E-2</v>
      </c>
      <c r="AF25" s="173">
        <f>_xll.qlYieldTSZeroRate(yieldcurve1_STD,$AD25,"ACTUAL/365 (FIXED)",,,TRUE,Trigger)-AE25</f>
        <v>1.115779214896917E-6</v>
      </c>
      <c r="AG25" s="162"/>
    </row>
    <row r="26" spans="1:33" ht="11.25" customHeight="1" x14ac:dyDescent="0.2">
      <c r="B26" s="46"/>
      <c r="C26" s="46"/>
      <c r="D26" s="46"/>
      <c r="E26" s="46"/>
      <c r="F26" s="50" t="s">
        <v>3</v>
      </c>
      <c r="G26" s="50" t="s">
        <v>126</v>
      </c>
      <c r="H26" s="50" t="s">
        <v>129</v>
      </c>
      <c r="K26" s="48"/>
      <c r="L26" s="10" t="str">
        <f t="shared" si="3"/>
        <v>Sw</v>
      </c>
      <c r="M26" s="94" t="str">
        <f>IF(ISBLANK(J30),"--",J30)</f>
        <v>--</v>
      </c>
      <c r="N26" s="146" t="str">
        <f>IFERROR(_xll.qlRateHelperQuoteName(M26,Trigger),"--")</f>
        <v>--</v>
      </c>
      <c r="O26" s="98" t="str">
        <f>IFERROR(_xll.qlRateHelperQuoteValue($M26,Trigger),"--")</f>
        <v>--</v>
      </c>
      <c r="P26" s="97" t="b">
        <v>0</v>
      </c>
      <c r="Q26" s="94">
        <v>10</v>
      </c>
      <c r="R26" s="94">
        <v>1</v>
      </c>
      <c r="S26" s="99" t="str">
        <f>IFERROR(_xll.qlRateHelperEarliestDate(M26,Trigger),"--")</f>
        <v>--</v>
      </c>
      <c r="T26" s="99" t="str">
        <f>IFERROR(_xll.qlRateHelperPillarDate(M26,Trigger),"--")</f>
        <v>--</v>
      </c>
      <c r="V26" s="4" t="str">
        <f>IFERROR(INDEX($L$3:$L$60,MATCH(X26,$N$3:$N$60,0),1),"")</f>
        <v>Sw</v>
      </c>
      <c r="W26" s="4" t="str">
        <v>obj_00682</v>
      </c>
      <c r="X26" s="4" t="str">
        <f>IFERROR(_xll.qlRateHelperQuoteName(W26,Trigger),"")</f>
        <v>EURAB6E15Y_LCHQuote</v>
      </c>
      <c r="Y26" s="70">
        <f>IFERROR(_xll.qlRateHelperRate(W26,Trigger),"")</f>
        <v>1.4725500000000001E-2</v>
      </c>
      <c r="Z26" s="104">
        <f>IF(ISERROR(_xll.qlSwapRateHelperSpread($W26)),IF(ISERROR(_xll.qlFuturesRateHelperConvexityAdjustment($W26)),"",_xll.qlFuturesRateHelperConvexityAdjustment($W26)),_xll.qlSwapRateHelperSpread($W26))</f>
        <v>0</v>
      </c>
      <c r="AA26" s="5">
        <f>IFERROR(_xll.qlRateHelperEarliestDate(W26,Trigger),"")</f>
        <v>42250</v>
      </c>
      <c r="AB26" s="5">
        <f>IFERROR(_xll.qlRateHelperPillarDate(W26,Trigger),"")</f>
        <v>47729</v>
      </c>
      <c r="AC26" s="70">
        <v>1.5110509196549216E-2</v>
      </c>
      <c r="AD26" s="170">
        <v>55023</v>
      </c>
      <c r="AE26" s="171">
        <v>1.6858984153982501E-2</v>
      </c>
      <c r="AF26" s="173">
        <f>_xll.qlYieldTSZeroRate(yieldcurve1_STD,$AD26,"ACTUAL/365 (FIXED)",,,TRUE,Trigger)-AE26</f>
        <v>9.5853594703557143E-7</v>
      </c>
      <c r="AG26" s="162"/>
    </row>
    <row r="27" spans="1:33" ht="11.25" customHeight="1" x14ac:dyDescent="0.2">
      <c r="A27" s="65" t="s">
        <v>9</v>
      </c>
      <c r="B27" s="65" t="s">
        <v>29</v>
      </c>
      <c r="C27" s="65" t="s">
        <v>114</v>
      </c>
      <c r="D27" s="65" t="s">
        <v>5</v>
      </c>
      <c r="E27" s="65" t="s">
        <v>34</v>
      </c>
      <c r="F27" s="65" t="s">
        <v>115</v>
      </c>
      <c r="G27" s="65" t="s">
        <v>4</v>
      </c>
      <c r="H27" s="65" t="s">
        <v>1</v>
      </c>
      <c r="I27" s="65" t="s">
        <v>113</v>
      </c>
      <c r="J27" s="65" t="s">
        <v>24</v>
      </c>
      <c r="K27" s="48"/>
      <c r="L27" s="10" t="str">
        <f t="shared" si="3"/>
        <v>Sw</v>
      </c>
      <c r="M27" s="94" t="str">
        <f>IF(ISBLANK(J31),"--",J31)</f>
        <v>--</v>
      </c>
      <c r="N27" s="146" t="str">
        <f>IFERROR(_xll.qlRateHelperQuoteName(M27,Trigger),"--")</f>
        <v>--</v>
      </c>
      <c r="O27" s="98" t="str">
        <f>IFERROR(_xll.qlRateHelperQuoteValue($M27,Trigger),"--")</f>
        <v>--</v>
      </c>
      <c r="P27" s="97" t="b">
        <v>0</v>
      </c>
      <c r="Q27" s="94">
        <v>10</v>
      </c>
      <c r="R27" s="94">
        <v>1</v>
      </c>
      <c r="S27" s="99" t="str">
        <f>IFERROR(_xll.qlRateHelperEarliestDate(M27,Trigger),"--")</f>
        <v>--</v>
      </c>
      <c r="T27" s="99" t="str">
        <f>IFERROR(_xll.qlRateHelperPillarDate(M27,Trigger),"--")</f>
        <v>--</v>
      </c>
      <c r="V27" s="4" t="str">
        <f>IFERROR(INDEX($L$3:$L$60,MATCH(X27,$N$3:$N$60,0),1),"")</f>
        <v>Sw</v>
      </c>
      <c r="W27" s="4" t="str">
        <v>obj_0068f</v>
      </c>
      <c r="X27" s="4" t="str">
        <f>IFERROR(_xll.qlRateHelperQuoteName(W27,Trigger),"")</f>
        <v>EURAB6E20Y_LCHQuote</v>
      </c>
      <c r="Y27" s="70">
        <f>IFERROR(_xll.qlRateHelperRate(W27,Trigger),"")</f>
        <v>1.6125500000000001E-2</v>
      </c>
      <c r="Z27" s="104">
        <f>IF(ISERROR(_xll.qlSwapRateHelperSpread($W27)),IF(ISERROR(_xll.qlFuturesRateHelperConvexityAdjustment($W27)),"",_xll.qlFuturesRateHelperConvexityAdjustment($W27)),_xll.qlSwapRateHelperSpread($W27))</f>
        <v>0</v>
      </c>
      <c r="AA27" s="5">
        <f>IFERROR(_xll.qlRateHelperEarliestDate(W27,Trigger),"")</f>
        <v>42250</v>
      </c>
      <c r="AB27" s="5">
        <f>IFERROR(_xll.qlRateHelperPillarDate(W27,Trigger),"")</f>
        <v>49555</v>
      </c>
      <c r="AC27" s="70">
        <v>1.6600056284631397E-2</v>
      </c>
      <c r="AD27" s="170">
        <v>56848</v>
      </c>
      <c r="AE27" s="171">
        <v>1.6878313006260099E-2</v>
      </c>
      <c r="AF27" s="173">
        <f>_xll.qlYieldTSZeroRate(yieldcurve1_STD,$AD27,"ACTUAL/365 (FIXED)",,,TRUE,Trigger)-AE27</f>
        <v>8.0185773857627263E-7</v>
      </c>
      <c r="AG27" s="162"/>
    </row>
    <row r="28" spans="1:33" ht="11.25" customHeight="1" x14ac:dyDescent="0.2">
      <c r="A28" s="53" t="s">
        <v>25</v>
      </c>
      <c r="B28" s="54" t="s">
        <v>28</v>
      </c>
      <c r="C28" s="55" t="s">
        <v>6</v>
      </c>
      <c r="D28" s="55" t="s">
        <v>8</v>
      </c>
      <c r="E28" s="55" t="s">
        <v>7</v>
      </c>
      <c r="F28" s="55" t="s">
        <v>125</v>
      </c>
      <c r="G28" s="55" t="str">
        <f>PROPER(Currency)&amp;FamilyName&amp;$F$26</f>
        <v>Euribor6M</v>
      </c>
      <c r="H28" s="53" t="str">
        <f>IF(LCHQuoteOverwrite,Currency&amp;$G$26&amp;$H$26&amp;$B28&amp;LCHQuoteSuffix,Currency&amp;$G$26&amp;$H$26&amp;$B28&amp;QuoteSuffix)</f>
        <v>EURAB6E1Y_LCHQuote</v>
      </c>
      <c r="I28" s="126">
        <v>0</v>
      </c>
      <c r="J28" s="64"/>
      <c r="K28" s="48"/>
      <c r="L28" s="10" t="str">
        <f t="shared" si="3"/>
        <v>Sw</v>
      </c>
      <c r="M28" s="94" t="str">
        <f>IF(ISBLANK(J32),"--",J32)</f>
        <v>--</v>
      </c>
      <c r="N28" s="146" t="str">
        <f>IFERROR(_xll.qlRateHelperQuoteName(M28,Trigger),"--")</f>
        <v>--</v>
      </c>
      <c r="O28" s="98" t="str">
        <f>IFERROR(_xll.qlRateHelperQuoteValue($M28,Trigger),"--")</f>
        <v>--</v>
      </c>
      <c r="P28" s="97" t="b">
        <v>0</v>
      </c>
      <c r="Q28" s="94">
        <v>10</v>
      </c>
      <c r="R28" s="94">
        <v>1</v>
      </c>
      <c r="S28" s="99" t="str">
        <f>IFERROR(_xll.qlRateHelperEarliestDate(M28,Trigger),"--")</f>
        <v>--</v>
      </c>
      <c r="T28" s="99" t="str">
        <f>IFERROR(_xll.qlRateHelperPillarDate(M28,Trigger),"--")</f>
        <v>--</v>
      </c>
      <c r="V28" s="4" t="str">
        <f>IFERROR(INDEX($L$3:$L$60,MATCH(X28,$N$3:$N$60,0),1),"")</f>
        <v>Sw</v>
      </c>
      <c r="W28" s="4" t="str">
        <v>obj_00686</v>
      </c>
      <c r="X28" s="4" t="str">
        <f>IFERROR(_xll.qlRateHelperQuoteName(W28,Trigger),"")</f>
        <v>EURAB6E25Y_LCHQuote</v>
      </c>
      <c r="Y28" s="70">
        <f>IFERROR(_xll.qlRateHelperRate(W28,Trigger),"")</f>
        <v>1.6433E-2</v>
      </c>
      <c r="Z28" s="104">
        <f>IF(ISERROR(_xll.qlSwapRateHelperSpread($W28)),IF(ISERROR(_xll.qlFuturesRateHelperConvexityAdjustment($W28)),"",_xll.qlFuturesRateHelperConvexityAdjustment($W28)),_xll.qlSwapRateHelperSpread($W28))</f>
        <v>0</v>
      </c>
      <c r="AA28" s="5">
        <f>IFERROR(_xll.qlRateHelperEarliestDate(W28,Trigger),"")</f>
        <v>42250</v>
      </c>
      <c r="AB28" s="5">
        <f>IFERROR(_xll.qlRateHelperPillarDate(W28,Trigger),"")</f>
        <v>51382</v>
      </c>
      <c r="AC28" s="70">
        <v>1.6848687232351948E-2</v>
      </c>
      <c r="AD28" s="170">
        <v>58673</v>
      </c>
      <c r="AE28" s="171">
        <v>1.6573866564293702E-2</v>
      </c>
      <c r="AF28" s="173">
        <f>_xll.qlYieldTSZeroRate(yieldcurve1_STD,$AD28,"ACTUAL/365 (FIXED)",,,TRUE,Trigger)-AE28</f>
        <v>7.1349315836771732E-7</v>
      </c>
      <c r="AG28" s="162"/>
    </row>
    <row r="29" spans="1:33" ht="11.25" customHeight="1" x14ac:dyDescent="0.2">
      <c r="A29" s="59" t="s">
        <v>25</v>
      </c>
      <c r="B29" s="60" t="s">
        <v>49</v>
      </c>
      <c r="C29" s="61" t="s">
        <v>6</v>
      </c>
      <c r="D29" s="61" t="s">
        <v>8</v>
      </c>
      <c r="E29" s="61" t="s">
        <v>7</v>
      </c>
      <c r="F29" s="61" t="s">
        <v>125</v>
      </c>
      <c r="G29" s="61" t="str">
        <f>PROPER(Currency)&amp;FamilyName&amp;$F$26</f>
        <v>Euribor6M</v>
      </c>
      <c r="H29" s="59" t="str">
        <f>IF(LCHQuoteOverwrite,Currency&amp;$G$26&amp;$H$26&amp;$B29&amp;LCHQuoteSuffix,Currency&amp;$G$26&amp;$H$26&amp;$B29&amp;QuoteSuffix)</f>
        <v>EURAB6E15M_LCHQuote</v>
      </c>
      <c r="I29" s="127">
        <v>0</v>
      </c>
      <c r="J29" s="64"/>
      <c r="K29" s="48"/>
      <c r="L29" s="10" t="str">
        <f t="shared" si="3"/>
        <v>Sw</v>
      </c>
      <c r="M29" s="94" t="str">
        <f>IF(ISBLANK(J33),"--",J33)</f>
        <v>--</v>
      </c>
      <c r="N29" s="146" t="str">
        <f>IFERROR(_xll.qlRateHelperQuoteName(M29,Trigger),"--")</f>
        <v>--</v>
      </c>
      <c r="O29" s="98" t="str">
        <f>IFERROR(_xll.qlRateHelperQuoteValue($M29,Trigger),"--")</f>
        <v>--</v>
      </c>
      <c r="P29" s="97" t="b">
        <v>0</v>
      </c>
      <c r="Q29" s="94">
        <v>10</v>
      </c>
      <c r="R29" s="94">
        <v>1</v>
      </c>
      <c r="S29" s="99" t="str">
        <f>IFERROR(_xll.qlRateHelperEarliestDate(M29,Trigger),"--")</f>
        <v>--</v>
      </c>
      <c r="T29" s="99" t="str">
        <f>IFERROR(_xll.qlRateHelperPillarDate(M29,Trigger),"--")</f>
        <v>--</v>
      </c>
      <c r="V29" s="4" t="str">
        <f>IFERROR(INDEX($L$3:$L$60,MATCH(X29,$N$3:$N$60,0),1),"")</f>
        <v>Sw</v>
      </c>
      <c r="W29" s="4" t="str">
        <v>obj_0068e</v>
      </c>
      <c r="X29" s="4" t="str">
        <f>IFERROR(_xll.qlRateHelperQuoteName(W29,Trigger),"")</f>
        <v>EURAB6E30Y_LCHQuote</v>
      </c>
      <c r="Y29" s="70">
        <f>IFERROR(_xll.qlRateHelperRate(W29,Trigger),"")</f>
        <v>1.6500500000000001E-2</v>
      </c>
      <c r="Z29" s="104">
        <f>IF(ISERROR(_xll.qlSwapRateHelperSpread($W29)),IF(ISERROR(_xll.qlFuturesRateHelperConvexityAdjustment($W29)),"",_xll.qlFuturesRateHelperConvexityAdjustment($W29)),_xll.qlSwapRateHelperSpread($W29))</f>
        <v>0</v>
      </c>
      <c r="AA29" s="5">
        <f>IFERROR(_xll.qlRateHelperEarliestDate(W29,Trigger),"")</f>
        <v>42250</v>
      </c>
      <c r="AB29" s="5">
        <f>IFERROR(_xll.qlRateHelperPillarDate(W29,Trigger),"")</f>
        <v>53209</v>
      </c>
      <c r="AC29" s="70">
        <v>1.6840886074169847E-2</v>
      </c>
      <c r="AD29" s="170">
        <v>60498</v>
      </c>
      <c r="AE29" s="171">
        <v>1.6267277097765299E-2</v>
      </c>
      <c r="AF29" s="173">
        <f>_xll.qlYieldTSZeroRate(yieldcurve1_STD,$AD29,"ACTUAL/365 (FIXED)",,,TRUE,Trigger)-AE29</f>
        <v>6.255807367544497E-7</v>
      </c>
      <c r="AG29" s="162"/>
    </row>
    <row r="30" spans="1:33" ht="11.25" customHeight="1" x14ac:dyDescent="0.2">
      <c r="A30" s="59" t="s">
        <v>25</v>
      </c>
      <c r="B30" s="60" t="s">
        <v>50</v>
      </c>
      <c r="C30" s="61" t="s">
        <v>6</v>
      </c>
      <c r="D30" s="61" t="s">
        <v>8</v>
      </c>
      <c r="E30" s="61" t="s">
        <v>7</v>
      </c>
      <c r="F30" s="61" t="s">
        <v>125</v>
      </c>
      <c r="G30" s="61" t="str">
        <f>PROPER(Currency)&amp;FamilyName&amp;$F$26</f>
        <v>Euribor6M</v>
      </c>
      <c r="H30" s="59" t="str">
        <f>IF(LCHQuoteOverwrite,Currency&amp;$G$26&amp;$H$26&amp;$B30&amp;LCHQuoteSuffix,Currency&amp;$G$26&amp;$H$26&amp;$B30&amp;QuoteSuffix)</f>
        <v>EURAB6E18M_LCHQuote</v>
      </c>
      <c r="I30" s="127">
        <v>0</v>
      </c>
      <c r="J30" s="64"/>
      <c r="K30" s="48"/>
      <c r="L30" s="10" t="str">
        <f t="shared" si="3"/>
        <v>Sw</v>
      </c>
      <c r="M30" s="94" t="str">
        <f>IF(ISBLANK(J34),"--",J34)</f>
        <v>obj_0068c#0032</v>
      </c>
      <c r="N30" s="146" t="str">
        <f>IFERROR(_xll.qlRateHelperQuoteName(M30,Trigger),"--")</f>
        <v>EURAB6E4Y_LCHQuote</v>
      </c>
      <c r="O30" s="98">
        <f>IFERROR(_xll.qlRateHelperQuoteValue($M30,Trigger),"--")</f>
        <v>3.1212499999999999E-3</v>
      </c>
      <c r="P30" s="97" t="b">
        <v>1</v>
      </c>
      <c r="Q30" s="94">
        <v>10</v>
      </c>
      <c r="R30" s="94">
        <v>1</v>
      </c>
      <c r="S30" s="99">
        <f>IFERROR(_xll.qlRateHelperEarliestDate(M30,Trigger),"--")</f>
        <v>42250</v>
      </c>
      <c r="T30" s="99">
        <f>IFERROR(_xll.qlRateHelperPillarDate(M30,Trigger),"--")</f>
        <v>43711</v>
      </c>
      <c r="V30" s="4" t="str">
        <f>IFERROR(INDEX($L$3:$L$60,MATCH(X30,$N$3:$N$60,0),1),"")</f>
        <v>Sw</v>
      </c>
      <c r="W30" s="4" t="str">
        <v>obj_00684</v>
      </c>
      <c r="X30" s="4" t="str">
        <f>IFERROR(_xll.qlRateHelperQuoteName(W30,Trigger),"")</f>
        <v>EURAB6E40Y_LCHQuote</v>
      </c>
      <c r="Y30" s="70">
        <f>IFERROR(_xll.qlRateHelperRate(W30,Trigger),"")</f>
        <v>1.6621E-2</v>
      </c>
      <c r="Z30" s="104">
        <f>IF(ISERROR(_xll.qlSwapRateHelperSpread($W30)),IF(ISERROR(_xll.qlFuturesRateHelperConvexityAdjustment($W30)),"",_xll.qlFuturesRateHelperConvexityAdjustment($W30)),_xll.qlSwapRateHelperSpread($W30))</f>
        <v>0</v>
      </c>
      <c r="AA30" s="5">
        <f>IFERROR(_xll.qlRateHelperEarliestDate(W30,Trigger),"")</f>
        <v>42250</v>
      </c>
      <c r="AB30" s="5">
        <f>IFERROR(_xll.qlRateHelperPillarDate(W30,Trigger),"")</f>
        <v>56860</v>
      </c>
      <c r="AC30" s="70">
        <v>1.6879240927608993E-2</v>
      </c>
      <c r="AD30" s="170">
        <v>62323</v>
      </c>
      <c r="AE30" s="171">
        <v>1.6096580246925701E-2</v>
      </c>
      <c r="AF30" s="173">
        <f>_xll.qlYieldTSZeroRate(yieldcurve1_STD,$AD30,"ACTUAL/365 (FIXED)",,,TRUE,Trigger)-AE30</f>
        <v>5.6467211995842037E-7</v>
      </c>
      <c r="AG30" s="162"/>
    </row>
    <row r="31" spans="1:33" ht="11.25" customHeight="1" x14ac:dyDescent="0.2">
      <c r="A31" s="59" t="s">
        <v>25</v>
      </c>
      <c r="B31" s="60" t="s">
        <v>51</v>
      </c>
      <c r="C31" s="61" t="s">
        <v>6</v>
      </c>
      <c r="D31" s="61" t="s">
        <v>8</v>
      </c>
      <c r="E31" s="61" t="s">
        <v>7</v>
      </c>
      <c r="F31" s="61" t="s">
        <v>125</v>
      </c>
      <c r="G31" s="61" t="str">
        <f>PROPER(Currency)&amp;FamilyName&amp;$F$26</f>
        <v>Euribor6M</v>
      </c>
      <c r="H31" s="59" t="str">
        <f>IF(LCHQuoteOverwrite,Currency&amp;$G$26&amp;$H$26&amp;$B31&amp;LCHQuoteSuffix,Currency&amp;$G$26&amp;$H$26&amp;$B31&amp;QuoteSuffix)</f>
        <v>EURAB6E21M_LCHQuote</v>
      </c>
      <c r="I31" s="127">
        <v>0</v>
      </c>
      <c r="J31" s="64"/>
      <c r="K31" s="48"/>
      <c r="L31" s="10" t="str">
        <f t="shared" si="3"/>
        <v>Sw</v>
      </c>
      <c r="M31" s="94" t="str">
        <f>IF(ISBLANK(J35),"--",J35)</f>
        <v>obj_00690#0018</v>
      </c>
      <c r="N31" s="146" t="str">
        <f>IFERROR(_xll.qlRateHelperQuoteName(M31,Trigger),"--")</f>
        <v>EURAB6E5Y_LCHQuote</v>
      </c>
      <c r="O31" s="98">
        <f>IFERROR(_xll.qlRateHelperQuoteValue($M31,Trigger),"--")</f>
        <v>4.5490000000000001E-3</v>
      </c>
      <c r="P31" s="97" t="b">
        <v>1</v>
      </c>
      <c r="Q31" s="94">
        <v>10</v>
      </c>
      <c r="R31" s="94">
        <v>1</v>
      </c>
      <c r="S31" s="99">
        <f>IFERROR(_xll.qlRateHelperEarliestDate(M31,Trigger),"--")</f>
        <v>42250</v>
      </c>
      <c r="T31" s="99">
        <f>IFERROR(_xll.qlRateHelperPillarDate(M31,Trigger),"--")</f>
        <v>44077</v>
      </c>
      <c r="V31" s="4" t="str">
        <f>IFERROR(INDEX($L$3:$L$60,MATCH(X31,$N$3:$N$60,0),1),"")</f>
        <v>Sw</v>
      </c>
      <c r="W31" s="4" t="str">
        <v>obj_00687</v>
      </c>
      <c r="X31" s="4" t="str">
        <f>IFERROR(_xll.qlRateHelperQuoteName(W31,Trigger),"")</f>
        <v>EURAB6E50Y_LCHQuote</v>
      </c>
      <c r="Y31" s="70">
        <f>IFERROR(_xll.qlRateHelperRate(W31,Trigger),"")</f>
        <v>1.6251000000000002E-2</v>
      </c>
      <c r="Z31" s="104">
        <f>IF(ISERROR(_xll.qlSwapRateHelperSpread($W31)),IF(ISERROR(_xll.qlFuturesRateHelperConvexityAdjustment($W31)),"",_xll.qlFuturesRateHelperConvexityAdjustment($W31)),_xll.qlSwapRateHelperSpread($W31))</f>
        <v>0</v>
      </c>
      <c r="AA31" s="5">
        <f>IFERROR(_xll.qlRateHelperEarliestDate(W31,Trigger),"")</f>
        <v>42250</v>
      </c>
      <c r="AB31" s="5">
        <f>IFERROR(_xll.qlRateHelperPillarDate(W31,Trigger),"")</f>
        <v>60513</v>
      </c>
      <c r="AC31" s="70">
        <v>1.6265382042510684E-2</v>
      </c>
      <c r="AD31" s="170">
        <v>64148</v>
      </c>
      <c r="AE31" s="171">
        <v>1.5927009577984E-2</v>
      </c>
      <c r="AF31" s="173">
        <f>_xll.qlYieldTSZeroRate(yieldcurve1_STD,$AD31,"ACTUAL/365 (FIXED)",,,TRUE,Trigger)-AE31</f>
        <v>5.0398729167788758E-7</v>
      </c>
      <c r="AG31" s="162"/>
    </row>
    <row r="32" spans="1:33" ht="11.25" customHeight="1" x14ac:dyDescent="0.2">
      <c r="A32" s="59" t="s">
        <v>25</v>
      </c>
      <c r="B32" s="60" t="s">
        <v>52</v>
      </c>
      <c r="C32" s="61" t="s">
        <v>6</v>
      </c>
      <c r="D32" s="61" t="s">
        <v>8</v>
      </c>
      <c r="E32" s="61" t="s">
        <v>7</v>
      </c>
      <c r="F32" s="61" t="s">
        <v>125</v>
      </c>
      <c r="G32" s="61" t="str">
        <f>PROPER(Currency)&amp;FamilyName&amp;$F$26</f>
        <v>Euribor6M</v>
      </c>
      <c r="H32" s="59" t="str">
        <f>IF(LCHQuoteOverwrite,Currency&amp;$G$26&amp;$H$26&amp;$B32&amp;LCHQuoteSuffix,Currency&amp;$G$26&amp;$H$26&amp;$B32&amp;QuoteSuffix)</f>
        <v>EURAB6E2Y_LCHQuote</v>
      </c>
      <c r="I32" s="127">
        <v>0</v>
      </c>
      <c r="J32" s="64"/>
      <c r="K32" s="48"/>
      <c r="L32" s="10" t="str">
        <f t="shared" si="3"/>
        <v>Sw</v>
      </c>
      <c r="M32" s="94" t="str">
        <f>IF(ISBLANK(J36),"--",J36)</f>
        <v>obj_00691#0018</v>
      </c>
      <c r="N32" s="146" t="str">
        <f>IFERROR(_xll.qlRateHelperQuoteName(M32,Trigger),"--")</f>
        <v>EURAB6E6Y_LCHQuote</v>
      </c>
      <c r="O32" s="98">
        <f>IFERROR(_xll.qlRateHelperQuoteValue($M32,Trigger),"--")</f>
        <v>6.0192500000000003E-3</v>
      </c>
      <c r="P32" s="97" t="b">
        <v>1</v>
      </c>
      <c r="Q32" s="94">
        <v>10</v>
      </c>
      <c r="R32" s="94">
        <v>1</v>
      </c>
      <c r="S32" s="99">
        <f>IFERROR(_xll.qlRateHelperEarliestDate(M32,Trigger),"--")</f>
        <v>42250</v>
      </c>
      <c r="T32" s="99">
        <f>IFERROR(_xll.qlRateHelperPillarDate(M32,Trigger),"--")</f>
        <v>44442</v>
      </c>
      <c r="V32" s="4" t="str">
        <f>IFERROR(INDEX($L$3:$L$60,MATCH(X32,$N$3:$N$60,0),1),"")</f>
        <v>Sw</v>
      </c>
      <c r="W32" s="4" t="str">
        <v>obj_0068a</v>
      </c>
      <c r="X32" s="4" t="str">
        <f>IFERROR(_xll.qlRateHelperQuoteName(W32,Trigger),"")</f>
        <v>EURAB6E60Y_LCHQuote</v>
      </c>
      <c r="Y32" s="70">
        <f>IFERROR(_xll.qlRateHelperRate(W32,Trigger),"")</f>
        <v>1.6047499999999999E-2</v>
      </c>
      <c r="Z32" s="104">
        <f>IF(ISERROR(_xll.qlSwapRateHelperSpread($W32)),IF(ISERROR(_xll.qlFuturesRateHelperConvexityAdjustment($W32)),"",_xll.qlFuturesRateHelperConvexityAdjustment($W32)),_xll.qlSwapRateHelperSpread($W32))</f>
        <v>0</v>
      </c>
      <c r="AA32" s="5">
        <f>IFERROR(_xll.qlRateHelperEarliestDate(W32,Trigger),"")</f>
        <v>42250</v>
      </c>
      <c r="AB32" s="5">
        <f>IFERROR(_xll.qlRateHelperPillarDate(W32,Trigger),"")</f>
        <v>64165</v>
      </c>
      <c r="AC32" s="70">
        <v>1.5925933437596726E-2</v>
      </c>
      <c r="AD32" s="170" t="e">
        <v>#N/A</v>
      </c>
      <c r="AE32" s="171" t="e">
        <v>#N/A</v>
      </c>
      <c r="AF32" s="173" t="e">
        <f>_xll.qlYieldTSZeroRate(yieldcurve1_STD,$AD32,"ACTUAL/365 (FIXED)",,,TRUE,Trigger)-AE32</f>
        <v>#NUM!</v>
      </c>
      <c r="AG32" s="162"/>
    </row>
    <row r="33" spans="1:33" ht="11.25" customHeight="1" x14ac:dyDescent="0.2">
      <c r="A33" s="59" t="s">
        <v>25</v>
      </c>
      <c r="B33" s="60" t="s">
        <v>53</v>
      </c>
      <c r="C33" s="61" t="s">
        <v>6</v>
      </c>
      <c r="D33" s="61" t="s">
        <v>8</v>
      </c>
      <c r="E33" s="61" t="s">
        <v>7</v>
      </c>
      <c r="F33" s="61" t="s">
        <v>125</v>
      </c>
      <c r="G33" s="61" t="str">
        <f>PROPER(Currency)&amp;FamilyName&amp;$F$26</f>
        <v>Euribor6M</v>
      </c>
      <c r="H33" s="59" t="str">
        <f>IF(LCHQuoteOverwrite,Currency&amp;$G$26&amp;$H$26&amp;$B33&amp;LCHQuoteSuffix,Currency&amp;$G$26&amp;$H$26&amp;$B33&amp;QuoteSuffix)</f>
        <v>EURAB6E3Y_LCHQuote</v>
      </c>
      <c r="I33" s="127">
        <v>0</v>
      </c>
      <c r="J33" s="64"/>
      <c r="K33" s="48"/>
      <c r="L33" s="10" t="str">
        <f t="shared" si="3"/>
        <v>Sw</v>
      </c>
      <c r="M33" s="94" t="str">
        <f>IF(ISBLANK(J37),"--",J37)</f>
        <v>obj_00681#0018</v>
      </c>
      <c r="N33" s="146" t="str">
        <f>IFERROR(_xll.qlRateHelperQuoteName(M33,Trigger),"--")</f>
        <v>EURAB6E7Y_LCHQuote</v>
      </c>
      <c r="O33" s="98">
        <f>IFERROR(_xll.qlRateHelperQuoteValue($M33,Trigger),"--")</f>
        <v>7.4780000000000003E-3</v>
      </c>
      <c r="P33" s="97" t="b">
        <v>1</v>
      </c>
      <c r="Q33" s="94">
        <v>10</v>
      </c>
      <c r="R33" s="94">
        <v>1</v>
      </c>
      <c r="S33" s="99">
        <f>IFERROR(_xll.qlRateHelperEarliestDate(M33,Trigger),"--")</f>
        <v>42250</v>
      </c>
      <c r="T33" s="99">
        <f>IFERROR(_xll.qlRateHelperPillarDate(M33,Trigger),"--")</f>
        <v>44809</v>
      </c>
      <c r="V33" s="4" t="str">
        <f>IFERROR(INDEX($L$3:$L$60,MATCH(X33,$N$3:$N$60,0),1),"")</f>
        <v/>
      </c>
      <c r="W33" s="4" t="e">
        <v>#N/A</v>
      </c>
      <c r="X33" s="4" t="str">
        <f>IFERROR(_xll.qlRateHelperQuoteName(W33,Trigger),"")</f>
        <v/>
      </c>
      <c r="Y33" s="70" t="str">
        <f>IFERROR(_xll.qlRateHelperRate(W33,Trigger),"")</f>
        <v/>
      </c>
      <c r="Z33" s="104" t="str">
        <f>IF(ISERROR(_xll.qlSwapRateHelperSpread($W33)),IF(ISERROR(_xll.qlFuturesRateHelperConvexityAdjustment($W33)),"",_xll.qlFuturesRateHelperConvexityAdjustment($W33)),_xll.qlSwapRateHelperSpread($W33))</f>
        <v/>
      </c>
      <c r="AA33" s="5" t="str">
        <f>IFERROR(_xll.qlRateHelperEarliestDate(W33,Trigger),"")</f>
        <v/>
      </c>
      <c r="AB33" s="5" t="str">
        <f>IFERROR(_xll.qlRateHelperPillarDate(W33,Trigger),"")</f>
        <v/>
      </c>
      <c r="AC33" s="70" t="e">
        <v>#N/A</v>
      </c>
      <c r="AD33" s="170" t="e">
        <v>#N/A</v>
      </c>
      <c r="AE33" s="171" t="e">
        <v>#N/A</v>
      </c>
      <c r="AF33" s="173" t="e">
        <f>_xll.qlYieldTSZeroRate(yieldcurve1_STD,$AD33,"ACTUAL/365 (FIXED)",,,TRUE,Trigger)-AE33</f>
        <v>#NUM!</v>
      </c>
      <c r="AG33" s="162"/>
    </row>
    <row r="34" spans="1:33" ht="11.25" customHeight="1" x14ac:dyDescent="0.2">
      <c r="A34" s="59" t="s">
        <v>25</v>
      </c>
      <c r="B34" s="60" t="s">
        <v>54</v>
      </c>
      <c r="C34" s="61" t="s">
        <v>6</v>
      </c>
      <c r="D34" s="61" t="s">
        <v>8</v>
      </c>
      <c r="E34" s="61" t="s">
        <v>7</v>
      </c>
      <c r="F34" s="61" t="s">
        <v>125</v>
      </c>
      <c r="G34" s="61" t="str">
        <f>PROPER(Currency)&amp;FamilyName&amp;$F$26</f>
        <v>Euribor6M</v>
      </c>
      <c r="H34" s="59" t="str">
        <f>IF(LCHQuoteOverwrite,Currency&amp;$G$26&amp;$H$26&amp;$B34&amp;LCHQuoteSuffix,Currency&amp;$G$26&amp;$H$26&amp;$B34&amp;QuoteSuffix)</f>
        <v>EURAB6E4Y_LCHQuote</v>
      </c>
      <c r="I34" s="127">
        <v>0</v>
      </c>
      <c r="J34" s="64" t="str">
        <f>_xll.qlSwapRateHelper2(,$H34,,$B34,Calendar,$D34,$E34,$F34,$G34,$I34,$C34,,PillarDate,,Permanent,Trigger,ObjectOverwrite)</f>
        <v>obj_0068c#0032</v>
      </c>
      <c r="K34" s="48"/>
      <c r="L34" s="10" t="str">
        <f t="shared" si="3"/>
        <v>Sw</v>
      </c>
      <c r="M34" s="94" t="str">
        <f>IF(ISBLANK(J38),"--",J38)</f>
        <v>obj_00683#0018</v>
      </c>
      <c r="N34" s="146" t="str">
        <f>IFERROR(_xll.qlRateHelperQuoteName(M34,Trigger),"--")</f>
        <v>EURAB6E8Y_LCHQuote</v>
      </c>
      <c r="O34" s="98">
        <f>IFERROR(_xll.qlRateHelperQuoteValue($M34,Trigger),"--")</f>
        <v>8.8542499999999993E-3</v>
      </c>
      <c r="P34" s="97" t="b">
        <v>1</v>
      </c>
      <c r="Q34" s="94">
        <v>10</v>
      </c>
      <c r="R34" s="94">
        <v>1</v>
      </c>
      <c r="S34" s="99">
        <f>IFERROR(_xll.qlRateHelperEarliestDate(M34,Trigger),"--")</f>
        <v>42250</v>
      </c>
      <c r="T34" s="99">
        <f>IFERROR(_xll.qlRateHelperPillarDate(M34,Trigger),"--")</f>
        <v>45173</v>
      </c>
      <c r="V34" s="4" t="str">
        <f>IFERROR(INDEX($L$3:$L$60,MATCH(X34,$N$3:$N$60,0),1),"")</f>
        <v/>
      </c>
      <c r="W34" s="4" t="e">
        <v>#N/A</v>
      </c>
      <c r="X34" s="4" t="str">
        <f>IFERROR(_xll.qlRateHelperQuoteName(W34,Trigger),"")</f>
        <v/>
      </c>
      <c r="Y34" s="70" t="str">
        <f>IFERROR(_xll.qlRateHelperRate(W34,Trigger),"")</f>
        <v/>
      </c>
      <c r="Z34" s="104" t="str">
        <f>IF(ISERROR(_xll.qlSwapRateHelperSpread($W34)),IF(ISERROR(_xll.qlFuturesRateHelperConvexityAdjustment($W34)),"",_xll.qlFuturesRateHelperConvexityAdjustment($W34)),_xll.qlSwapRateHelperSpread($W34))</f>
        <v/>
      </c>
      <c r="AA34" s="5" t="str">
        <f>IFERROR(_xll.qlRateHelperEarliestDate(W34,Trigger),"")</f>
        <v/>
      </c>
      <c r="AB34" s="5" t="str">
        <f>IFERROR(_xll.qlRateHelperPillarDate(W34,Trigger),"")</f>
        <v/>
      </c>
      <c r="AC34" s="70" t="e">
        <v>#N/A</v>
      </c>
      <c r="AD34" s="170" t="e">
        <v>#N/A</v>
      </c>
      <c r="AE34" s="171" t="e">
        <v>#N/A</v>
      </c>
      <c r="AF34" s="173" t="e">
        <f>_xll.qlYieldTSZeroRate(yieldcurve1_STD,$AD34,"ACTUAL/365 (FIXED)",,,TRUE,Trigger)-AE34</f>
        <v>#NUM!</v>
      </c>
      <c r="AG34" s="162"/>
    </row>
    <row r="35" spans="1:33" ht="11.25" customHeight="1" x14ac:dyDescent="0.2">
      <c r="A35" s="59" t="s">
        <v>25</v>
      </c>
      <c r="B35" s="60" t="s">
        <v>55</v>
      </c>
      <c r="C35" s="61" t="s">
        <v>6</v>
      </c>
      <c r="D35" s="61" t="s">
        <v>8</v>
      </c>
      <c r="E35" s="61" t="s">
        <v>7</v>
      </c>
      <c r="F35" s="61" t="s">
        <v>125</v>
      </c>
      <c r="G35" s="61" t="str">
        <f>PROPER(Currency)&amp;FamilyName&amp;$F$26</f>
        <v>Euribor6M</v>
      </c>
      <c r="H35" s="59" t="str">
        <f>IF(LCHQuoteOverwrite,Currency&amp;$G$26&amp;$H$26&amp;$B35&amp;LCHQuoteSuffix,Currency&amp;$G$26&amp;$H$26&amp;$B35&amp;QuoteSuffix)</f>
        <v>EURAB6E5Y_LCHQuote</v>
      </c>
      <c r="I35" s="127">
        <v>0</v>
      </c>
      <c r="J35" s="64" t="str">
        <f>_xll.qlSwapRateHelper2(,$H35,,$B35,Calendar,$D35,$E35,$F35,$G35,$I35,$C35,,PillarDate,,Permanent,Trigger,ObjectOverwrite)</f>
        <v>obj_00690#0018</v>
      </c>
      <c r="K35" s="48"/>
      <c r="L35" s="10" t="str">
        <f t="shared" si="3"/>
        <v>Sw</v>
      </c>
      <c r="M35" s="94" t="str">
        <f>IF(ISBLANK(J39),"--",J39)</f>
        <v>obj_00685#0018</v>
      </c>
      <c r="N35" s="146" t="str">
        <f>IFERROR(_xll.qlRateHelperQuoteName(M35,Trigger),"--")</f>
        <v>EURAB6E9Y_LCHQuote</v>
      </c>
      <c r="O35" s="98">
        <f>IFERROR(_xll.qlRateHelperQuoteValue($M35,Trigger),"--")</f>
        <v>1.0107E-2</v>
      </c>
      <c r="P35" s="97" t="b">
        <v>1</v>
      </c>
      <c r="Q35" s="94">
        <v>10</v>
      </c>
      <c r="R35" s="94">
        <v>1</v>
      </c>
      <c r="S35" s="99">
        <f>IFERROR(_xll.qlRateHelperEarliestDate(M35,Trigger),"--")</f>
        <v>42250</v>
      </c>
      <c r="T35" s="99">
        <f>IFERROR(_xll.qlRateHelperPillarDate(M35,Trigger),"--")</f>
        <v>45538</v>
      </c>
      <c r="V35" s="4" t="str">
        <f>IFERROR(INDEX($L$3:$L$60,MATCH(X35,$N$3:$N$60,0),1),"")</f>
        <v/>
      </c>
      <c r="W35" s="4" t="e">
        <v>#N/A</v>
      </c>
      <c r="X35" s="4" t="str">
        <f>IFERROR(_xll.qlRateHelperQuoteName(W35,Trigger),"")</f>
        <v/>
      </c>
      <c r="Y35" s="70" t="str">
        <f>IFERROR(_xll.qlRateHelperRate(W35,Trigger),"")</f>
        <v/>
      </c>
      <c r="Z35" s="104" t="str">
        <f>IF(ISERROR(_xll.qlSwapRateHelperSpread($W35)),IF(ISERROR(_xll.qlFuturesRateHelperConvexityAdjustment($W35)),"",_xll.qlFuturesRateHelperConvexityAdjustment($W35)),_xll.qlSwapRateHelperSpread($W35))</f>
        <v/>
      </c>
      <c r="AA35" s="5" t="str">
        <f>IFERROR(_xll.qlRateHelperEarliestDate(W35,Trigger),"")</f>
        <v/>
      </c>
      <c r="AB35" s="5" t="str">
        <f>IFERROR(_xll.qlRateHelperPillarDate(W35,Trigger),"")</f>
        <v/>
      </c>
      <c r="AC35" s="70" t="e">
        <v>#N/A</v>
      </c>
      <c r="AD35" s="170" t="e">
        <v>#N/A</v>
      </c>
      <c r="AE35" s="171" t="e">
        <v>#N/A</v>
      </c>
      <c r="AF35" s="173" t="e">
        <f>_xll.qlYieldTSZeroRate(yieldcurve1_STD,$AD35,"ACTUAL/365 (FIXED)",,,TRUE,Trigger)-AE35</f>
        <v>#NUM!</v>
      </c>
      <c r="AG35" s="162"/>
    </row>
    <row r="36" spans="1:33" ht="11.25" customHeight="1" x14ac:dyDescent="0.2">
      <c r="A36" s="59" t="s">
        <v>25</v>
      </c>
      <c r="B36" s="60" t="s">
        <v>56</v>
      </c>
      <c r="C36" s="61" t="s">
        <v>6</v>
      </c>
      <c r="D36" s="61" t="s">
        <v>8</v>
      </c>
      <c r="E36" s="61" t="s">
        <v>7</v>
      </c>
      <c r="F36" s="61" t="s">
        <v>125</v>
      </c>
      <c r="G36" s="61" t="str">
        <f>PROPER(Currency)&amp;FamilyName&amp;$F$26</f>
        <v>Euribor6M</v>
      </c>
      <c r="H36" s="59" t="str">
        <f>IF(LCHQuoteOverwrite,Currency&amp;$G$26&amp;$H$26&amp;$B36&amp;LCHQuoteSuffix,Currency&amp;$G$26&amp;$H$26&amp;$B36&amp;QuoteSuffix)</f>
        <v>EURAB6E6Y_LCHQuote</v>
      </c>
      <c r="I36" s="127">
        <v>0</v>
      </c>
      <c r="J36" s="64" t="str">
        <f>_xll.qlSwapRateHelper2(,$H36,,$B36,Calendar,$D36,$E36,$F36,$G36,$I36,$C36,,PillarDate,,Permanent,Trigger,ObjectOverwrite)</f>
        <v>obj_00691#0018</v>
      </c>
      <c r="K36" s="48"/>
      <c r="L36" s="10" t="str">
        <f t="shared" si="3"/>
        <v>Sw</v>
      </c>
      <c r="M36" s="94" t="str">
        <f>IF(ISBLANK(J40),"--",J40)</f>
        <v>obj_00689#0018</v>
      </c>
      <c r="N36" s="146" t="str">
        <f>IFERROR(_xll.qlRateHelperQuoteName(M36,Trigger),"--")</f>
        <v>EURAB6E10Y_LCHQuote</v>
      </c>
      <c r="O36" s="98">
        <f>IFERROR(_xll.qlRateHelperQuoteValue($M36,Trigger),"--")</f>
        <v>1.1193E-2</v>
      </c>
      <c r="P36" s="97" t="b">
        <v>1</v>
      </c>
      <c r="Q36" s="94">
        <v>10</v>
      </c>
      <c r="R36" s="94">
        <v>1</v>
      </c>
      <c r="S36" s="99">
        <f>IFERROR(_xll.qlRateHelperEarliestDate(M36,Trigger),"--")</f>
        <v>42250</v>
      </c>
      <c r="T36" s="99">
        <f>IFERROR(_xll.qlRateHelperPillarDate(M36,Trigger),"--")</f>
        <v>45903</v>
      </c>
      <c r="V36" s="4" t="str">
        <f>IFERROR(INDEX($L$3:$L$60,MATCH(X36,$N$3:$N$60,0),1),"")</f>
        <v/>
      </c>
      <c r="W36" s="4" t="e">
        <v>#N/A</v>
      </c>
      <c r="X36" s="4" t="str">
        <f>IFERROR(_xll.qlRateHelperQuoteName(W36,Trigger),"")</f>
        <v/>
      </c>
      <c r="Y36" s="70" t="str">
        <f>IFERROR(_xll.qlRateHelperRate(W36,Trigger),"")</f>
        <v/>
      </c>
      <c r="Z36" s="104" t="str">
        <f>IF(ISERROR(_xll.qlSwapRateHelperSpread($W36)),IF(ISERROR(_xll.qlFuturesRateHelperConvexityAdjustment($W36)),"",_xll.qlFuturesRateHelperConvexityAdjustment($W36)),_xll.qlSwapRateHelperSpread($W36))</f>
        <v/>
      </c>
      <c r="AA36" s="5" t="str">
        <f>IFERROR(_xll.qlRateHelperEarliestDate(W36,Trigger),"")</f>
        <v/>
      </c>
      <c r="AB36" s="5" t="str">
        <f>IFERROR(_xll.qlRateHelperPillarDate(W36,Trigger),"")</f>
        <v/>
      </c>
      <c r="AC36" s="70" t="e">
        <v>#N/A</v>
      </c>
      <c r="AD36" s="170" t="e">
        <v>#N/A</v>
      </c>
      <c r="AE36" s="171" t="e">
        <v>#N/A</v>
      </c>
      <c r="AF36" s="173" t="e">
        <f>_xll.qlYieldTSZeroRate(yieldcurve1_STD,$AD36,"ACTUAL/365 (FIXED)",,,TRUE,Trigger)-AE36</f>
        <v>#NUM!</v>
      </c>
      <c r="AG36" s="162"/>
    </row>
    <row r="37" spans="1:33" ht="11.25" customHeight="1" x14ac:dyDescent="0.2">
      <c r="A37" s="59" t="s">
        <v>25</v>
      </c>
      <c r="B37" s="60" t="s">
        <v>57</v>
      </c>
      <c r="C37" s="61" t="s">
        <v>6</v>
      </c>
      <c r="D37" s="61" t="s">
        <v>8</v>
      </c>
      <c r="E37" s="61" t="s">
        <v>7</v>
      </c>
      <c r="F37" s="61" t="s">
        <v>125</v>
      </c>
      <c r="G37" s="61" t="str">
        <f>PROPER(Currency)&amp;FamilyName&amp;$F$26</f>
        <v>Euribor6M</v>
      </c>
      <c r="H37" s="59" t="str">
        <f>IF(LCHQuoteOverwrite,Currency&amp;$G$26&amp;$H$26&amp;$B37&amp;LCHQuoteSuffix,Currency&amp;$G$26&amp;$H$26&amp;$B37&amp;QuoteSuffix)</f>
        <v>EURAB6E7Y_LCHQuote</v>
      </c>
      <c r="I37" s="127">
        <v>0</v>
      </c>
      <c r="J37" s="64" t="str">
        <f>_xll.qlSwapRateHelper2(,$H37,,$B37,Calendar,$D37,$E37,$F37,$G37,$I37,$C37,,PillarDate,,Permanent,Trigger,ObjectOverwrite)</f>
        <v>obj_00681#0018</v>
      </c>
      <c r="K37" s="48"/>
      <c r="L37" s="10" t="str">
        <f t="shared" si="3"/>
        <v>Sw</v>
      </c>
      <c r="M37" s="94" t="str">
        <f>IF(ISBLANK(J41),"--",J41)</f>
        <v>--</v>
      </c>
      <c r="N37" s="146" t="str">
        <f>IFERROR(_xll.qlRateHelperQuoteName(M37,Trigger),"--")</f>
        <v>--</v>
      </c>
      <c r="O37" s="98" t="str">
        <f>IFERROR(_xll.qlRateHelperQuoteValue($M37,Trigger),"--")</f>
        <v>--</v>
      </c>
      <c r="P37" s="97" t="b">
        <v>0</v>
      </c>
      <c r="Q37" s="94">
        <v>10</v>
      </c>
      <c r="R37" s="94">
        <v>1</v>
      </c>
      <c r="S37" s="99" t="str">
        <f>IFERROR(_xll.qlRateHelperEarliestDate(M37,Trigger),"--")</f>
        <v>--</v>
      </c>
      <c r="T37" s="99" t="str">
        <f>IFERROR(_xll.qlRateHelperPillarDate(M37,Trigger),"--")</f>
        <v>--</v>
      </c>
      <c r="V37" s="4" t="str">
        <f>IFERROR(INDEX($L$3:$L$60,MATCH(X37,$N$3:$N$60,0),1),"")</f>
        <v/>
      </c>
      <c r="W37" s="4" t="e">
        <v>#N/A</v>
      </c>
      <c r="X37" s="4" t="str">
        <f>IFERROR(_xll.qlRateHelperQuoteName(W37,Trigger),"")</f>
        <v/>
      </c>
      <c r="Y37" s="70" t="str">
        <f>IFERROR(_xll.qlRateHelperRate(W37,Trigger),"")</f>
        <v/>
      </c>
      <c r="Z37" s="104" t="str">
        <f>IF(ISERROR(_xll.qlSwapRateHelperSpread($W37)),IF(ISERROR(_xll.qlFuturesRateHelperConvexityAdjustment($W37)),"",_xll.qlFuturesRateHelperConvexityAdjustment($W37)),_xll.qlSwapRateHelperSpread($W37))</f>
        <v/>
      </c>
      <c r="AA37" s="5" t="str">
        <f>IFERROR(_xll.qlRateHelperEarliestDate(W37,Trigger),"")</f>
        <v/>
      </c>
      <c r="AB37" s="5" t="str">
        <f>IFERROR(_xll.qlRateHelperPillarDate(W37,Trigger),"")</f>
        <v/>
      </c>
      <c r="AC37" s="70" t="e">
        <v>#N/A</v>
      </c>
      <c r="AD37" s="170" t="e">
        <v>#N/A</v>
      </c>
      <c r="AE37" s="171" t="e">
        <v>#N/A</v>
      </c>
      <c r="AF37" s="173" t="e">
        <f>_xll.qlYieldTSZeroRate(yieldcurve1_STD,$AD37,"ACTUAL/365 (FIXED)",,,TRUE,Trigger)-AE37</f>
        <v>#NUM!</v>
      </c>
      <c r="AG37" s="162"/>
    </row>
    <row r="38" spans="1:33" ht="11.25" customHeight="1" x14ac:dyDescent="0.2">
      <c r="A38" s="59" t="s">
        <v>25</v>
      </c>
      <c r="B38" s="60" t="s">
        <v>58</v>
      </c>
      <c r="C38" s="61" t="s">
        <v>6</v>
      </c>
      <c r="D38" s="61" t="s">
        <v>8</v>
      </c>
      <c r="E38" s="61" t="s">
        <v>7</v>
      </c>
      <c r="F38" s="61" t="s">
        <v>125</v>
      </c>
      <c r="G38" s="61" t="str">
        <f>PROPER(Currency)&amp;FamilyName&amp;$F$26</f>
        <v>Euribor6M</v>
      </c>
      <c r="H38" s="59" t="str">
        <f>IF(LCHQuoteOverwrite,Currency&amp;$G$26&amp;$H$26&amp;$B38&amp;LCHQuoteSuffix,Currency&amp;$G$26&amp;$H$26&amp;$B38&amp;QuoteSuffix)</f>
        <v>EURAB6E8Y_LCHQuote</v>
      </c>
      <c r="I38" s="127">
        <v>0</v>
      </c>
      <c r="J38" s="64" t="str">
        <f>_xll.qlSwapRateHelper2(,$H38,,$B38,Calendar,$D38,$E38,$F38,$G38,$I38,$C38,,PillarDate,,Permanent,Trigger,ObjectOverwrite)</f>
        <v>obj_00683#0018</v>
      </c>
      <c r="K38" s="48"/>
      <c r="L38" s="10" t="str">
        <f t="shared" si="3"/>
        <v>Sw</v>
      </c>
      <c r="M38" s="94" t="str">
        <f>IF(ISBLANK(J42),"--",J42)</f>
        <v>obj_0068d#0018</v>
      </c>
      <c r="N38" s="146" t="str">
        <f>IFERROR(_xll.qlRateHelperQuoteName(M38,Trigger),"--")</f>
        <v>EURAB6E12Y_LCHQuote</v>
      </c>
      <c r="O38" s="98">
        <f>IFERROR(_xll.qlRateHelperQuoteValue($M38,Trigger),"--")</f>
        <v>1.29455E-2</v>
      </c>
      <c r="P38" s="97" t="b">
        <v>1</v>
      </c>
      <c r="Q38" s="94">
        <v>10</v>
      </c>
      <c r="R38" s="94">
        <v>1</v>
      </c>
      <c r="S38" s="99">
        <f>IFERROR(_xll.qlRateHelperEarliestDate(M38,Trigger),"--")</f>
        <v>42250</v>
      </c>
      <c r="T38" s="99">
        <f>IFERROR(_xll.qlRateHelperPillarDate(M38,Trigger),"--")</f>
        <v>46633</v>
      </c>
      <c r="V38" s="4" t="str">
        <f>IFERROR(INDEX($L$3:$L$60,MATCH(X38,$N$3:$N$60,0),1),"")</f>
        <v/>
      </c>
      <c r="W38" s="4" t="e">
        <v>#N/A</v>
      </c>
      <c r="X38" s="4" t="str">
        <f>IFERROR(_xll.qlRateHelperQuoteName(W38,Trigger),"")</f>
        <v/>
      </c>
      <c r="Y38" s="70" t="str">
        <f>IFERROR(_xll.qlRateHelperRate(W38,Trigger),"")</f>
        <v/>
      </c>
      <c r="Z38" s="104" t="str">
        <f>IF(ISERROR(_xll.qlSwapRateHelperSpread($W38)),IF(ISERROR(_xll.qlFuturesRateHelperConvexityAdjustment($W38)),"",_xll.qlFuturesRateHelperConvexityAdjustment($W38)),_xll.qlSwapRateHelperSpread($W38))</f>
        <v/>
      </c>
      <c r="AA38" s="5" t="str">
        <f>IFERROR(_xll.qlRateHelperEarliestDate(W38,Trigger),"")</f>
        <v/>
      </c>
      <c r="AB38" s="5" t="str">
        <f>IFERROR(_xll.qlRateHelperPillarDate(W38,Trigger),"")</f>
        <v/>
      </c>
      <c r="AC38" s="70" t="e">
        <v>#N/A</v>
      </c>
      <c r="AD38" s="170" t="e">
        <v>#N/A</v>
      </c>
      <c r="AE38" s="171" t="e">
        <v>#N/A</v>
      </c>
      <c r="AF38" s="173" t="e">
        <f>_xll.qlYieldTSZeroRate(yieldcurve1_STD,$AD38,"ACTUAL/365 (FIXED)",,,TRUE,Trigger)-AE38</f>
        <v>#NUM!</v>
      </c>
      <c r="AG38" s="162"/>
    </row>
    <row r="39" spans="1:33" ht="11.25" customHeight="1" x14ac:dyDescent="0.2">
      <c r="A39" s="59" t="s">
        <v>25</v>
      </c>
      <c r="B39" s="60" t="s">
        <v>59</v>
      </c>
      <c r="C39" s="61" t="s">
        <v>6</v>
      </c>
      <c r="D39" s="61" t="s">
        <v>8</v>
      </c>
      <c r="E39" s="61" t="s">
        <v>7</v>
      </c>
      <c r="F39" s="61" t="s">
        <v>125</v>
      </c>
      <c r="G39" s="61" t="str">
        <f>PROPER(Currency)&amp;FamilyName&amp;$F$26</f>
        <v>Euribor6M</v>
      </c>
      <c r="H39" s="59" t="str">
        <f>IF(LCHQuoteOverwrite,Currency&amp;$G$26&amp;$H$26&amp;$B39&amp;LCHQuoteSuffix,Currency&amp;$G$26&amp;$H$26&amp;$B39&amp;QuoteSuffix)</f>
        <v>EURAB6E9Y_LCHQuote</v>
      </c>
      <c r="I39" s="127">
        <v>0</v>
      </c>
      <c r="J39" s="64" t="str">
        <f>_xll.qlSwapRateHelper2(,$H39,,$B39,Calendar,$D39,$E39,$F39,$G39,$I39,$C39,,PillarDate,,Permanent,Trigger,ObjectOverwrite)</f>
        <v>obj_00685#0018</v>
      </c>
      <c r="K39" s="48"/>
      <c r="L39" s="10" t="str">
        <f t="shared" si="3"/>
        <v>Sw</v>
      </c>
      <c r="M39" s="94" t="str">
        <f>IF(ISBLANK(J43),"--",J43)</f>
        <v>--</v>
      </c>
      <c r="N39" s="146" t="str">
        <f>IFERROR(_xll.qlRateHelperQuoteName(M39,Trigger),"--")</f>
        <v>--</v>
      </c>
      <c r="O39" s="98" t="str">
        <f>IFERROR(_xll.qlRateHelperQuoteValue($M39,Trigger),"--")</f>
        <v>--</v>
      </c>
      <c r="P39" s="97" t="b">
        <v>0</v>
      </c>
      <c r="Q39" s="94">
        <v>10</v>
      </c>
      <c r="R39" s="94">
        <v>1</v>
      </c>
      <c r="S39" s="99" t="str">
        <f>IFERROR(_xll.qlRateHelperEarliestDate(M39,Trigger),"--")</f>
        <v>--</v>
      </c>
      <c r="T39" s="99" t="str">
        <f>IFERROR(_xll.qlRateHelperPillarDate(M39,Trigger),"--")</f>
        <v>--</v>
      </c>
      <c r="V39" s="4" t="str">
        <f>IFERROR(INDEX($L$3:$L$60,MATCH(X39,$N$3:$N$60,0),1),"")</f>
        <v/>
      </c>
      <c r="W39" s="4" t="e">
        <v>#N/A</v>
      </c>
      <c r="X39" s="4" t="str">
        <f>IFERROR(_xll.qlRateHelperQuoteName(W39,Trigger),"")</f>
        <v/>
      </c>
      <c r="Y39" s="70" t="str">
        <f>IFERROR(_xll.qlRateHelperRate(W39,Trigger),"")</f>
        <v/>
      </c>
      <c r="Z39" s="104" t="str">
        <f>IF(ISERROR(_xll.qlSwapRateHelperSpread($W39)),IF(ISERROR(_xll.qlFuturesRateHelperConvexityAdjustment($W39)),"",_xll.qlFuturesRateHelperConvexityAdjustment($W39)),_xll.qlSwapRateHelperSpread($W39))</f>
        <v/>
      </c>
      <c r="AA39" s="5" t="str">
        <f>IFERROR(_xll.qlRateHelperEarliestDate(W39,Trigger),"")</f>
        <v/>
      </c>
      <c r="AB39" s="5" t="str">
        <f>IFERROR(_xll.qlRateHelperPillarDate(W39,Trigger),"")</f>
        <v/>
      </c>
      <c r="AC39" s="70" t="e">
        <v>#N/A</v>
      </c>
      <c r="AD39" s="170" t="e">
        <v>#N/A</v>
      </c>
      <c r="AE39" s="171" t="e">
        <v>#N/A</v>
      </c>
      <c r="AF39" s="173" t="e">
        <f>_xll.qlYieldTSZeroRate(yieldcurve1_STD,$AD39,"ACTUAL/365 (FIXED)",,,TRUE,Trigger)-AE39</f>
        <v>#NUM!</v>
      </c>
      <c r="AG39" s="162"/>
    </row>
    <row r="40" spans="1:33" ht="11.25" customHeight="1" x14ac:dyDescent="0.2">
      <c r="A40" s="59" t="s">
        <v>25</v>
      </c>
      <c r="B40" s="60" t="s">
        <v>60</v>
      </c>
      <c r="C40" s="61" t="s">
        <v>6</v>
      </c>
      <c r="D40" s="61" t="s">
        <v>8</v>
      </c>
      <c r="E40" s="61" t="s">
        <v>7</v>
      </c>
      <c r="F40" s="61" t="s">
        <v>125</v>
      </c>
      <c r="G40" s="61" t="str">
        <f>PROPER(Currency)&amp;FamilyName&amp;$F$26</f>
        <v>Euribor6M</v>
      </c>
      <c r="H40" s="59" t="str">
        <f>IF(LCHQuoteOverwrite,Currency&amp;$G$26&amp;$H$26&amp;$B40&amp;LCHQuoteSuffix,Currency&amp;$G$26&amp;$H$26&amp;$B40&amp;QuoteSuffix)</f>
        <v>EURAB6E10Y_LCHQuote</v>
      </c>
      <c r="I40" s="127">
        <v>0</v>
      </c>
      <c r="J40" s="64" t="str">
        <f>_xll.qlSwapRateHelper2(,$H40,,$B40,Calendar,$D40,$E40,$F40,$G40,$I40,$C40,,PillarDate,,Permanent,Trigger,ObjectOverwrite)</f>
        <v>obj_00689#0018</v>
      </c>
      <c r="K40" s="48"/>
      <c r="L40" s="10" t="str">
        <f t="shared" si="3"/>
        <v>Sw</v>
      </c>
      <c r="M40" s="94" t="str">
        <f>IF(ISBLANK(J44),"--",J44)</f>
        <v>--</v>
      </c>
      <c r="N40" s="146" t="str">
        <f>IFERROR(_xll.qlRateHelperQuoteName(M40,Trigger),"--")</f>
        <v>--</v>
      </c>
      <c r="O40" s="98" t="str">
        <f>IFERROR(_xll.qlRateHelperQuoteValue($M40,Trigger),"--")</f>
        <v>--</v>
      </c>
      <c r="P40" s="97" t="b">
        <v>0</v>
      </c>
      <c r="Q40" s="94">
        <v>10</v>
      </c>
      <c r="R40" s="94">
        <v>1</v>
      </c>
      <c r="S40" s="99" t="str">
        <f>IFERROR(_xll.qlRateHelperEarliestDate(M40,Trigger),"--")</f>
        <v>--</v>
      </c>
      <c r="T40" s="99" t="str">
        <f>IFERROR(_xll.qlRateHelperPillarDate(M40,Trigger),"--")</f>
        <v>--</v>
      </c>
      <c r="V40" s="4" t="str">
        <f>IFERROR(INDEX($L$3:$L$60,MATCH(X40,$N$3:$N$60,0),1),"")</f>
        <v/>
      </c>
      <c r="W40" s="4" t="e">
        <v>#N/A</v>
      </c>
      <c r="X40" s="4" t="str">
        <f>IFERROR(_xll.qlRateHelperQuoteName(W40,Trigger),"")</f>
        <v/>
      </c>
      <c r="Y40" s="70" t="str">
        <f>IFERROR(_xll.qlRateHelperRate(W40,Trigger),"")</f>
        <v/>
      </c>
      <c r="Z40" s="104" t="str">
        <f>IF(ISERROR(_xll.qlSwapRateHelperSpread($W40)),IF(ISERROR(_xll.qlFuturesRateHelperConvexityAdjustment($W40)),"",_xll.qlFuturesRateHelperConvexityAdjustment($W40)),_xll.qlSwapRateHelperSpread($W40))</f>
        <v/>
      </c>
      <c r="AA40" s="5" t="str">
        <f>IFERROR(_xll.qlRateHelperEarliestDate(W40,Trigger),"")</f>
        <v/>
      </c>
      <c r="AB40" s="5" t="str">
        <f>IFERROR(_xll.qlRateHelperPillarDate(W40,Trigger),"")</f>
        <v/>
      </c>
      <c r="AC40" s="70" t="e">
        <v>#N/A</v>
      </c>
      <c r="AD40" s="170" t="e">
        <v>#N/A</v>
      </c>
      <c r="AE40" s="171" t="e">
        <v>#N/A</v>
      </c>
      <c r="AF40" s="173" t="e">
        <f>_xll.qlYieldTSZeroRate(yieldcurve1_STD,$AD40,"ACTUAL/365 (FIXED)",,,TRUE,Trigger)-AE40</f>
        <v>#NUM!</v>
      </c>
    </row>
    <row r="41" spans="1:33" ht="11.25" customHeight="1" x14ac:dyDescent="0.2">
      <c r="A41" s="59" t="s">
        <v>25</v>
      </c>
      <c r="B41" s="60" t="s">
        <v>98</v>
      </c>
      <c r="C41" s="61" t="s">
        <v>6</v>
      </c>
      <c r="D41" s="61" t="s">
        <v>8</v>
      </c>
      <c r="E41" s="61" t="s">
        <v>7</v>
      </c>
      <c r="F41" s="61" t="s">
        <v>125</v>
      </c>
      <c r="G41" s="61" t="str">
        <f>PROPER(Currency)&amp;FamilyName&amp;$F$26</f>
        <v>Euribor6M</v>
      </c>
      <c r="H41" s="59" t="str">
        <f>IF(LCHQuoteOverwrite,Currency&amp;$G$26&amp;$H$26&amp;$B41&amp;LCHQuoteSuffix,Currency&amp;$G$26&amp;$H$26&amp;$B41&amp;QuoteSuffix)</f>
        <v>EURAB6E11Y_LCHQuote</v>
      </c>
      <c r="I41" s="127">
        <v>0</v>
      </c>
      <c r="J41" s="64"/>
      <c r="K41" s="48"/>
      <c r="L41" s="10" t="str">
        <f t="shared" si="3"/>
        <v>Sw</v>
      </c>
      <c r="M41" s="94" t="str">
        <f>IF(ISBLANK(J45),"--",J45)</f>
        <v>obj_00682#0018</v>
      </c>
      <c r="N41" s="146" t="str">
        <f>IFERROR(_xll.qlRateHelperQuoteName(M41,Trigger),"--")</f>
        <v>EURAB6E15Y_LCHQuote</v>
      </c>
      <c r="O41" s="98">
        <f>IFERROR(_xll.qlRateHelperQuoteValue($M41,Trigger),"--")</f>
        <v>1.4725500000000001E-2</v>
      </c>
      <c r="P41" s="97" t="b">
        <v>1</v>
      </c>
      <c r="Q41" s="94">
        <v>10</v>
      </c>
      <c r="R41" s="94">
        <v>1</v>
      </c>
      <c r="S41" s="99">
        <f>IFERROR(_xll.qlRateHelperEarliestDate(M41,Trigger),"--")</f>
        <v>42250</v>
      </c>
      <c r="T41" s="99">
        <f>IFERROR(_xll.qlRateHelperPillarDate(M41,Trigger),"--")</f>
        <v>47729</v>
      </c>
      <c r="V41" s="4" t="str">
        <f>IFERROR(INDEX($L$3:$L$60,MATCH(X41,$N$3:$N$60,0),1),"")</f>
        <v/>
      </c>
      <c r="W41" s="4" t="e">
        <v>#N/A</v>
      </c>
      <c r="X41" s="4" t="str">
        <f>IFERROR(_xll.qlRateHelperQuoteName(W41,Trigger),"")</f>
        <v/>
      </c>
      <c r="Y41" s="70" t="str">
        <f>IFERROR(_xll.qlRateHelperRate(W41,Trigger),"")</f>
        <v/>
      </c>
      <c r="Z41" s="104" t="str">
        <f>IF(ISERROR(_xll.qlSwapRateHelperSpread($W41)),IF(ISERROR(_xll.qlFuturesRateHelperConvexityAdjustment($W41)),"",_xll.qlFuturesRateHelperConvexityAdjustment($W41)),_xll.qlSwapRateHelperSpread($W41))</f>
        <v/>
      </c>
      <c r="AA41" s="5" t="str">
        <f>IFERROR(_xll.qlRateHelperEarliestDate(W41,Trigger),"")</f>
        <v/>
      </c>
      <c r="AB41" s="5" t="str">
        <f>IFERROR(_xll.qlRateHelperPillarDate(W41,Trigger),"")</f>
        <v/>
      </c>
      <c r="AC41" s="70" t="e">
        <v>#N/A</v>
      </c>
      <c r="AD41" s="170" t="e">
        <v>#N/A</v>
      </c>
      <c r="AE41" s="171" t="e">
        <v>#N/A</v>
      </c>
      <c r="AF41" s="173" t="e">
        <f>_xll.qlYieldTSZeroRate(yieldcurve1_STD,$AD41,"ACTUAL/365 (FIXED)",,,TRUE,Trigger)-AE41</f>
        <v>#NUM!</v>
      </c>
    </row>
    <row r="42" spans="1:33" ht="11.25" customHeight="1" x14ac:dyDescent="0.2">
      <c r="A42" s="59" t="s">
        <v>25</v>
      </c>
      <c r="B42" s="60" t="s">
        <v>61</v>
      </c>
      <c r="C42" s="61" t="s">
        <v>6</v>
      </c>
      <c r="D42" s="61" t="s">
        <v>8</v>
      </c>
      <c r="E42" s="61" t="s">
        <v>7</v>
      </c>
      <c r="F42" s="61" t="s">
        <v>125</v>
      </c>
      <c r="G42" s="61" t="str">
        <f>PROPER(Currency)&amp;FamilyName&amp;$F$26</f>
        <v>Euribor6M</v>
      </c>
      <c r="H42" s="59" t="str">
        <f>IF(LCHQuoteOverwrite,Currency&amp;$G$26&amp;$H$26&amp;$B42&amp;LCHQuoteSuffix,Currency&amp;$G$26&amp;$H$26&amp;$B42&amp;QuoteSuffix)</f>
        <v>EURAB6E12Y_LCHQuote</v>
      </c>
      <c r="I42" s="127">
        <v>0</v>
      </c>
      <c r="J42" s="64" t="str">
        <f>_xll.qlSwapRateHelper2(,$H42,,$B42,Calendar,$D42,$E42,$F42,$G42,$I42,$C42,,PillarDate,,Permanent,Trigger,ObjectOverwrite)</f>
        <v>obj_0068d#0018</v>
      </c>
      <c r="K42" s="48"/>
      <c r="L42" s="10" t="str">
        <f t="shared" si="3"/>
        <v>Sw</v>
      </c>
      <c r="M42" s="94" t="str">
        <f>IF(ISBLANK(J46),"--",J46)</f>
        <v>--</v>
      </c>
      <c r="N42" s="146" t="str">
        <f>IFERROR(_xll.qlRateHelperQuoteName(M42,Trigger),"--")</f>
        <v>--</v>
      </c>
      <c r="O42" s="98" t="str">
        <f>IFERROR(_xll.qlRateHelperQuoteValue($M42,Trigger),"--")</f>
        <v>--</v>
      </c>
      <c r="P42" s="97" t="b">
        <v>0</v>
      </c>
      <c r="Q42" s="94">
        <v>10</v>
      </c>
      <c r="R42" s="94">
        <v>1</v>
      </c>
      <c r="S42" s="99" t="str">
        <f>IFERROR(_xll.qlRateHelperEarliestDate(M42,Trigger),"--")</f>
        <v>--</v>
      </c>
      <c r="T42" s="99" t="str">
        <f>IFERROR(_xll.qlRateHelperPillarDate(M42,Trigger),"--")</f>
        <v>--</v>
      </c>
      <c r="V42" s="4" t="str">
        <f>IFERROR(INDEX($L$3:$L$60,MATCH(X42,$N$3:$N$60,0),1),"")</f>
        <v/>
      </c>
      <c r="W42" s="4" t="e">
        <v>#N/A</v>
      </c>
      <c r="X42" s="4" t="str">
        <f>IFERROR(_xll.qlRateHelperQuoteName(W42,Trigger),"")</f>
        <v/>
      </c>
      <c r="Y42" s="70" t="str">
        <f>IFERROR(_xll.qlRateHelperRate(W42,Trigger),"")</f>
        <v/>
      </c>
      <c r="Z42" s="104" t="str">
        <f>IF(ISERROR(_xll.qlSwapRateHelperSpread($W42)),IF(ISERROR(_xll.qlFuturesRateHelperConvexityAdjustment($W42)),"",_xll.qlFuturesRateHelperConvexityAdjustment($W42)),_xll.qlSwapRateHelperSpread($W42))</f>
        <v/>
      </c>
      <c r="AA42" s="5" t="str">
        <f>IFERROR(_xll.qlRateHelperEarliestDate(W42,Trigger),"")</f>
        <v/>
      </c>
      <c r="AB42" s="5" t="str">
        <f>IFERROR(_xll.qlRateHelperPillarDate(W42,Trigger),"")</f>
        <v/>
      </c>
      <c r="AC42" s="70" t="e">
        <v>#N/A</v>
      </c>
      <c r="AD42" s="170" t="e">
        <v>#N/A</v>
      </c>
      <c r="AE42" s="171" t="e">
        <v>#N/A</v>
      </c>
      <c r="AF42" s="173" t="e">
        <f>_xll.qlYieldTSZeroRate(yieldcurve1_STD,$AD42,"ACTUAL/365 (FIXED)",,,TRUE,Trigger)-AE42</f>
        <v>#NUM!</v>
      </c>
    </row>
    <row r="43" spans="1:33" ht="11.25" customHeight="1" x14ac:dyDescent="0.2">
      <c r="A43" s="59" t="s">
        <v>25</v>
      </c>
      <c r="B43" s="60" t="s">
        <v>99</v>
      </c>
      <c r="C43" s="61" t="s">
        <v>6</v>
      </c>
      <c r="D43" s="61" t="s">
        <v>8</v>
      </c>
      <c r="E43" s="61" t="s">
        <v>7</v>
      </c>
      <c r="F43" s="61" t="s">
        <v>125</v>
      </c>
      <c r="G43" s="61" t="str">
        <f>PROPER(Currency)&amp;FamilyName&amp;$F$26</f>
        <v>Euribor6M</v>
      </c>
      <c r="H43" s="59" t="str">
        <f>IF(LCHQuoteOverwrite,Currency&amp;$G$26&amp;$H$26&amp;$B43&amp;LCHQuoteSuffix,Currency&amp;$G$26&amp;$H$26&amp;$B43&amp;QuoteSuffix)</f>
        <v>EURAB6E13Y_LCHQuote</v>
      </c>
      <c r="I43" s="127">
        <v>0</v>
      </c>
      <c r="J43" s="64"/>
      <c r="K43" s="48"/>
      <c r="L43" s="10" t="str">
        <f t="shared" si="3"/>
        <v>Sw</v>
      </c>
      <c r="M43" s="94" t="str">
        <f>IF(ISBLANK(J47),"--",J47)</f>
        <v>--</v>
      </c>
      <c r="N43" s="146" t="str">
        <f>IFERROR(_xll.qlRateHelperQuoteName(M43,Trigger),"--")</f>
        <v>--</v>
      </c>
      <c r="O43" s="98" t="str">
        <f>IFERROR(_xll.qlRateHelperQuoteValue($M43,Trigger),"--")</f>
        <v>--</v>
      </c>
      <c r="P43" s="97" t="b">
        <v>0</v>
      </c>
      <c r="Q43" s="94">
        <v>10</v>
      </c>
      <c r="R43" s="94">
        <v>1</v>
      </c>
      <c r="S43" s="99" t="str">
        <f>IFERROR(_xll.qlRateHelperEarliestDate(M43,Trigger),"--")</f>
        <v>--</v>
      </c>
      <c r="T43" s="99" t="str">
        <f>IFERROR(_xll.qlRateHelperPillarDate(M43,Trigger),"--")</f>
        <v>--</v>
      </c>
      <c r="V43" s="4" t="str">
        <f>IFERROR(INDEX($L$3:$L$60,MATCH(X43,$N$3:$N$60,0),1),"")</f>
        <v/>
      </c>
      <c r="W43" s="4" t="e">
        <v>#N/A</v>
      </c>
      <c r="X43" s="4" t="str">
        <f>IFERROR(_xll.qlRateHelperQuoteName(W43,Trigger),"")</f>
        <v/>
      </c>
      <c r="Y43" s="70" t="str">
        <f>IFERROR(_xll.qlRateHelperRate(W43,Trigger),"")</f>
        <v/>
      </c>
      <c r="Z43" s="104" t="str">
        <f>IF(ISERROR(_xll.qlSwapRateHelperSpread($W43)),IF(ISERROR(_xll.qlFuturesRateHelperConvexityAdjustment($W43)),"",_xll.qlFuturesRateHelperConvexityAdjustment($W43)),_xll.qlSwapRateHelperSpread($W43))</f>
        <v/>
      </c>
      <c r="AA43" s="5" t="str">
        <f>IFERROR(_xll.qlRateHelperEarliestDate(W43,Trigger),"")</f>
        <v/>
      </c>
      <c r="AB43" s="5" t="str">
        <f>IFERROR(_xll.qlRateHelperPillarDate(W43,Trigger),"")</f>
        <v/>
      </c>
      <c r="AC43" s="70" t="e">
        <v>#N/A</v>
      </c>
      <c r="AD43" s="170" t="e">
        <v>#N/A</v>
      </c>
      <c r="AE43" s="171" t="e">
        <v>#N/A</v>
      </c>
      <c r="AF43" s="173" t="e">
        <f>_xll.qlYieldTSZeroRate(yieldcurve1_STD,$AD43,"ACTUAL/365 (FIXED)",,,TRUE,Trigger)-AE43</f>
        <v>#NUM!</v>
      </c>
    </row>
    <row r="44" spans="1:33" ht="11.25" customHeight="1" x14ac:dyDescent="0.2">
      <c r="A44" s="59" t="s">
        <v>25</v>
      </c>
      <c r="B44" s="60" t="s">
        <v>100</v>
      </c>
      <c r="C44" s="61" t="s">
        <v>6</v>
      </c>
      <c r="D44" s="61" t="s">
        <v>8</v>
      </c>
      <c r="E44" s="61" t="s">
        <v>7</v>
      </c>
      <c r="F44" s="61" t="s">
        <v>125</v>
      </c>
      <c r="G44" s="61" t="str">
        <f>PROPER(Currency)&amp;FamilyName&amp;$F$26</f>
        <v>Euribor6M</v>
      </c>
      <c r="H44" s="59" t="str">
        <f>IF(LCHQuoteOverwrite,Currency&amp;$G$26&amp;$H$26&amp;$B44&amp;LCHQuoteSuffix,Currency&amp;$G$26&amp;$H$26&amp;$B44&amp;QuoteSuffix)</f>
        <v>EURAB6E14Y_LCHQuote</v>
      </c>
      <c r="I44" s="127">
        <v>0</v>
      </c>
      <c r="J44" s="64"/>
      <c r="K44" s="48"/>
      <c r="L44" s="10" t="str">
        <f t="shared" si="3"/>
        <v>Sw</v>
      </c>
      <c r="M44" s="94" t="str">
        <f>IF(ISBLANK(J48),"--",J48)</f>
        <v>--</v>
      </c>
      <c r="N44" s="146" t="str">
        <f>IFERROR(_xll.qlRateHelperQuoteName(M44,Trigger),"--")</f>
        <v>--</v>
      </c>
      <c r="O44" s="98" t="str">
        <f>IFERROR(_xll.qlRateHelperQuoteValue($M44,Trigger),"--")</f>
        <v>--</v>
      </c>
      <c r="P44" s="97" t="b">
        <v>0</v>
      </c>
      <c r="Q44" s="94">
        <v>10</v>
      </c>
      <c r="R44" s="94">
        <v>1</v>
      </c>
      <c r="S44" s="99" t="str">
        <f>IFERROR(_xll.qlRateHelperEarliestDate(M44,Trigger),"--")</f>
        <v>--</v>
      </c>
      <c r="T44" s="99" t="str">
        <f>IFERROR(_xll.qlRateHelperPillarDate(M44,Trigger),"--")</f>
        <v>--</v>
      </c>
      <c r="V44" s="4" t="str">
        <f>IFERROR(INDEX($L$3:$L$60,MATCH(X44,$N$3:$N$60,0),1),"")</f>
        <v/>
      </c>
      <c r="W44" s="4" t="e">
        <v>#N/A</v>
      </c>
      <c r="X44" s="4" t="str">
        <f>IFERROR(_xll.qlRateHelperQuoteName(W44,Trigger),"")</f>
        <v/>
      </c>
      <c r="Y44" s="70" t="str">
        <f>IFERROR(_xll.qlRateHelperRate(W44,Trigger),"")</f>
        <v/>
      </c>
      <c r="Z44" s="104" t="str">
        <f>IF(ISERROR(_xll.qlSwapRateHelperSpread($W44)),IF(ISERROR(_xll.qlFuturesRateHelperConvexityAdjustment($W44)),"",_xll.qlFuturesRateHelperConvexityAdjustment($W44)),_xll.qlSwapRateHelperSpread($W44))</f>
        <v/>
      </c>
      <c r="AA44" s="5" t="str">
        <f>IFERROR(_xll.qlRateHelperEarliestDate(W44,Trigger),"")</f>
        <v/>
      </c>
      <c r="AB44" s="5" t="str">
        <f>IFERROR(_xll.qlRateHelperPillarDate(W44,Trigger),"")</f>
        <v/>
      </c>
      <c r="AC44" s="70" t="e">
        <v>#N/A</v>
      </c>
      <c r="AD44" s="170" t="e">
        <v>#N/A</v>
      </c>
      <c r="AE44" s="171" t="e">
        <v>#N/A</v>
      </c>
      <c r="AF44" s="173" t="e">
        <f>_xll.qlYieldTSZeroRate(yieldcurve1_STD,$AD44,"ACTUAL/365 (FIXED)",,,TRUE,Trigger)-AE44</f>
        <v>#NUM!</v>
      </c>
    </row>
    <row r="45" spans="1:33" ht="11.25" customHeight="1" x14ac:dyDescent="0.2">
      <c r="A45" s="59" t="s">
        <v>25</v>
      </c>
      <c r="B45" s="60" t="s">
        <v>62</v>
      </c>
      <c r="C45" s="61" t="s">
        <v>6</v>
      </c>
      <c r="D45" s="61" t="s">
        <v>8</v>
      </c>
      <c r="E45" s="61" t="s">
        <v>7</v>
      </c>
      <c r="F45" s="61" t="s">
        <v>125</v>
      </c>
      <c r="G45" s="61" t="str">
        <f>PROPER(Currency)&amp;FamilyName&amp;$F$26</f>
        <v>Euribor6M</v>
      </c>
      <c r="H45" s="59" t="str">
        <f>IF(LCHQuoteOverwrite,Currency&amp;$G$26&amp;$H$26&amp;$B45&amp;LCHQuoteSuffix,Currency&amp;$G$26&amp;$H$26&amp;$B45&amp;QuoteSuffix)</f>
        <v>EURAB6E15Y_LCHQuote</v>
      </c>
      <c r="I45" s="127">
        <v>0</v>
      </c>
      <c r="J45" s="64" t="str">
        <f>_xll.qlSwapRateHelper2(,$H45,,$B45,Calendar,$D45,$E45,$F45,$G45,$I45,$C45,,PillarDate,,Permanent,Trigger,ObjectOverwrite)</f>
        <v>obj_00682#0018</v>
      </c>
      <c r="K45" s="48"/>
      <c r="L45" s="10" t="str">
        <f t="shared" si="3"/>
        <v>Sw</v>
      </c>
      <c r="M45" s="94" t="str">
        <f>IF(ISBLANK(J49),"--",J49)</f>
        <v>--</v>
      </c>
      <c r="N45" s="146" t="str">
        <f>IFERROR(_xll.qlRateHelperQuoteName(M45,Trigger),"--")</f>
        <v>--</v>
      </c>
      <c r="O45" s="98" t="str">
        <f>IFERROR(_xll.qlRateHelperQuoteValue($M45,Trigger),"--")</f>
        <v>--</v>
      </c>
      <c r="P45" s="97" t="b">
        <v>0</v>
      </c>
      <c r="Q45" s="94">
        <v>10</v>
      </c>
      <c r="R45" s="94">
        <v>1</v>
      </c>
      <c r="S45" s="99" t="str">
        <f>IFERROR(_xll.qlRateHelperEarliestDate(M45,Trigger),"--")</f>
        <v>--</v>
      </c>
      <c r="T45" s="99" t="str">
        <f>IFERROR(_xll.qlRateHelperPillarDate(M45,Trigger),"--")</f>
        <v>--</v>
      </c>
      <c r="V45" s="4" t="str">
        <f>IFERROR(INDEX($L$3:$L$60,MATCH(X45,$N$3:$N$60,0),1),"")</f>
        <v/>
      </c>
      <c r="W45" s="4" t="e">
        <v>#N/A</v>
      </c>
      <c r="X45" s="4" t="str">
        <f>IFERROR(_xll.qlRateHelperQuoteName(W45,Trigger),"")</f>
        <v/>
      </c>
      <c r="Y45" s="70" t="str">
        <f>IFERROR(_xll.qlRateHelperRate(W45,Trigger),"")</f>
        <v/>
      </c>
      <c r="Z45" s="104" t="str">
        <f>IF(ISERROR(_xll.qlSwapRateHelperSpread($W45)),IF(ISERROR(_xll.qlFuturesRateHelperConvexityAdjustment($W45)),"",_xll.qlFuturesRateHelperConvexityAdjustment($W45)),_xll.qlSwapRateHelperSpread($W45))</f>
        <v/>
      </c>
      <c r="AA45" s="5" t="str">
        <f>IFERROR(_xll.qlRateHelperEarliestDate(W45,Trigger),"")</f>
        <v/>
      </c>
      <c r="AB45" s="5" t="str">
        <f>IFERROR(_xll.qlRateHelperPillarDate(W45,Trigger),"")</f>
        <v/>
      </c>
      <c r="AC45" s="70" t="e">
        <v>#N/A</v>
      </c>
      <c r="AD45" s="170" t="e">
        <v>#N/A</v>
      </c>
      <c r="AE45" s="171" t="e">
        <v>#N/A</v>
      </c>
      <c r="AF45" s="173" t="e">
        <f>_xll.qlYieldTSZeroRate(yieldcurve1_STD,$AD45,"ACTUAL/365 (FIXED)",,,TRUE,Trigger)-AE45</f>
        <v>#NUM!</v>
      </c>
    </row>
    <row r="46" spans="1:33" ht="11.25" customHeight="1" x14ac:dyDescent="0.2">
      <c r="A46" s="59" t="s">
        <v>25</v>
      </c>
      <c r="B46" s="60" t="s">
        <v>101</v>
      </c>
      <c r="C46" s="61" t="s">
        <v>6</v>
      </c>
      <c r="D46" s="61" t="s">
        <v>8</v>
      </c>
      <c r="E46" s="61" t="s">
        <v>7</v>
      </c>
      <c r="F46" s="61" t="s">
        <v>125</v>
      </c>
      <c r="G46" s="61" t="str">
        <f>PROPER(Currency)&amp;FamilyName&amp;$F$26</f>
        <v>Euribor6M</v>
      </c>
      <c r="H46" s="59" t="str">
        <f>IF(LCHQuoteOverwrite,Currency&amp;$G$26&amp;$H$26&amp;$B46&amp;LCHQuoteSuffix,Currency&amp;$G$26&amp;$H$26&amp;$B46&amp;QuoteSuffix)</f>
        <v>EURAB6E16Y_LCHQuote</v>
      </c>
      <c r="I46" s="127">
        <v>0</v>
      </c>
      <c r="J46" s="64"/>
      <c r="L46" s="10" t="str">
        <f t="shared" si="3"/>
        <v>Sw</v>
      </c>
      <c r="M46" s="94" t="str">
        <f>IF(ISBLANK(J50),"--",J50)</f>
        <v>obj_0068f#0018</v>
      </c>
      <c r="N46" s="146" t="str">
        <f>IFERROR(_xll.qlRateHelperQuoteName(M46,Trigger),"--")</f>
        <v>EURAB6E20Y_LCHQuote</v>
      </c>
      <c r="O46" s="98">
        <f>IFERROR(_xll.qlRateHelperQuoteValue($M46,Trigger),"--")</f>
        <v>1.6125500000000001E-2</v>
      </c>
      <c r="P46" s="97" t="b">
        <v>1</v>
      </c>
      <c r="Q46" s="94">
        <v>10</v>
      </c>
      <c r="R46" s="94">
        <v>1</v>
      </c>
      <c r="S46" s="99">
        <f>IFERROR(_xll.qlRateHelperEarliestDate(M46,Trigger),"--")</f>
        <v>42250</v>
      </c>
      <c r="T46" s="99">
        <f>IFERROR(_xll.qlRateHelperPillarDate(M46,Trigger),"--")</f>
        <v>49555</v>
      </c>
      <c r="V46" s="4" t="str">
        <f>IFERROR(INDEX($L$3:$L$60,MATCH(X46,$N$3:$N$60,0),1),"")</f>
        <v/>
      </c>
      <c r="W46" s="4" t="e">
        <v>#N/A</v>
      </c>
      <c r="X46" s="4" t="str">
        <f>IFERROR(_xll.qlRateHelperQuoteName(W46,Trigger),"")</f>
        <v/>
      </c>
      <c r="Y46" s="70" t="str">
        <f>IFERROR(_xll.qlRateHelperRate(W46,Trigger),"")</f>
        <v/>
      </c>
      <c r="Z46" s="104" t="str">
        <f>IF(ISERROR(_xll.qlSwapRateHelperSpread($W46)),IF(ISERROR(_xll.qlFuturesRateHelperConvexityAdjustment($W46)),"",_xll.qlFuturesRateHelperConvexityAdjustment($W46)),_xll.qlSwapRateHelperSpread($W46))</f>
        <v/>
      </c>
      <c r="AA46" s="5" t="str">
        <f>IFERROR(_xll.qlRateHelperEarliestDate(W46,Trigger),"")</f>
        <v/>
      </c>
      <c r="AB46" s="5" t="str">
        <f>IFERROR(_xll.qlRateHelperPillarDate(W46,Trigger),"")</f>
        <v/>
      </c>
      <c r="AC46" s="70" t="e">
        <v>#N/A</v>
      </c>
      <c r="AD46" s="170" t="e">
        <v>#N/A</v>
      </c>
      <c r="AE46" s="171" t="e">
        <v>#N/A</v>
      </c>
      <c r="AF46" s="173" t="e">
        <f>_xll.qlYieldTSZeroRate(yieldcurve1_STD,$AD46,"ACTUAL/365 (FIXED)",,,TRUE,Trigger)-AE46</f>
        <v>#NUM!</v>
      </c>
    </row>
    <row r="47" spans="1:33" ht="11.25" customHeight="1" x14ac:dyDescent="0.2">
      <c r="A47" s="59" t="s">
        <v>25</v>
      </c>
      <c r="B47" s="60" t="s">
        <v>102</v>
      </c>
      <c r="C47" s="61" t="s">
        <v>6</v>
      </c>
      <c r="D47" s="61" t="s">
        <v>8</v>
      </c>
      <c r="E47" s="61" t="s">
        <v>7</v>
      </c>
      <c r="F47" s="61" t="s">
        <v>125</v>
      </c>
      <c r="G47" s="61" t="str">
        <f>PROPER(Currency)&amp;FamilyName&amp;$F$26</f>
        <v>Euribor6M</v>
      </c>
      <c r="H47" s="59" t="str">
        <f>IF(LCHQuoteOverwrite,Currency&amp;$G$26&amp;$H$26&amp;$B47&amp;LCHQuoteSuffix,Currency&amp;$G$26&amp;$H$26&amp;$B47&amp;QuoteSuffix)</f>
        <v>EURAB6E17Y_LCHQuote</v>
      </c>
      <c r="I47" s="127">
        <v>0</v>
      </c>
      <c r="J47" s="64"/>
      <c r="L47" s="10" t="str">
        <f t="shared" si="3"/>
        <v>Sw</v>
      </c>
      <c r="M47" s="94" t="str">
        <f>IF(ISBLANK(J51),"--",J51)</f>
        <v>--</v>
      </c>
      <c r="N47" s="146" t="str">
        <f>IFERROR(_xll.qlRateHelperQuoteName(M47,Trigger),"--")</f>
        <v>--</v>
      </c>
      <c r="O47" s="98" t="str">
        <f>IFERROR(_xll.qlRateHelperQuoteValue($M47,Trigger),"--")</f>
        <v>--</v>
      </c>
      <c r="P47" s="97" t="b">
        <v>0</v>
      </c>
      <c r="Q47" s="94">
        <v>10</v>
      </c>
      <c r="R47" s="94">
        <v>1</v>
      </c>
      <c r="S47" s="99" t="str">
        <f>IFERROR(_xll.qlRateHelperEarliestDate(M47,Trigger),"--")</f>
        <v>--</v>
      </c>
      <c r="T47" s="99" t="str">
        <f>IFERROR(_xll.qlRateHelperPillarDate(M47,Trigger),"--")</f>
        <v>--</v>
      </c>
      <c r="V47" s="4" t="str">
        <f>IFERROR(INDEX($L$3:$L$60,MATCH(X47,$N$3:$N$60,0),1),"")</f>
        <v/>
      </c>
      <c r="W47" s="4" t="e">
        <v>#N/A</v>
      </c>
      <c r="X47" s="4" t="str">
        <f>IFERROR(_xll.qlRateHelperQuoteName(W47,Trigger),"")</f>
        <v/>
      </c>
      <c r="Y47" s="70" t="str">
        <f>IFERROR(_xll.qlRateHelperRate(W47,Trigger),"")</f>
        <v/>
      </c>
      <c r="Z47" s="104" t="str">
        <f>IF(ISERROR(_xll.qlSwapRateHelperSpread($W47)),IF(ISERROR(_xll.qlFuturesRateHelperConvexityAdjustment($W47)),"",_xll.qlFuturesRateHelperConvexityAdjustment($W47)),_xll.qlSwapRateHelperSpread($W47))</f>
        <v/>
      </c>
      <c r="AA47" s="5" t="str">
        <f>IFERROR(_xll.qlRateHelperEarliestDate(W47,Trigger),"")</f>
        <v/>
      </c>
      <c r="AB47" s="5" t="str">
        <f>IFERROR(_xll.qlRateHelperPillarDate(W47,Trigger),"")</f>
        <v/>
      </c>
      <c r="AC47" s="70" t="e">
        <v>#N/A</v>
      </c>
      <c r="AD47" s="170" t="e">
        <v>#N/A</v>
      </c>
      <c r="AE47" s="171" t="e">
        <v>#N/A</v>
      </c>
      <c r="AF47" s="173" t="e">
        <f>_xll.qlYieldTSZeroRate(yieldcurve1_STD,$AD47,"ACTUAL/365 (FIXED)",,,TRUE,Trigger)-AE47</f>
        <v>#NUM!</v>
      </c>
    </row>
    <row r="48" spans="1:33" ht="11.25" customHeight="1" x14ac:dyDescent="0.2">
      <c r="A48" s="59" t="s">
        <v>25</v>
      </c>
      <c r="B48" s="60" t="s">
        <v>103</v>
      </c>
      <c r="C48" s="61" t="s">
        <v>6</v>
      </c>
      <c r="D48" s="61" t="s">
        <v>8</v>
      </c>
      <c r="E48" s="61" t="s">
        <v>7</v>
      </c>
      <c r="F48" s="61" t="s">
        <v>125</v>
      </c>
      <c r="G48" s="61" t="str">
        <f>PROPER(Currency)&amp;FamilyName&amp;$F$26</f>
        <v>Euribor6M</v>
      </c>
      <c r="H48" s="59" t="str">
        <f>IF(LCHQuoteOverwrite,Currency&amp;$G$26&amp;$H$26&amp;$B48&amp;LCHQuoteSuffix,Currency&amp;$G$26&amp;$H$26&amp;$B48&amp;QuoteSuffix)</f>
        <v>EURAB6E18Y_LCHQuote</v>
      </c>
      <c r="I48" s="127">
        <v>0</v>
      </c>
      <c r="J48" s="64"/>
      <c r="L48" s="10" t="str">
        <f t="shared" si="3"/>
        <v>Sw</v>
      </c>
      <c r="M48" s="94" t="str">
        <f>IF(ISBLANK(J52),"--",J52)</f>
        <v>--</v>
      </c>
      <c r="N48" s="146" t="str">
        <f>IFERROR(_xll.qlRateHelperQuoteName(M48,Trigger),"--")</f>
        <v>--</v>
      </c>
      <c r="O48" s="98" t="str">
        <f>IFERROR(_xll.qlRateHelperQuoteValue($M48,Trigger),"--")</f>
        <v>--</v>
      </c>
      <c r="P48" s="97" t="b">
        <v>0</v>
      </c>
      <c r="Q48" s="94">
        <v>10</v>
      </c>
      <c r="R48" s="94">
        <v>1</v>
      </c>
      <c r="S48" s="99" t="str">
        <f>IFERROR(_xll.qlRateHelperEarliestDate(M48,Trigger),"--")</f>
        <v>--</v>
      </c>
      <c r="T48" s="99" t="str">
        <f>IFERROR(_xll.qlRateHelperPillarDate(M48,Trigger),"--")</f>
        <v>--</v>
      </c>
      <c r="V48" s="4" t="str">
        <f>IFERROR(INDEX($L$3:$L$60,MATCH(X48,$N$3:$N$60,0),1),"")</f>
        <v/>
      </c>
      <c r="W48" s="4" t="e">
        <v>#N/A</v>
      </c>
      <c r="X48" s="4" t="str">
        <f>IFERROR(_xll.qlRateHelperQuoteName(W48,Trigger),"")</f>
        <v/>
      </c>
      <c r="Y48" s="70" t="str">
        <f>IFERROR(_xll.qlRateHelperRate(W48,Trigger),"")</f>
        <v/>
      </c>
      <c r="Z48" s="104" t="str">
        <f>IF(ISERROR(_xll.qlSwapRateHelperSpread($W48)),IF(ISERROR(_xll.qlFuturesRateHelperConvexityAdjustment($W48)),"",_xll.qlFuturesRateHelperConvexityAdjustment($W48)),_xll.qlSwapRateHelperSpread($W48))</f>
        <v/>
      </c>
      <c r="AA48" s="5" t="str">
        <f>IFERROR(_xll.qlRateHelperEarliestDate(W48,Trigger),"")</f>
        <v/>
      </c>
      <c r="AB48" s="5" t="str">
        <f>IFERROR(_xll.qlRateHelperPillarDate(W48,Trigger),"")</f>
        <v/>
      </c>
      <c r="AC48" s="70" t="e">
        <v>#N/A</v>
      </c>
      <c r="AD48" s="170" t="e">
        <v>#N/A</v>
      </c>
      <c r="AE48" s="171" t="e">
        <v>#N/A</v>
      </c>
      <c r="AF48" s="173" t="e">
        <f>_xll.qlYieldTSZeroRate(yieldcurve1_STD,$AD48,"ACTUAL/365 (FIXED)",,,TRUE,Trigger)-AE48</f>
        <v>#NUM!</v>
      </c>
    </row>
    <row r="49" spans="1:32" ht="11.25" customHeight="1" x14ac:dyDescent="0.2">
      <c r="A49" s="59" t="s">
        <v>25</v>
      </c>
      <c r="B49" s="60" t="s">
        <v>104</v>
      </c>
      <c r="C49" s="61" t="s">
        <v>6</v>
      </c>
      <c r="D49" s="61" t="s">
        <v>8</v>
      </c>
      <c r="E49" s="61" t="s">
        <v>7</v>
      </c>
      <c r="F49" s="61" t="s">
        <v>125</v>
      </c>
      <c r="G49" s="61" t="str">
        <f>PROPER(Currency)&amp;FamilyName&amp;$F$26</f>
        <v>Euribor6M</v>
      </c>
      <c r="H49" s="59" t="str">
        <f>IF(LCHQuoteOverwrite,Currency&amp;$G$26&amp;$H$26&amp;$B49&amp;LCHQuoteSuffix,Currency&amp;$G$26&amp;$H$26&amp;$B49&amp;QuoteSuffix)</f>
        <v>EURAB6E19Y_LCHQuote</v>
      </c>
      <c r="I49" s="127">
        <v>0</v>
      </c>
      <c r="J49" s="64"/>
      <c r="L49" s="10" t="str">
        <f t="shared" si="3"/>
        <v>Sw</v>
      </c>
      <c r="M49" s="94" t="str">
        <f>IF(ISBLANK(J53),"--",J53)</f>
        <v>--</v>
      </c>
      <c r="N49" s="146" t="str">
        <f>IFERROR(_xll.qlRateHelperQuoteName(M49,Trigger),"--")</f>
        <v>--</v>
      </c>
      <c r="O49" s="98" t="str">
        <f>IFERROR(_xll.qlRateHelperQuoteValue($M49,Trigger),"--")</f>
        <v>--</v>
      </c>
      <c r="P49" s="97" t="b">
        <v>0</v>
      </c>
      <c r="Q49" s="94">
        <v>10</v>
      </c>
      <c r="R49" s="94">
        <v>1</v>
      </c>
      <c r="S49" s="99" t="str">
        <f>IFERROR(_xll.qlRateHelperEarliestDate(M49,Trigger),"--")</f>
        <v>--</v>
      </c>
      <c r="T49" s="99" t="str">
        <f>IFERROR(_xll.qlRateHelperPillarDate(M49,Trigger),"--")</f>
        <v>--</v>
      </c>
      <c r="V49" s="4" t="str">
        <f>IFERROR(INDEX($L$3:$L$60,MATCH(X49,$N$3:$N$60,0),1),"")</f>
        <v/>
      </c>
      <c r="W49" s="4" t="e">
        <v>#N/A</v>
      </c>
      <c r="X49" s="4" t="str">
        <f>IFERROR(_xll.qlRateHelperQuoteName(W49,Trigger),"")</f>
        <v/>
      </c>
      <c r="Y49" s="70" t="str">
        <f>IFERROR(_xll.qlRateHelperRate(W49,Trigger),"")</f>
        <v/>
      </c>
      <c r="Z49" s="104" t="str">
        <f>IF(ISERROR(_xll.qlSwapRateHelperSpread($W49)),IF(ISERROR(_xll.qlFuturesRateHelperConvexityAdjustment($W49)),"",_xll.qlFuturesRateHelperConvexityAdjustment($W49)),_xll.qlSwapRateHelperSpread($W49))</f>
        <v/>
      </c>
      <c r="AA49" s="5" t="str">
        <f>IFERROR(_xll.qlRateHelperEarliestDate(W49,Trigger),"")</f>
        <v/>
      </c>
      <c r="AB49" s="5" t="str">
        <f>IFERROR(_xll.qlRateHelperPillarDate(W49,Trigger),"")</f>
        <v/>
      </c>
      <c r="AC49" s="70" t="e">
        <v>#N/A</v>
      </c>
      <c r="AD49" s="170" t="e">
        <v>#N/A</v>
      </c>
      <c r="AE49" s="171" t="e">
        <v>#N/A</v>
      </c>
      <c r="AF49" s="173" t="e">
        <f>_xll.qlYieldTSZeroRate(yieldcurve1_STD,$AD49,"ACTUAL/365 (FIXED)",,,TRUE,Trigger)-AE49</f>
        <v>#NUM!</v>
      </c>
    </row>
    <row r="50" spans="1:32" ht="11.25" customHeight="1" x14ac:dyDescent="0.2">
      <c r="A50" s="59" t="s">
        <v>25</v>
      </c>
      <c r="B50" s="60" t="s">
        <v>63</v>
      </c>
      <c r="C50" s="61" t="s">
        <v>6</v>
      </c>
      <c r="D50" s="61" t="s">
        <v>8</v>
      </c>
      <c r="E50" s="61" t="s">
        <v>7</v>
      </c>
      <c r="F50" s="61" t="s">
        <v>125</v>
      </c>
      <c r="G50" s="61" t="str">
        <f>PROPER(Currency)&amp;FamilyName&amp;$F$26</f>
        <v>Euribor6M</v>
      </c>
      <c r="H50" s="59" t="str">
        <f>IF(LCHQuoteOverwrite,Currency&amp;$G$26&amp;$H$26&amp;$B50&amp;LCHQuoteSuffix,Currency&amp;$G$26&amp;$H$26&amp;$B50&amp;QuoteSuffix)</f>
        <v>EURAB6E20Y_LCHQuote</v>
      </c>
      <c r="I50" s="127">
        <v>0</v>
      </c>
      <c r="J50" s="64" t="str">
        <f>_xll.qlSwapRateHelper2(,$H50,,$B50,Calendar,$D50,$E50,$F50,$G50,$I50,$C50,,PillarDate,,Permanent,Trigger,ObjectOverwrite)</f>
        <v>obj_0068f#0018</v>
      </c>
      <c r="L50" s="10" t="str">
        <f t="shared" si="3"/>
        <v>Sw</v>
      </c>
      <c r="M50" s="94" t="str">
        <f>IF(ISBLANK(J54),"--",J54)</f>
        <v>--</v>
      </c>
      <c r="N50" s="146" t="str">
        <f>IFERROR(_xll.qlRateHelperQuoteName(M50,Trigger),"--")</f>
        <v>--</v>
      </c>
      <c r="O50" s="98" t="str">
        <f>IFERROR(_xll.qlRateHelperQuoteValue($M50,Trigger),"--")</f>
        <v>--</v>
      </c>
      <c r="P50" s="97" t="b">
        <v>0</v>
      </c>
      <c r="Q50" s="94">
        <v>10</v>
      </c>
      <c r="R50" s="94">
        <v>1</v>
      </c>
      <c r="S50" s="99" t="str">
        <f>IFERROR(_xll.qlRateHelperEarliestDate(M50,Trigger),"--")</f>
        <v>--</v>
      </c>
      <c r="T50" s="99" t="str">
        <f>IFERROR(_xll.qlRateHelperPillarDate(M50,Trigger),"--")</f>
        <v>--</v>
      </c>
      <c r="V50" s="4" t="str">
        <f>IFERROR(INDEX($L$3:$L$60,MATCH(X50,$N$3:$N$60,0),1),"")</f>
        <v/>
      </c>
      <c r="W50" s="4" t="e">
        <v>#N/A</v>
      </c>
      <c r="X50" s="4" t="str">
        <f>IFERROR(_xll.qlRateHelperQuoteName(W50,Trigger),"")</f>
        <v/>
      </c>
      <c r="Y50" s="70" t="str">
        <f>IFERROR(_xll.qlRateHelperRate(W50,Trigger),"")</f>
        <v/>
      </c>
      <c r="Z50" s="104" t="str">
        <f>IF(ISERROR(_xll.qlSwapRateHelperSpread($W50)),IF(ISERROR(_xll.qlFuturesRateHelperConvexityAdjustment($W50)),"",_xll.qlFuturesRateHelperConvexityAdjustment($W50)),_xll.qlSwapRateHelperSpread($W50))</f>
        <v/>
      </c>
      <c r="AA50" s="5" t="str">
        <f>IFERROR(_xll.qlRateHelperEarliestDate(W50,Trigger),"")</f>
        <v/>
      </c>
      <c r="AB50" s="5" t="str">
        <f>IFERROR(_xll.qlRateHelperPillarDate(W50,Trigger),"")</f>
        <v/>
      </c>
      <c r="AC50" s="70" t="e">
        <v>#N/A</v>
      </c>
      <c r="AD50" s="170" t="e">
        <v>#N/A</v>
      </c>
      <c r="AE50" s="171" t="e">
        <v>#N/A</v>
      </c>
      <c r="AF50" s="173" t="e">
        <f>_xll.qlYieldTSZeroRate(yieldcurve1_STD,$AD50,"ACTUAL/365 (FIXED)",,,TRUE,Trigger)-AE50</f>
        <v>#NUM!</v>
      </c>
    </row>
    <row r="51" spans="1:32" ht="11.25" customHeight="1" x14ac:dyDescent="0.2">
      <c r="A51" s="59" t="s">
        <v>25</v>
      </c>
      <c r="B51" s="60" t="s">
        <v>105</v>
      </c>
      <c r="C51" s="61" t="s">
        <v>6</v>
      </c>
      <c r="D51" s="61" t="s">
        <v>8</v>
      </c>
      <c r="E51" s="61" t="s">
        <v>7</v>
      </c>
      <c r="F51" s="61" t="s">
        <v>125</v>
      </c>
      <c r="G51" s="61" t="str">
        <f>PROPER(Currency)&amp;FamilyName&amp;$F$26</f>
        <v>Euribor6M</v>
      </c>
      <c r="H51" s="59" t="str">
        <f>IF(LCHQuoteOverwrite,Currency&amp;$G$26&amp;$H$26&amp;$B51&amp;LCHQuoteSuffix,Currency&amp;$G$26&amp;$H$26&amp;$B51&amp;QuoteSuffix)</f>
        <v>EURAB6E21Y_LCHQuote</v>
      </c>
      <c r="I51" s="127">
        <v>0</v>
      </c>
      <c r="J51" s="64"/>
      <c r="L51" s="10" t="str">
        <f t="shared" si="3"/>
        <v>Sw</v>
      </c>
      <c r="M51" s="94" t="str">
        <f>IF(ISBLANK(J55),"--",J55)</f>
        <v>obj_00686#0018</v>
      </c>
      <c r="N51" s="146" t="str">
        <f>IFERROR(_xll.qlRateHelperQuoteName(M51,Trigger),"--")</f>
        <v>EURAB6E25Y_LCHQuote</v>
      </c>
      <c r="O51" s="98">
        <f>IFERROR(_xll.qlRateHelperQuoteValue($M51,Trigger),"--")</f>
        <v>1.6433E-2</v>
      </c>
      <c r="P51" s="97" t="b">
        <v>1</v>
      </c>
      <c r="Q51" s="94">
        <v>10</v>
      </c>
      <c r="R51" s="94">
        <v>1</v>
      </c>
      <c r="S51" s="99">
        <f>IFERROR(_xll.qlRateHelperEarliestDate(M51,Trigger),"--")</f>
        <v>42250</v>
      </c>
      <c r="T51" s="99">
        <f>IFERROR(_xll.qlRateHelperPillarDate(M51,Trigger),"--")</f>
        <v>51382</v>
      </c>
      <c r="V51" s="4" t="str">
        <f>IFERROR(INDEX($L$3:$L$60,MATCH(X51,$N$3:$N$60,0),1),"")</f>
        <v/>
      </c>
      <c r="W51" s="4" t="e">
        <v>#N/A</v>
      </c>
      <c r="X51" s="4" t="str">
        <f>IFERROR(_xll.qlRateHelperQuoteName(W51,Trigger),"")</f>
        <v/>
      </c>
      <c r="Y51" s="70" t="str">
        <f>IFERROR(_xll.qlRateHelperRate(W51,Trigger),"")</f>
        <v/>
      </c>
      <c r="Z51" s="104" t="str">
        <f>IF(ISERROR(_xll.qlSwapRateHelperSpread($W51)),IF(ISERROR(_xll.qlFuturesRateHelperConvexityAdjustment($W51)),"",_xll.qlFuturesRateHelperConvexityAdjustment($W51)),_xll.qlSwapRateHelperSpread($W51))</f>
        <v/>
      </c>
      <c r="AA51" s="5" t="str">
        <f>IFERROR(_xll.qlRateHelperEarliestDate(W51,Trigger),"")</f>
        <v/>
      </c>
      <c r="AB51" s="5" t="str">
        <f>IFERROR(_xll.qlRateHelperPillarDate(W51,Trigger),"")</f>
        <v/>
      </c>
      <c r="AC51" s="70" t="e">
        <v>#N/A</v>
      </c>
      <c r="AD51" s="170" t="e">
        <v>#N/A</v>
      </c>
      <c r="AE51" s="171" t="e">
        <v>#N/A</v>
      </c>
      <c r="AF51" s="173" t="e">
        <f>_xll.qlYieldTSZeroRate(yieldcurve1_STD,$AD51,"ACTUAL/365 (FIXED)",,,TRUE,Trigger)-AE51</f>
        <v>#NUM!</v>
      </c>
    </row>
    <row r="52" spans="1:32" ht="11.25" customHeight="1" x14ac:dyDescent="0.2">
      <c r="A52" s="59" t="s">
        <v>25</v>
      </c>
      <c r="B52" s="60" t="s">
        <v>106</v>
      </c>
      <c r="C52" s="61" t="s">
        <v>6</v>
      </c>
      <c r="D52" s="61" t="s">
        <v>8</v>
      </c>
      <c r="E52" s="61" t="s">
        <v>7</v>
      </c>
      <c r="F52" s="61" t="s">
        <v>125</v>
      </c>
      <c r="G52" s="61" t="str">
        <f>PROPER(Currency)&amp;FamilyName&amp;$F$26</f>
        <v>Euribor6M</v>
      </c>
      <c r="H52" s="59" t="str">
        <f>IF(LCHQuoteOverwrite,Currency&amp;$G$26&amp;$H$26&amp;$B52&amp;LCHQuoteSuffix,Currency&amp;$G$26&amp;$H$26&amp;$B52&amp;QuoteSuffix)</f>
        <v>EURAB6E22Y_LCHQuote</v>
      </c>
      <c r="I52" s="127">
        <v>0</v>
      </c>
      <c r="J52" s="64"/>
      <c r="L52" s="10" t="str">
        <f t="shared" si="3"/>
        <v>Sw</v>
      </c>
      <c r="M52" s="94" t="str">
        <f>IF(ISBLANK(J56),"--",J56)</f>
        <v>--</v>
      </c>
      <c r="N52" s="146" t="str">
        <f>IFERROR(_xll.qlRateHelperQuoteName(M52,Trigger),"--")</f>
        <v>--</v>
      </c>
      <c r="O52" s="98" t="str">
        <f>IFERROR(_xll.qlRateHelperQuoteValue($M52,Trigger),"--")</f>
        <v>--</v>
      </c>
      <c r="P52" s="97" t="b">
        <v>0</v>
      </c>
      <c r="Q52" s="94">
        <v>10</v>
      </c>
      <c r="R52" s="94">
        <v>1</v>
      </c>
      <c r="S52" s="99" t="str">
        <f>IFERROR(_xll.qlRateHelperEarliestDate(M52,Trigger),"--")</f>
        <v>--</v>
      </c>
      <c r="T52" s="99" t="str">
        <f>IFERROR(_xll.qlRateHelperPillarDate(M52,Trigger),"--")</f>
        <v>--</v>
      </c>
      <c r="V52" s="4" t="str">
        <f>IFERROR(INDEX($L$3:$L$60,MATCH(X52,$N$3:$N$60,0),1),"")</f>
        <v/>
      </c>
      <c r="W52" s="4" t="e">
        <v>#N/A</v>
      </c>
      <c r="X52" s="4" t="str">
        <f>IFERROR(_xll.qlRateHelperQuoteName(W52,Trigger),"")</f>
        <v/>
      </c>
      <c r="Y52" s="70" t="str">
        <f>IFERROR(_xll.qlRateHelperRate(W52,Trigger),"")</f>
        <v/>
      </c>
      <c r="Z52" s="104" t="str">
        <f>IF(ISERROR(_xll.qlSwapRateHelperSpread($W52)),IF(ISERROR(_xll.qlFuturesRateHelperConvexityAdjustment($W52)),"",_xll.qlFuturesRateHelperConvexityAdjustment($W52)),_xll.qlSwapRateHelperSpread($W52))</f>
        <v/>
      </c>
      <c r="AA52" s="5" t="str">
        <f>IFERROR(_xll.qlRateHelperEarliestDate(W52,Trigger),"")</f>
        <v/>
      </c>
      <c r="AB52" s="5" t="str">
        <f>IFERROR(_xll.qlRateHelperPillarDate(W52,Trigger),"")</f>
        <v/>
      </c>
      <c r="AC52" s="70" t="e">
        <v>#N/A</v>
      </c>
      <c r="AD52" s="170" t="e">
        <v>#N/A</v>
      </c>
      <c r="AE52" s="171" t="e">
        <v>#N/A</v>
      </c>
      <c r="AF52" s="173" t="e">
        <f>_xll.qlYieldTSZeroRate(yieldcurve1_STD,$AD52,"ACTUAL/365 (FIXED)",,,TRUE,Trigger)-AE52</f>
        <v>#NUM!</v>
      </c>
    </row>
    <row r="53" spans="1:32" ht="11.25" customHeight="1" x14ac:dyDescent="0.2">
      <c r="A53" s="59" t="s">
        <v>25</v>
      </c>
      <c r="B53" s="60" t="s">
        <v>107</v>
      </c>
      <c r="C53" s="61" t="s">
        <v>6</v>
      </c>
      <c r="D53" s="61" t="s">
        <v>8</v>
      </c>
      <c r="E53" s="61" t="s">
        <v>7</v>
      </c>
      <c r="F53" s="61" t="s">
        <v>125</v>
      </c>
      <c r="G53" s="61" t="str">
        <f>PROPER(Currency)&amp;FamilyName&amp;$F$26</f>
        <v>Euribor6M</v>
      </c>
      <c r="H53" s="59" t="str">
        <f>IF(LCHQuoteOverwrite,Currency&amp;$G$26&amp;$H$26&amp;$B53&amp;LCHQuoteSuffix,Currency&amp;$G$26&amp;$H$26&amp;$B53&amp;QuoteSuffix)</f>
        <v>EURAB6E23Y_LCHQuote</v>
      </c>
      <c r="I53" s="127">
        <v>0</v>
      </c>
      <c r="J53" s="64"/>
      <c r="L53" s="10" t="str">
        <f t="shared" si="3"/>
        <v>Sw</v>
      </c>
      <c r="M53" s="94" t="str">
        <f>IF(ISBLANK(J57),"--",J57)</f>
        <v>--</v>
      </c>
      <c r="N53" s="146" t="str">
        <f>IFERROR(_xll.qlRateHelperQuoteName(M53,Trigger),"--")</f>
        <v>--</v>
      </c>
      <c r="O53" s="98" t="str">
        <f>IFERROR(_xll.qlRateHelperQuoteValue($M53,Trigger),"--")</f>
        <v>--</v>
      </c>
      <c r="P53" s="97" t="b">
        <v>0</v>
      </c>
      <c r="Q53" s="94">
        <v>10</v>
      </c>
      <c r="R53" s="94">
        <v>1</v>
      </c>
      <c r="S53" s="99" t="str">
        <f>IFERROR(_xll.qlRateHelperEarliestDate(M53,Trigger),"--")</f>
        <v>--</v>
      </c>
      <c r="T53" s="99" t="str">
        <f>IFERROR(_xll.qlRateHelperPillarDate(M53,Trigger),"--")</f>
        <v>--</v>
      </c>
      <c r="V53" s="4" t="str">
        <f>IFERROR(INDEX($L$3:$L$60,MATCH(X53,$N$3:$N$60,0),1),"")</f>
        <v/>
      </c>
      <c r="W53" s="4" t="e">
        <v>#N/A</v>
      </c>
      <c r="X53" s="4" t="str">
        <f>IFERROR(_xll.qlRateHelperQuoteName(W53,Trigger),"")</f>
        <v/>
      </c>
      <c r="Y53" s="70" t="str">
        <f>IFERROR(_xll.qlRateHelperRate(W53,Trigger),"")</f>
        <v/>
      </c>
      <c r="Z53" s="104" t="str">
        <f>IF(ISERROR(_xll.qlSwapRateHelperSpread($W53)),IF(ISERROR(_xll.qlFuturesRateHelperConvexityAdjustment($W53)),"",_xll.qlFuturesRateHelperConvexityAdjustment($W53)),_xll.qlSwapRateHelperSpread($W53))</f>
        <v/>
      </c>
      <c r="AA53" s="5" t="str">
        <f>IFERROR(_xll.qlRateHelperEarliestDate(W53,Trigger),"")</f>
        <v/>
      </c>
      <c r="AB53" s="5" t="str">
        <f>IFERROR(_xll.qlRateHelperPillarDate(W53,Trigger),"")</f>
        <v/>
      </c>
      <c r="AC53" s="70" t="e">
        <v>#N/A</v>
      </c>
      <c r="AD53" s="170" t="e">
        <v>#N/A</v>
      </c>
      <c r="AE53" s="171" t="e">
        <v>#N/A</v>
      </c>
      <c r="AF53" s="173" t="e">
        <f>_xll.qlYieldTSZeroRate(yieldcurve1_STD,$AD53,"ACTUAL/365 (FIXED)",,,TRUE,Trigger)-AE53</f>
        <v>#NUM!</v>
      </c>
    </row>
    <row r="54" spans="1:32" ht="11.25" customHeight="1" x14ac:dyDescent="0.2">
      <c r="A54" s="59" t="s">
        <v>25</v>
      </c>
      <c r="B54" s="60" t="s">
        <v>108</v>
      </c>
      <c r="C54" s="61" t="s">
        <v>6</v>
      </c>
      <c r="D54" s="61" t="s">
        <v>8</v>
      </c>
      <c r="E54" s="61" t="s">
        <v>7</v>
      </c>
      <c r="F54" s="61" t="s">
        <v>125</v>
      </c>
      <c r="G54" s="61" t="str">
        <f>PROPER(Currency)&amp;FamilyName&amp;$F$26</f>
        <v>Euribor6M</v>
      </c>
      <c r="H54" s="59" t="str">
        <f>IF(LCHQuoteOverwrite,Currency&amp;$G$26&amp;$H$26&amp;$B54&amp;LCHQuoteSuffix,Currency&amp;$G$26&amp;$H$26&amp;$B54&amp;QuoteSuffix)</f>
        <v>EURAB6E24Y_LCHQuote</v>
      </c>
      <c r="I54" s="127">
        <v>0</v>
      </c>
      <c r="J54" s="64"/>
      <c r="L54" s="10" t="str">
        <f t="shared" si="3"/>
        <v>Sw</v>
      </c>
      <c r="M54" s="94" t="str">
        <f>IF(ISBLANK(J58),"--",J58)</f>
        <v>--</v>
      </c>
      <c r="N54" s="146" t="str">
        <f>IFERROR(_xll.qlRateHelperQuoteName(M54,Trigger),"--")</f>
        <v>--</v>
      </c>
      <c r="O54" s="98" t="str">
        <f>IFERROR(_xll.qlRateHelperQuoteValue($M54,Trigger),"--")</f>
        <v>--</v>
      </c>
      <c r="P54" s="97" t="b">
        <v>0</v>
      </c>
      <c r="Q54" s="94">
        <v>10</v>
      </c>
      <c r="R54" s="94">
        <v>1</v>
      </c>
      <c r="S54" s="99" t="str">
        <f>IFERROR(_xll.qlRateHelperEarliestDate(M54,Trigger),"--")</f>
        <v>--</v>
      </c>
      <c r="T54" s="99" t="str">
        <f>IFERROR(_xll.qlRateHelperPillarDate(M54,Trigger),"--")</f>
        <v>--</v>
      </c>
      <c r="V54" s="4" t="str">
        <f>IFERROR(INDEX($L$3:$L$60,MATCH(X54,$N$3:$N$60,0),1),"")</f>
        <v/>
      </c>
      <c r="W54" s="4" t="e">
        <v>#N/A</v>
      </c>
      <c r="X54" s="4" t="str">
        <f>IFERROR(_xll.qlRateHelperQuoteName(W54,Trigger),"")</f>
        <v/>
      </c>
      <c r="Y54" s="70" t="str">
        <f>IFERROR(_xll.qlRateHelperRate(W54,Trigger),"")</f>
        <v/>
      </c>
      <c r="Z54" s="104" t="str">
        <f>IF(ISERROR(_xll.qlSwapRateHelperSpread($W54)),IF(ISERROR(_xll.qlFuturesRateHelperConvexityAdjustment($W54)),"",_xll.qlFuturesRateHelperConvexityAdjustment($W54)),_xll.qlSwapRateHelperSpread($W54))</f>
        <v/>
      </c>
      <c r="AA54" s="5" t="str">
        <f>IFERROR(_xll.qlRateHelperEarliestDate(W54,Trigger),"")</f>
        <v/>
      </c>
      <c r="AB54" s="5" t="str">
        <f>IFERROR(_xll.qlRateHelperPillarDate(W54,Trigger),"")</f>
        <v/>
      </c>
      <c r="AC54" s="70" t="e">
        <v>#N/A</v>
      </c>
      <c r="AD54" s="170" t="e">
        <v>#N/A</v>
      </c>
      <c r="AE54" s="171" t="e">
        <v>#N/A</v>
      </c>
      <c r="AF54" s="173" t="e">
        <f>_xll.qlYieldTSZeroRate(yieldcurve1_STD,$AD54,"ACTUAL/365 (FIXED)",,,TRUE,Trigger)-AE54</f>
        <v>#NUM!</v>
      </c>
    </row>
    <row r="55" spans="1:32" ht="11.25" customHeight="1" x14ac:dyDescent="0.2">
      <c r="A55" s="59" t="s">
        <v>25</v>
      </c>
      <c r="B55" s="60" t="s">
        <v>64</v>
      </c>
      <c r="C55" s="61" t="s">
        <v>6</v>
      </c>
      <c r="D55" s="61" t="s">
        <v>8</v>
      </c>
      <c r="E55" s="61" t="s">
        <v>7</v>
      </c>
      <c r="F55" s="61" t="s">
        <v>125</v>
      </c>
      <c r="G55" s="61" t="str">
        <f>PROPER(Currency)&amp;FamilyName&amp;$F$26</f>
        <v>Euribor6M</v>
      </c>
      <c r="H55" s="59" t="str">
        <f>IF(LCHQuoteOverwrite,Currency&amp;$G$26&amp;$H$26&amp;$B55&amp;LCHQuoteSuffix,Currency&amp;$G$26&amp;$H$26&amp;$B55&amp;QuoteSuffix)</f>
        <v>EURAB6E25Y_LCHQuote</v>
      </c>
      <c r="I55" s="127">
        <v>0</v>
      </c>
      <c r="J55" s="64" t="str">
        <f>_xll.qlSwapRateHelper2(,$H55,,$B55,Calendar,$D55,$E55,$F55,$G55,$I55,$C55,,PillarDate,,Permanent,Trigger,ObjectOverwrite)</f>
        <v>obj_00686#0018</v>
      </c>
      <c r="L55" s="10" t="str">
        <f t="shared" si="3"/>
        <v>Sw</v>
      </c>
      <c r="M55" s="94" t="str">
        <f>IF(ISBLANK(J59),"--",J59)</f>
        <v>--</v>
      </c>
      <c r="N55" s="146" t="str">
        <f>IFERROR(_xll.qlRateHelperQuoteName(M55,Trigger),"--")</f>
        <v>--</v>
      </c>
      <c r="O55" s="98" t="str">
        <f>IFERROR(_xll.qlRateHelperQuoteValue($M55,Trigger),"--")</f>
        <v>--</v>
      </c>
      <c r="P55" s="97" t="b">
        <v>0</v>
      </c>
      <c r="Q55" s="94">
        <v>10</v>
      </c>
      <c r="R55" s="94">
        <v>1</v>
      </c>
      <c r="S55" s="99" t="str">
        <f>IFERROR(_xll.qlRateHelperEarliestDate(M55,Trigger),"--")</f>
        <v>--</v>
      </c>
      <c r="T55" s="99" t="str">
        <f>IFERROR(_xll.qlRateHelperPillarDate(M55,Trigger),"--")</f>
        <v>--</v>
      </c>
      <c r="V55" s="4" t="str">
        <f>IFERROR(INDEX($L$3:$L$60,MATCH(X55,$N$3:$N$60,0),1),"")</f>
        <v/>
      </c>
      <c r="W55" s="4" t="e">
        <v>#N/A</v>
      </c>
      <c r="X55" s="4" t="str">
        <f>IFERROR(_xll.qlRateHelperQuoteName(W55,Trigger),"")</f>
        <v/>
      </c>
      <c r="Y55" s="70" t="str">
        <f>IFERROR(_xll.qlRateHelperRate(W55,Trigger),"")</f>
        <v/>
      </c>
      <c r="Z55" s="104" t="str">
        <f>IF(ISERROR(_xll.qlSwapRateHelperSpread($W55)),IF(ISERROR(_xll.qlFuturesRateHelperConvexityAdjustment($W55)),"",_xll.qlFuturesRateHelperConvexityAdjustment($W55)),_xll.qlSwapRateHelperSpread($W55))</f>
        <v/>
      </c>
      <c r="AA55" s="5" t="str">
        <f>IFERROR(_xll.qlRateHelperEarliestDate(W55,Trigger),"")</f>
        <v/>
      </c>
      <c r="AB55" s="5" t="str">
        <f>IFERROR(_xll.qlRateHelperPillarDate(W55,Trigger),"")</f>
        <v/>
      </c>
      <c r="AC55" s="70" t="e">
        <v>#N/A</v>
      </c>
      <c r="AD55" s="170" t="e">
        <v>#N/A</v>
      </c>
      <c r="AE55" s="171" t="e">
        <v>#N/A</v>
      </c>
      <c r="AF55" s="173" t="e">
        <f>_xll.qlYieldTSZeroRate(yieldcurve1_STD,$AD55,"ACTUAL/365 (FIXED)",,,TRUE,Trigger)-AE55</f>
        <v>#NUM!</v>
      </c>
    </row>
    <row r="56" spans="1:32" ht="11.25" customHeight="1" x14ac:dyDescent="0.2">
      <c r="A56" s="59" t="s">
        <v>25</v>
      </c>
      <c r="B56" s="60" t="s">
        <v>109</v>
      </c>
      <c r="C56" s="61" t="s">
        <v>6</v>
      </c>
      <c r="D56" s="61" t="s">
        <v>8</v>
      </c>
      <c r="E56" s="61" t="s">
        <v>7</v>
      </c>
      <c r="F56" s="61" t="s">
        <v>125</v>
      </c>
      <c r="G56" s="61" t="str">
        <f>PROPER(Currency)&amp;FamilyName&amp;$F$26</f>
        <v>Euribor6M</v>
      </c>
      <c r="H56" s="59" t="str">
        <f>IF(LCHQuoteOverwrite,Currency&amp;$G$26&amp;$H$26&amp;$B56&amp;LCHQuoteSuffix,Currency&amp;$G$26&amp;$H$26&amp;$B56&amp;QuoteSuffix)</f>
        <v>EURAB6E26Y_LCHQuote</v>
      </c>
      <c r="I56" s="127">
        <v>0</v>
      </c>
      <c r="J56" s="64"/>
      <c r="L56" s="10" t="str">
        <f t="shared" si="3"/>
        <v>Sw</v>
      </c>
      <c r="M56" s="94" t="str">
        <f>IF(ISBLANK(J60),"--",J60)</f>
        <v>obj_0068e#0018</v>
      </c>
      <c r="N56" s="146" t="str">
        <f>IFERROR(_xll.qlRateHelperQuoteName(M56,Trigger),"--")</f>
        <v>EURAB6E30Y_LCHQuote</v>
      </c>
      <c r="O56" s="98">
        <f>IFERROR(_xll.qlRateHelperQuoteValue($M56,Trigger),"--")</f>
        <v>1.6500500000000001E-2</v>
      </c>
      <c r="P56" s="97" t="b">
        <v>1</v>
      </c>
      <c r="Q56" s="94">
        <v>10</v>
      </c>
      <c r="R56" s="94">
        <v>1</v>
      </c>
      <c r="S56" s="99">
        <f>IFERROR(_xll.qlRateHelperEarliestDate(M56,Trigger),"--")</f>
        <v>42250</v>
      </c>
      <c r="T56" s="99">
        <f>IFERROR(_xll.qlRateHelperPillarDate(M56,Trigger),"--")</f>
        <v>53209</v>
      </c>
      <c r="V56" s="4" t="str">
        <f>IFERROR(INDEX($L$3:$L$60,MATCH(X56,$N$3:$N$60,0),1),"")</f>
        <v/>
      </c>
      <c r="W56" s="4" t="e">
        <v>#N/A</v>
      </c>
      <c r="X56" s="4" t="str">
        <f>IFERROR(_xll.qlRateHelperQuoteName(W56,Trigger),"")</f>
        <v/>
      </c>
      <c r="Y56" s="70" t="str">
        <f>IFERROR(_xll.qlRateHelperRate(W56,Trigger),"")</f>
        <v/>
      </c>
      <c r="Z56" s="104" t="str">
        <f>IF(ISERROR(_xll.qlSwapRateHelperSpread($W56)),IF(ISERROR(_xll.qlFuturesRateHelperConvexityAdjustment($W56)),"",_xll.qlFuturesRateHelperConvexityAdjustment($W56)),_xll.qlSwapRateHelperSpread($W56))</f>
        <v/>
      </c>
      <c r="AA56" s="5" t="str">
        <f>IFERROR(_xll.qlRateHelperEarliestDate(W56,Trigger),"")</f>
        <v/>
      </c>
      <c r="AB56" s="5" t="str">
        <f>IFERROR(_xll.qlRateHelperPillarDate(W56,Trigger),"")</f>
        <v/>
      </c>
      <c r="AC56" s="70" t="e">
        <v>#N/A</v>
      </c>
      <c r="AD56" s="170" t="e">
        <v>#N/A</v>
      </c>
      <c r="AE56" s="171" t="e">
        <v>#N/A</v>
      </c>
      <c r="AF56" s="173" t="e">
        <f>_xll.qlYieldTSZeroRate(yieldcurve1_STD,$AD56,"ACTUAL/365 (FIXED)",,,TRUE,Trigger)-AE56</f>
        <v>#NUM!</v>
      </c>
    </row>
    <row r="57" spans="1:32" ht="11.25" customHeight="1" x14ac:dyDescent="0.2">
      <c r="A57" s="59" t="s">
        <v>25</v>
      </c>
      <c r="B57" s="60" t="s">
        <v>65</v>
      </c>
      <c r="C57" s="61" t="s">
        <v>6</v>
      </c>
      <c r="D57" s="61" t="s">
        <v>8</v>
      </c>
      <c r="E57" s="61" t="s">
        <v>7</v>
      </c>
      <c r="F57" s="61" t="s">
        <v>125</v>
      </c>
      <c r="G57" s="61" t="str">
        <f>PROPER(Currency)&amp;FamilyName&amp;$F$26</f>
        <v>Euribor6M</v>
      </c>
      <c r="H57" s="59" t="str">
        <f>IF(LCHQuoteOverwrite,Currency&amp;$G$26&amp;$H$26&amp;$B57&amp;LCHQuoteSuffix,Currency&amp;$G$26&amp;$H$26&amp;$B57&amp;QuoteSuffix)</f>
        <v>EURAB6E27Y_LCHQuote</v>
      </c>
      <c r="I57" s="127">
        <v>0</v>
      </c>
      <c r="J57" s="64"/>
      <c r="L57" s="10" t="str">
        <f t="shared" si="3"/>
        <v>Sw</v>
      </c>
      <c r="M57" s="94" t="str">
        <f>IF(ISBLANK(J61),"--",J61)</f>
        <v>--</v>
      </c>
      <c r="N57" s="146" t="str">
        <f>IFERROR(_xll.qlRateHelperQuoteName(M57,Trigger),"--")</f>
        <v>--</v>
      </c>
      <c r="O57" s="98" t="str">
        <f>IFERROR(_xll.qlRateHelperQuoteValue($M57,Trigger),"--")</f>
        <v>--</v>
      </c>
      <c r="P57" s="97" t="b">
        <v>0</v>
      </c>
      <c r="Q57" s="94">
        <v>10</v>
      </c>
      <c r="R57" s="94">
        <v>1</v>
      </c>
      <c r="S57" s="99" t="str">
        <f>IFERROR(_xll.qlRateHelperEarliestDate(M57,Trigger),"--")</f>
        <v>--</v>
      </c>
      <c r="T57" s="99" t="str">
        <f>IFERROR(_xll.qlRateHelperPillarDate(M57,Trigger),"--")</f>
        <v>--</v>
      </c>
      <c r="V57" s="4" t="str">
        <f>IFERROR(INDEX($L$3:$L$60,MATCH(X57,$N$3:$N$60,0),1),"")</f>
        <v/>
      </c>
      <c r="W57" s="4" t="e">
        <v>#N/A</v>
      </c>
      <c r="X57" s="4" t="str">
        <f>IFERROR(_xll.qlRateHelperQuoteName(W57,Trigger),"")</f>
        <v/>
      </c>
      <c r="Y57" s="70" t="str">
        <f>IFERROR(_xll.qlRateHelperRate(W57,Trigger),"")</f>
        <v/>
      </c>
      <c r="Z57" s="104" t="str">
        <f>IF(ISERROR(_xll.qlSwapRateHelperSpread($W57)),IF(ISERROR(_xll.qlFuturesRateHelperConvexityAdjustment($W57)),"",_xll.qlFuturesRateHelperConvexityAdjustment($W57)),_xll.qlSwapRateHelperSpread($W57))</f>
        <v/>
      </c>
      <c r="AA57" s="5" t="str">
        <f>IFERROR(_xll.qlRateHelperEarliestDate(W57,Trigger),"")</f>
        <v/>
      </c>
      <c r="AB57" s="5" t="str">
        <f>IFERROR(_xll.qlRateHelperPillarDate(W57,Trigger),"")</f>
        <v/>
      </c>
      <c r="AC57" s="70" t="e">
        <v>#N/A</v>
      </c>
      <c r="AD57" s="46" t="e">
        <v>#N/A</v>
      </c>
      <c r="AE57" s="46" t="e">
        <v>#N/A</v>
      </c>
      <c r="AF57" s="173" t="e">
        <f>_xll.qlYieldTSZeroRate(yieldcurve1_STD,$AD57,"ACTUAL/365 (FIXED)",,,TRUE,Trigger)-AE57</f>
        <v>#NUM!</v>
      </c>
    </row>
    <row r="58" spans="1:32" ht="11.25" customHeight="1" x14ac:dyDescent="0.2">
      <c r="A58" s="59" t="s">
        <v>25</v>
      </c>
      <c r="B58" s="60" t="s">
        <v>110</v>
      </c>
      <c r="C58" s="61" t="s">
        <v>6</v>
      </c>
      <c r="D58" s="61" t="s">
        <v>8</v>
      </c>
      <c r="E58" s="61" t="s">
        <v>7</v>
      </c>
      <c r="F58" s="61" t="s">
        <v>125</v>
      </c>
      <c r="G58" s="61" t="str">
        <f>PROPER(Currency)&amp;FamilyName&amp;$F$26</f>
        <v>Euribor6M</v>
      </c>
      <c r="H58" s="59" t="str">
        <f>IF(LCHQuoteOverwrite,Currency&amp;$G$26&amp;$H$26&amp;$B58&amp;LCHQuoteSuffix,Currency&amp;$G$26&amp;$H$26&amp;$B58&amp;QuoteSuffix)</f>
        <v>EURAB6E28Y_LCHQuote</v>
      </c>
      <c r="I58" s="127">
        <v>0</v>
      </c>
      <c r="J58" s="64"/>
      <c r="L58" s="10" t="str">
        <f t="shared" si="3"/>
        <v>Sw</v>
      </c>
      <c r="M58" s="94" t="str">
        <f>IF(ISBLANK(J62),"--",J62)</f>
        <v>obj_00684#0018</v>
      </c>
      <c r="N58" s="146" t="str">
        <f>IFERROR(_xll.qlRateHelperQuoteName(M58,Trigger),"--")</f>
        <v>EURAB6E40Y_LCHQuote</v>
      </c>
      <c r="O58" s="98">
        <f>IFERROR(_xll.qlRateHelperQuoteValue($M58,Trigger),"--")</f>
        <v>1.6621E-2</v>
      </c>
      <c r="P58" s="97" t="b">
        <v>1</v>
      </c>
      <c r="Q58" s="94">
        <v>10</v>
      </c>
      <c r="R58" s="94">
        <v>1</v>
      </c>
      <c r="S58" s="99">
        <f>IFERROR(_xll.qlRateHelperEarliestDate(M58,Trigger),"--")</f>
        <v>42250</v>
      </c>
      <c r="T58" s="99">
        <f>IFERROR(_xll.qlRateHelperPillarDate(M58,Trigger),"--")</f>
        <v>56860</v>
      </c>
      <c r="V58" s="4" t="str">
        <f>IFERROR(INDEX($L$3:$L$60,MATCH(X58,$N$3:$N$60,0),1),"")</f>
        <v/>
      </c>
      <c r="W58" s="4" t="e">
        <v>#N/A</v>
      </c>
      <c r="X58" s="4" t="str">
        <f>IFERROR(_xll.qlRateHelperQuoteName(W58,Trigger),"")</f>
        <v/>
      </c>
      <c r="Y58" s="70" t="str">
        <f>IFERROR(_xll.qlRateHelperRate(W58,Trigger),"")</f>
        <v/>
      </c>
      <c r="Z58" s="104" t="str">
        <f>IF(ISERROR(_xll.qlSwapRateHelperSpread($W58)),IF(ISERROR(_xll.qlFuturesRateHelperConvexityAdjustment($W58)),"",_xll.qlFuturesRateHelperConvexityAdjustment($W58)),_xll.qlSwapRateHelperSpread($W58))</f>
        <v/>
      </c>
      <c r="AA58" s="5" t="str">
        <f>IFERROR(_xll.qlRateHelperEarliestDate(W58,Trigger),"")</f>
        <v/>
      </c>
      <c r="AB58" s="5" t="str">
        <f>IFERROR(_xll.qlRateHelperPillarDate(W58,Trigger),"")</f>
        <v/>
      </c>
      <c r="AC58" s="70" t="e">
        <v>#N/A</v>
      </c>
      <c r="AD58" s="46" t="e">
        <v>#N/A</v>
      </c>
      <c r="AE58" s="46" t="e">
        <v>#N/A</v>
      </c>
      <c r="AF58" s="173" t="e">
        <f>_xll.qlYieldTSZeroRate(yieldcurve1_STD,$AD58,"ACTUAL/365 (FIXED)",,,TRUE,Trigger)-AE58</f>
        <v>#NUM!</v>
      </c>
    </row>
    <row r="59" spans="1:32" ht="11.25" customHeight="1" x14ac:dyDescent="0.2">
      <c r="A59" s="59" t="s">
        <v>25</v>
      </c>
      <c r="B59" s="60" t="s">
        <v>111</v>
      </c>
      <c r="C59" s="61" t="s">
        <v>6</v>
      </c>
      <c r="D59" s="61" t="s">
        <v>8</v>
      </c>
      <c r="E59" s="61" t="s">
        <v>7</v>
      </c>
      <c r="F59" s="61" t="s">
        <v>125</v>
      </c>
      <c r="G59" s="61" t="str">
        <f>PROPER(Currency)&amp;FamilyName&amp;$F$26</f>
        <v>Euribor6M</v>
      </c>
      <c r="H59" s="59" t="str">
        <f>IF(LCHQuoteOverwrite,Currency&amp;$G$26&amp;$H$26&amp;$B59&amp;LCHQuoteSuffix,Currency&amp;$G$26&amp;$H$26&amp;$B59&amp;QuoteSuffix)</f>
        <v>EURAB6E29Y_LCHQuote</v>
      </c>
      <c r="I59" s="127">
        <v>0</v>
      </c>
      <c r="J59" s="64"/>
      <c r="L59" s="10" t="str">
        <f t="shared" si="3"/>
        <v>Sw</v>
      </c>
      <c r="M59" s="94" t="str">
        <f>IF(ISBLANK(J63),"--",J63)</f>
        <v>obj_00687#0018</v>
      </c>
      <c r="N59" s="146" t="str">
        <f>IFERROR(_xll.qlRateHelperQuoteName(M59,Trigger),"--")</f>
        <v>EURAB6E50Y_LCHQuote</v>
      </c>
      <c r="O59" s="98">
        <f>IFERROR(_xll.qlRateHelperQuoteValue($M59,Trigger),"--")</f>
        <v>1.6251000000000002E-2</v>
      </c>
      <c r="P59" s="97" t="b">
        <v>1</v>
      </c>
      <c r="Q59" s="94">
        <v>10</v>
      </c>
      <c r="R59" s="94">
        <v>1</v>
      </c>
      <c r="S59" s="99">
        <f>IFERROR(_xll.qlRateHelperEarliestDate(M59,Trigger),"--")</f>
        <v>42250</v>
      </c>
      <c r="T59" s="99">
        <f>IFERROR(_xll.qlRateHelperPillarDate(M59,Trigger),"--")</f>
        <v>60513</v>
      </c>
      <c r="V59" s="4" t="str">
        <f>IFERROR(INDEX($L$3:$L$60,MATCH(X59,$N$3:$N$60,0),1),"")</f>
        <v/>
      </c>
      <c r="W59" s="4" t="e">
        <v>#N/A</v>
      </c>
      <c r="X59" s="4" t="str">
        <f>IFERROR(_xll.qlRateHelperQuoteName(W59,Trigger),"")</f>
        <v/>
      </c>
      <c r="Y59" s="70" t="str">
        <f>IFERROR(_xll.qlRateHelperRate(W59,Trigger),"")</f>
        <v/>
      </c>
      <c r="Z59" s="104" t="str">
        <f>IF(ISERROR(_xll.qlSwapRateHelperSpread($W59)),IF(ISERROR(_xll.qlFuturesRateHelperConvexityAdjustment($W59)),"",_xll.qlFuturesRateHelperConvexityAdjustment($W59)),_xll.qlSwapRateHelperSpread($W59))</f>
        <v/>
      </c>
      <c r="AA59" s="5" t="str">
        <f>IFERROR(_xll.qlRateHelperEarliestDate(W59,Trigger),"")</f>
        <v/>
      </c>
      <c r="AB59" s="5" t="str">
        <f>IFERROR(_xll.qlRateHelperPillarDate(W59,Trigger),"")</f>
        <v/>
      </c>
      <c r="AC59" s="70" t="e">
        <v>#N/A</v>
      </c>
      <c r="AD59" s="46" t="e">
        <v>#N/A</v>
      </c>
      <c r="AE59" s="46" t="e">
        <v>#N/A</v>
      </c>
      <c r="AF59" s="173" t="e">
        <f>_xll.qlYieldTSZeroRate(yieldcurve1_STD,$AD59,"ACTUAL/365 (FIXED)",,,TRUE,Trigger)-AE59</f>
        <v>#NUM!</v>
      </c>
    </row>
    <row r="60" spans="1:32" ht="11.25" customHeight="1" x14ac:dyDescent="0.2">
      <c r="A60" s="59" t="s">
        <v>25</v>
      </c>
      <c r="B60" s="60" t="s">
        <v>66</v>
      </c>
      <c r="C60" s="61" t="s">
        <v>6</v>
      </c>
      <c r="D60" s="61" t="s">
        <v>8</v>
      </c>
      <c r="E60" s="61" t="s">
        <v>7</v>
      </c>
      <c r="F60" s="61" t="s">
        <v>125</v>
      </c>
      <c r="G60" s="61" t="str">
        <f>PROPER(Currency)&amp;FamilyName&amp;$F$26</f>
        <v>Euribor6M</v>
      </c>
      <c r="H60" s="59" t="str">
        <f>IF(LCHQuoteOverwrite,Currency&amp;$G$26&amp;$H$26&amp;$B60&amp;LCHQuoteSuffix,Currency&amp;$G$26&amp;$H$26&amp;$B60&amp;QuoteSuffix)</f>
        <v>EURAB6E30Y_LCHQuote</v>
      </c>
      <c r="I60" s="127">
        <v>0</v>
      </c>
      <c r="J60" s="64" t="str">
        <f>_xll.qlSwapRateHelper2(,$H60,,$B60,Calendar,$D60,$E60,$F60,$G60,$I60,$C60,,PillarDate,,Permanent,Trigger,ObjectOverwrite)</f>
        <v>obj_0068e#0018</v>
      </c>
      <c r="L60" s="11" t="str">
        <f t="shared" si="3"/>
        <v>Sw</v>
      </c>
      <c r="M60" s="95" t="str">
        <f>IF(ISBLANK(J64),"--",J64)</f>
        <v>obj_0068a#0018</v>
      </c>
      <c r="N60" s="147" t="str">
        <f>IFERROR(_xll.qlRateHelperQuoteName(M60,Trigger),"--")</f>
        <v>EURAB6E60Y_LCHQuote</v>
      </c>
      <c r="O60" s="101">
        <f>IFERROR(_xll.qlRateHelperQuoteValue($M60,Trigger),"--")</f>
        <v>1.6047499999999999E-2</v>
      </c>
      <c r="P60" s="100" t="b">
        <v>1</v>
      </c>
      <c r="Q60" s="95">
        <v>10</v>
      </c>
      <c r="R60" s="95">
        <v>1</v>
      </c>
      <c r="S60" s="102">
        <f>IFERROR(_xll.qlRateHelperEarliestDate(M60,Trigger),"--")</f>
        <v>42250</v>
      </c>
      <c r="T60" s="102">
        <f>IFERROR(_xll.qlRateHelperPillarDate(M60,Trigger),"--")</f>
        <v>64165</v>
      </c>
      <c r="V60" s="6" t="str">
        <f>IFERROR(INDEX($L$3:$L$60,MATCH(X60,$N$3:$N$60,0),1),"")</f>
        <v/>
      </c>
      <c r="W60" s="6" t="e">
        <v>#N/A</v>
      </c>
      <c r="X60" s="6" t="str">
        <f>IFERROR(_xll.qlRateHelperQuoteName(W60,Trigger),"")</f>
        <v/>
      </c>
      <c r="Y60" s="79" t="str">
        <f>IFERROR(_xll.qlRateHelperRate(W60,Trigger),"")</f>
        <v/>
      </c>
      <c r="Z60" s="105" t="str">
        <f>IF(ISERROR(_xll.qlSwapRateHelperSpread($W60)),IF(ISERROR(_xll.qlFuturesRateHelperConvexityAdjustment($W60)),"",_xll.qlFuturesRateHelperConvexityAdjustment($W60)),_xll.qlSwapRateHelperSpread($W60))</f>
        <v/>
      </c>
      <c r="AA60" s="12" t="str">
        <f>IFERROR(_xll.qlRateHelperEarliestDate(W60,Trigger),"")</f>
        <v/>
      </c>
      <c r="AB60" s="12" t="str">
        <f>IFERROR(_xll.qlRateHelperPillarDate(W60,Trigger),"")</f>
        <v/>
      </c>
      <c r="AC60" s="79" t="e">
        <v>#N/A</v>
      </c>
      <c r="AD60" s="46" t="e">
        <v>#N/A</v>
      </c>
      <c r="AE60" s="46" t="e">
        <v>#N/A</v>
      </c>
      <c r="AF60" s="173" t="e">
        <f>_xll.qlYieldTSZeroRate(yieldcurve1_STD,$AD60,"ACTUAL/365 (FIXED)",,,TRUE,Trigger)-AE60</f>
        <v>#NUM!</v>
      </c>
    </row>
    <row r="61" spans="1:32" ht="11.25" customHeight="1" x14ac:dyDescent="0.2">
      <c r="A61" s="59" t="s">
        <v>25</v>
      </c>
      <c r="B61" s="60" t="s">
        <v>67</v>
      </c>
      <c r="C61" s="61" t="s">
        <v>6</v>
      </c>
      <c r="D61" s="61" t="s">
        <v>8</v>
      </c>
      <c r="E61" s="61" t="s">
        <v>7</v>
      </c>
      <c r="F61" s="61" t="s">
        <v>125</v>
      </c>
      <c r="G61" s="61" t="str">
        <f>PROPER(Currency)&amp;FamilyName&amp;$F$26</f>
        <v>Euribor6M</v>
      </c>
      <c r="H61" s="59" t="str">
        <f>IF(LCHQuoteOverwrite,Currency&amp;$G$26&amp;$H$26&amp;$B61&amp;LCHQuoteSuffix,Currency&amp;$G$26&amp;$H$26&amp;$B61&amp;QuoteSuffix)</f>
        <v>EURAB6E35Y_LCHQuote</v>
      </c>
      <c r="I61" s="127">
        <v>0</v>
      </c>
      <c r="J61" s="64"/>
    </row>
    <row r="62" spans="1:32" ht="11.25" customHeight="1" x14ac:dyDescent="0.2">
      <c r="A62" s="59" t="s">
        <v>25</v>
      </c>
      <c r="B62" s="60" t="s">
        <v>68</v>
      </c>
      <c r="C62" s="61" t="s">
        <v>6</v>
      </c>
      <c r="D62" s="61" t="s">
        <v>8</v>
      </c>
      <c r="E62" s="61" t="s">
        <v>7</v>
      </c>
      <c r="F62" s="61" t="s">
        <v>125</v>
      </c>
      <c r="G62" s="61" t="str">
        <f>PROPER(Currency)&amp;FamilyName&amp;$F$26</f>
        <v>Euribor6M</v>
      </c>
      <c r="H62" s="59" t="str">
        <f>IF(LCHQuoteOverwrite,Currency&amp;$G$26&amp;$H$26&amp;$B62&amp;LCHQuoteSuffix,Currency&amp;$G$26&amp;$H$26&amp;$B62&amp;QuoteSuffix)</f>
        <v>EURAB6E40Y_LCHQuote</v>
      </c>
      <c r="I62" s="125">
        <v>0</v>
      </c>
      <c r="J62" s="64" t="str">
        <f>_xll.qlSwapRateHelper2(,$H62,,$B62,Calendar,$D62,$E62,$F62,$G62,$I62,$C62,,PillarDate,,Permanent,Trigger,ObjectOverwrite)</f>
        <v>obj_00684#0018</v>
      </c>
    </row>
    <row r="63" spans="1:32" ht="11.25" customHeight="1" x14ac:dyDescent="0.2">
      <c r="A63" s="59" t="s">
        <v>25</v>
      </c>
      <c r="B63" s="60" t="s">
        <v>69</v>
      </c>
      <c r="C63" s="61" t="s">
        <v>6</v>
      </c>
      <c r="D63" s="61" t="s">
        <v>8</v>
      </c>
      <c r="E63" s="61" t="s">
        <v>7</v>
      </c>
      <c r="F63" s="61" t="s">
        <v>125</v>
      </c>
      <c r="G63" s="61" t="str">
        <f>PROPER(Currency)&amp;FamilyName&amp;$F$26</f>
        <v>Euribor6M</v>
      </c>
      <c r="H63" s="59" t="str">
        <f>IF(LCHQuoteOverwrite,Currency&amp;$G$26&amp;$H$26&amp;$B63&amp;LCHQuoteSuffix,Currency&amp;$G$26&amp;$H$26&amp;$B63&amp;QuoteSuffix)</f>
        <v>EURAB6E50Y_LCHQuote</v>
      </c>
      <c r="I63" s="125">
        <v>0</v>
      </c>
      <c r="J63" s="64" t="str">
        <f>_xll.qlSwapRateHelper2(,$H63,,$B63,Calendar,$D63,$E63,$F63,$G63,$I63,$C63,,PillarDate,,Permanent,Trigger,ObjectOverwrite)</f>
        <v>obj_00687#0018</v>
      </c>
    </row>
    <row r="64" spans="1:32" ht="11.25" customHeight="1" x14ac:dyDescent="0.2">
      <c r="A64" s="1" t="s">
        <v>25</v>
      </c>
      <c r="B64" s="8" t="s">
        <v>112</v>
      </c>
      <c r="C64" s="7" t="s">
        <v>6</v>
      </c>
      <c r="D64" s="7" t="s">
        <v>8</v>
      </c>
      <c r="E64" s="7" t="s">
        <v>7</v>
      </c>
      <c r="F64" s="7" t="s">
        <v>125</v>
      </c>
      <c r="G64" s="7" t="str">
        <f>PROPER(Currency)&amp;FamilyName&amp;$F$26</f>
        <v>Euribor6M</v>
      </c>
      <c r="H64" s="1" t="str">
        <f>IF(LCHQuoteOverwrite,Currency&amp;$G$26&amp;$H$26&amp;$B64&amp;LCHQuoteSuffix,Currency&amp;$G$26&amp;$H$26&amp;$B64&amp;QuoteSuffix)</f>
        <v>EURAB6E60Y_LCHQuote</v>
      </c>
      <c r="I64" s="128">
        <v>0</v>
      </c>
      <c r="J64" s="3" t="str">
        <f>_xll.qlSwapRateHelper2(,$H64,,$B64,Calendar,$D64,$E64,$F64,$G64,$I64,$C64,,PillarDate,,Permanent,Trigger,ObjectOverwrite)</f>
        <v>obj_0068a#0018</v>
      </c>
    </row>
    <row r="65" spans="2:21" ht="11.25" customHeight="1" x14ac:dyDescent="0.2"/>
    <row r="66" spans="2:21" ht="11.25" customHeight="1" x14ac:dyDescent="0.2"/>
    <row r="67" spans="2:21" ht="11.25" customHeight="1" x14ac:dyDescent="0.2"/>
    <row r="68" spans="2:21" ht="11.25" customHeight="1" x14ac:dyDescent="0.2"/>
    <row r="69" spans="2:21" ht="11.25" customHeight="1" x14ac:dyDescent="0.2"/>
    <row r="70" spans="2:21" ht="11.25" customHeight="1" x14ac:dyDescent="0.2"/>
    <row r="71" spans="2:21" ht="11.25" customHeight="1" x14ac:dyDescent="0.2"/>
    <row r="72" spans="2:21" ht="11.25" customHeight="1" x14ac:dyDescent="0.2"/>
    <row r="73" spans="2:21" ht="11.25" customHeight="1" x14ac:dyDescent="0.2"/>
    <row r="74" spans="2:21" ht="11.25" customHeight="1" x14ac:dyDescent="0.2">
      <c r="B74" s="46"/>
      <c r="C74" s="46"/>
      <c r="D74" s="46"/>
      <c r="E74" s="46"/>
      <c r="F74" s="46"/>
      <c r="G74" s="46"/>
      <c r="H74" s="46"/>
    </row>
    <row r="75" spans="2:21" ht="11.25" customHeight="1" x14ac:dyDescent="0.2">
      <c r="B75" s="46"/>
      <c r="C75" s="46"/>
      <c r="D75" s="46"/>
      <c r="E75" s="46"/>
      <c r="F75" s="46"/>
      <c r="G75" s="46"/>
      <c r="H75" s="46"/>
    </row>
    <row r="76" spans="2:21" ht="11.25" customHeight="1" x14ac:dyDescent="0.2">
      <c r="B76" s="46"/>
      <c r="C76" s="46"/>
      <c r="D76" s="46"/>
      <c r="E76" s="46"/>
      <c r="F76" s="46"/>
      <c r="G76" s="46"/>
      <c r="H76" s="46"/>
    </row>
    <row r="77" spans="2:21" ht="11.25" customHeight="1" x14ac:dyDescent="0.2">
      <c r="B77" s="46"/>
      <c r="C77" s="46"/>
      <c r="D77" s="46"/>
      <c r="E77" s="46"/>
      <c r="F77" s="46"/>
      <c r="G77" s="46"/>
      <c r="H77" s="46"/>
    </row>
    <row r="78" spans="2:21" ht="11.25" customHeight="1" x14ac:dyDescent="0.2">
      <c r="B78" s="46"/>
      <c r="C78" s="46"/>
      <c r="D78" s="46"/>
      <c r="E78" s="46"/>
      <c r="F78" s="46"/>
      <c r="G78" s="46"/>
      <c r="H78" s="46"/>
      <c r="M78" s="46"/>
      <c r="N78" s="46"/>
      <c r="O78" s="46"/>
      <c r="P78" s="46"/>
      <c r="Q78" s="46"/>
      <c r="R78" s="46"/>
      <c r="S78" s="46"/>
      <c r="T78" s="46"/>
      <c r="U78" s="46"/>
    </row>
    <row r="79" spans="2:21" ht="11.25" customHeight="1" x14ac:dyDescent="0.2">
      <c r="B79" s="46"/>
      <c r="C79" s="46"/>
      <c r="D79" s="46"/>
      <c r="E79" s="46"/>
      <c r="F79" s="46"/>
      <c r="G79" s="46"/>
      <c r="H79" s="46"/>
      <c r="M79" s="46"/>
      <c r="N79" s="46"/>
      <c r="O79" s="46"/>
      <c r="P79" s="46"/>
      <c r="Q79" s="46"/>
      <c r="R79" s="46"/>
      <c r="S79" s="46"/>
      <c r="T79" s="46"/>
      <c r="U79" s="46"/>
    </row>
    <row r="80" spans="2:21" ht="11.25" customHeight="1" x14ac:dyDescent="0.2">
      <c r="B80" s="46"/>
      <c r="C80" s="46"/>
      <c r="D80" s="46"/>
      <c r="E80" s="46"/>
      <c r="F80" s="46"/>
      <c r="G80" s="46"/>
      <c r="H80" s="46"/>
      <c r="M80" s="46"/>
      <c r="N80" s="46"/>
      <c r="O80" s="46"/>
      <c r="P80" s="46"/>
      <c r="Q80" s="46"/>
      <c r="R80" s="46"/>
      <c r="S80" s="46"/>
      <c r="T80" s="46"/>
      <c r="U80" s="46"/>
    </row>
    <row r="81" spans="2:21" ht="11.25" customHeight="1" x14ac:dyDescent="0.2">
      <c r="B81" s="46"/>
      <c r="C81" s="46"/>
      <c r="D81" s="46"/>
      <c r="E81" s="46"/>
      <c r="F81" s="46"/>
      <c r="G81" s="46"/>
      <c r="H81" s="46"/>
      <c r="M81" s="46"/>
      <c r="N81" s="46"/>
      <c r="O81" s="46"/>
      <c r="P81" s="46"/>
      <c r="Q81" s="46"/>
      <c r="R81" s="46"/>
      <c r="S81" s="46"/>
      <c r="T81" s="46"/>
      <c r="U81" s="46"/>
    </row>
    <row r="82" spans="2:21" ht="11.25" customHeight="1" x14ac:dyDescent="0.2">
      <c r="B82" s="46"/>
      <c r="C82" s="46"/>
      <c r="D82" s="46"/>
      <c r="E82" s="46"/>
      <c r="F82" s="46"/>
      <c r="G82" s="46"/>
      <c r="H82" s="46"/>
      <c r="M82" s="46"/>
      <c r="N82" s="46"/>
      <c r="O82" s="46"/>
      <c r="P82" s="46"/>
      <c r="Q82" s="46"/>
      <c r="R82" s="46"/>
      <c r="S82" s="46"/>
      <c r="T82" s="46"/>
      <c r="U82" s="46"/>
    </row>
    <row r="83" spans="2:21" ht="11.25" customHeight="1" x14ac:dyDescent="0.2">
      <c r="B83" s="46"/>
      <c r="C83" s="46"/>
      <c r="D83" s="46"/>
      <c r="E83" s="46"/>
      <c r="F83" s="46"/>
      <c r="G83" s="46"/>
      <c r="H83" s="46"/>
      <c r="M83" s="46"/>
      <c r="N83" s="46"/>
      <c r="O83" s="46"/>
      <c r="P83" s="46"/>
      <c r="Q83" s="46"/>
      <c r="R83" s="46"/>
      <c r="S83" s="46"/>
      <c r="T83" s="46"/>
      <c r="U83" s="46"/>
    </row>
    <row r="84" spans="2:21" ht="11.25" customHeight="1" x14ac:dyDescent="0.2">
      <c r="B84" s="46"/>
      <c r="C84" s="46"/>
      <c r="D84" s="46"/>
      <c r="E84" s="46"/>
      <c r="F84" s="46"/>
      <c r="G84" s="46"/>
      <c r="H84" s="46"/>
      <c r="M84" s="46"/>
      <c r="N84" s="46"/>
      <c r="O84" s="46"/>
      <c r="P84" s="46"/>
      <c r="Q84" s="46"/>
      <c r="R84" s="46"/>
      <c r="S84" s="46"/>
      <c r="T84" s="46"/>
      <c r="U84" s="46"/>
    </row>
    <row r="85" spans="2:21" ht="11.25" customHeight="1" x14ac:dyDescent="0.2">
      <c r="B85" s="46"/>
      <c r="C85" s="46"/>
      <c r="D85" s="46"/>
      <c r="E85" s="46"/>
      <c r="F85" s="46"/>
      <c r="G85" s="46"/>
      <c r="H85" s="46"/>
      <c r="M85" s="46"/>
      <c r="N85" s="46"/>
      <c r="O85" s="46"/>
      <c r="P85" s="46"/>
      <c r="Q85" s="46"/>
      <c r="R85" s="46"/>
      <c r="S85" s="46"/>
      <c r="T85" s="46"/>
      <c r="U85" s="46"/>
    </row>
    <row r="86" spans="2:21" x14ac:dyDescent="0.2">
      <c r="B86" s="46"/>
      <c r="C86" s="46"/>
      <c r="D86" s="46"/>
      <c r="E86" s="46"/>
      <c r="F86" s="46"/>
      <c r="G86" s="46"/>
      <c r="H86" s="46"/>
      <c r="M86" s="46"/>
      <c r="N86" s="46"/>
      <c r="O86" s="46"/>
      <c r="P86" s="46"/>
      <c r="Q86" s="46"/>
      <c r="R86" s="46"/>
      <c r="S86" s="46"/>
      <c r="T86" s="46"/>
      <c r="U86" s="46"/>
    </row>
    <row r="87" spans="2:21" x14ac:dyDescent="0.2">
      <c r="B87" s="46"/>
      <c r="C87" s="46"/>
      <c r="D87" s="46"/>
      <c r="E87" s="46"/>
      <c r="F87" s="46"/>
      <c r="G87" s="46"/>
      <c r="H87" s="46"/>
      <c r="M87" s="46"/>
      <c r="N87" s="46"/>
      <c r="O87" s="46"/>
      <c r="P87" s="46"/>
      <c r="Q87" s="46"/>
      <c r="R87" s="46"/>
      <c r="S87" s="46"/>
      <c r="T87" s="46"/>
      <c r="U87" s="46"/>
    </row>
    <row r="88" spans="2:21" x14ac:dyDescent="0.2">
      <c r="B88" s="46"/>
      <c r="C88" s="46"/>
      <c r="D88" s="46"/>
      <c r="E88" s="46"/>
      <c r="F88" s="46"/>
      <c r="G88" s="46"/>
      <c r="H88" s="46"/>
      <c r="M88" s="46"/>
      <c r="N88" s="46"/>
      <c r="O88" s="46"/>
      <c r="P88" s="46"/>
      <c r="Q88" s="46"/>
      <c r="R88" s="46"/>
      <c r="S88" s="46"/>
      <c r="T88" s="46"/>
      <c r="U88" s="46"/>
    </row>
    <row r="89" spans="2:21" x14ac:dyDescent="0.2">
      <c r="B89" s="46"/>
      <c r="C89" s="46"/>
      <c r="D89" s="46"/>
      <c r="E89" s="46"/>
      <c r="F89" s="46"/>
      <c r="G89" s="46"/>
      <c r="H89" s="46"/>
      <c r="M89" s="46"/>
      <c r="N89" s="46"/>
      <c r="O89" s="46"/>
      <c r="P89" s="46"/>
      <c r="Q89" s="46"/>
      <c r="R89" s="46"/>
      <c r="S89" s="46"/>
      <c r="T89" s="46"/>
      <c r="U89" s="46"/>
    </row>
    <row r="90" spans="2:21" x14ac:dyDescent="0.2">
      <c r="M90" s="46"/>
      <c r="N90" s="46"/>
      <c r="O90" s="46"/>
      <c r="P90" s="46"/>
      <c r="Q90" s="46"/>
      <c r="R90" s="46"/>
      <c r="S90" s="46"/>
      <c r="T90" s="46"/>
      <c r="U90" s="46"/>
    </row>
    <row r="91" spans="2:21" x14ac:dyDescent="0.2">
      <c r="M91" s="46"/>
      <c r="N91" s="46"/>
      <c r="O91" s="46"/>
      <c r="P91" s="46"/>
      <c r="Q91" s="46"/>
      <c r="R91" s="46"/>
      <c r="S91" s="46"/>
      <c r="T91" s="46"/>
      <c r="U91" s="46"/>
    </row>
    <row r="92" spans="2:21" x14ac:dyDescent="0.2">
      <c r="M92" s="46"/>
      <c r="N92" s="46"/>
      <c r="O92" s="46"/>
      <c r="P92" s="46"/>
      <c r="Q92" s="46"/>
      <c r="R92" s="46"/>
      <c r="S92" s="46"/>
      <c r="T92" s="46"/>
      <c r="U92" s="46"/>
    </row>
    <row r="93" spans="2:21" x14ac:dyDescent="0.2">
      <c r="M93" s="46"/>
      <c r="N93" s="46"/>
      <c r="O93" s="46"/>
      <c r="P93" s="46"/>
      <c r="Q93" s="46"/>
      <c r="R93" s="46"/>
      <c r="S93" s="46"/>
      <c r="T93" s="46"/>
      <c r="U93" s="46"/>
    </row>
    <row r="99" spans="2:21" x14ac:dyDescent="0.2">
      <c r="B99" s="46"/>
      <c r="C99" s="46"/>
      <c r="D99" s="46"/>
      <c r="E99" s="46"/>
      <c r="F99" s="46"/>
      <c r="G99" s="46"/>
      <c r="H99" s="46"/>
    </row>
    <row r="103" spans="2:21" x14ac:dyDescent="0.2">
      <c r="M103" s="46"/>
      <c r="N103" s="46"/>
      <c r="O103" s="46"/>
      <c r="P103" s="46"/>
      <c r="Q103" s="46"/>
      <c r="R103" s="46"/>
      <c r="S103" s="46"/>
      <c r="T103" s="46"/>
      <c r="U103" s="46"/>
    </row>
  </sheetData>
  <mergeCells count="1">
    <mergeCell ref="AH2:AI2"/>
  </mergeCells>
  <dataValidations count="4">
    <dataValidation type="list" allowBlank="1" showInputMessage="1" showErrorMessage="1" sqref="E3:E4 E28:E64">
      <formula1>"Following,Modified Following,Preceding,Modified Preceding,Unadjusted,Half-Month Modified Following"</formula1>
    </dataValidation>
    <dataValidation type="list" allowBlank="1" showInputMessage="1" showErrorMessage="1" sqref="F3:F4 F28:F64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D28:D64">
      <formula1>"Annual,Semiannual,EveryFourthMonth,Quarterly,Bimonthly,Monthly,Biweekly,Weekly,Daily,Once,NoFrequency"</formula1>
    </dataValidation>
    <dataValidation type="list" allowBlank="1" showInputMessage="1" showErrorMessage="1" sqref="AI6">
      <formula1>"AllDepos,DeposBeforeFirstFuturesStartDate,DeposBeforeFirstFuturesStartDatePlusOne,DeposBeforeFirstFuturesExpiryDate"</formula1>
    </dataValidation>
  </dataValidation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62</vt:i4>
      </vt:variant>
    </vt:vector>
  </HeadingPairs>
  <TitlesOfParts>
    <vt:vector size="69" baseType="lpstr">
      <vt:lpstr>GeneralSettings</vt:lpstr>
      <vt:lpstr>EURON</vt:lpstr>
      <vt:lpstr>EUR3M</vt:lpstr>
      <vt:lpstr>EUR6M</vt:lpstr>
      <vt:lpstr>EUR1M</vt:lpstr>
      <vt:lpstr>EUR1Y</vt:lpstr>
      <vt:lpstr>EURSTD</vt:lpstr>
      <vt:lpstr>Calendar</vt:lpstr>
      <vt:lpstr>Currency</vt:lpstr>
      <vt:lpstr>Discounting1</vt:lpstr>
      <vt:lpstr>Discounting2</vt:lpstr>
      <vt:lpstr>DiscountingSTD</vt:lpstr>
      <vt:lpstr>EvaluationDate</vt:lpstr>
      <vt:lpstr>EvalutionDate</vt:lpstr>
      <vt:lpstr>FamilyName</vt:lpstr>
      <vt:lpstr>EUR1M!IncludeFlag</vt:lpstr>
      <vt:lpstr>EUR1Y!IncludeFlag</vt:lpstr>
      <vt:lpstr>EUR3M!IncludeFlag</vt:lpstr>
      <vt:lpstr>EUR6M!IncludeFlag</vt:lpstr>
      <vt:lpstr>EURON!IncludeFlag</vt:lpstr>
      <vt:lpstr>EURSTD!IncludeFlag</vt:lpstr>
      <vt:lpstr>LCHcubic</vt:lpstr>
      <vt:lpstr>LCHlinear</vt:lpstr>
      <vt:lpstr>LCHQuoteOverwrite</vt:lpstr>
      <vt:lpstr>LCHQuoteSuffix</vt:lpstr>
      <vt:lpstr>EUR1M!MinDistance</vt:lpstr>
      <vt:lpstr>EUR1Y!MinDistance</vt:lpstr>
      <vt:lpstr>EUR3M!MinDistance</vt:lpstr>
      <vt:lpstr>EUR6M!MinDistance</vt:lpstr>
      <vt:lpstr>EURON!MinDistance</vt:lpstr>
      <vt:lpstr>EURSTD!MinDistance</vt:lpstr>
      <vt:lpstr>ObjectOverwrite</vt:lpstr>
      <vt:lpstr>Permanent</vt:lpstr>
      <vt:lpstr>PillarDate</vt:lpstr>
      <vt:lpstr>EUR1M!Priority</vt:lpstr>
      <vt:lpstr>EUR1Y!Priority</vt:lpstr>
      <vt:lpstr>EUR3M!Priority</vt:lpstr>
      <vt:lpstr>EUR6M!Priority</vt:lpstr>
      <vt:lpstr>EURON!Priority</vt:lpstr>
      <vt:lpstr>EURSTD!Priority</vt:lpstr>
      <vt:lpstr>QuoteSuffix</vt:lpstr>
      <vt:lpstr>EURON!RateHelpers</vt:lpstr>
      <vt:lpstr>RateHelpers</vt:lpstr>
      <vt:lpstr>EUR1M!RateHelpers1</vt:lpstr>
      <vt:lpstr>EUR1Y!RateHelpers1</vt:lpstr>
      <vt:lpstr>EUR3M!RateHelpers1</vt:lpstr>
      <vt:lpstr>EUR6M!RateHelpers1</vt:lpstr>
      <vt:lpstr>EURSTD!RateHelpers1</vt:lpstr>
      <vt:lpstr>EUR1M!RateHelpers2</vt:lpstr>
      <vt:lpstr>EUR1Y!RateHelpers2</vt:lpstr>
      <vt:lpstr>EUR3M!RateHelpers2</vt:lpstr>
      <vt:lpstr>EUR6M!RateHelpers2</vt:lpstr>
      <vt:lpstr>SettlementDate</vt:lpstr>
      <vt:lpstr>EUR1M!Tenor</vt:lpstr>
      <vt:lpstr>EUR1Y!Tenor</vt:lpstr>
      <vt:lpstr>EUR3M!Tenor</vt:lpstr>
      <vt:lpstr>EUR6M!Tenor</vt:lpstr>
      <vt:lpstr>Trigger</vt:lpstr>
      <vt:lpstr>yieldcurve1_1M</vt:lpstr>
      <vt:lpstr>yieldcurve1_1Y</vt:lpstr>
      <vt:lpstr>YieldCurve1_3M</vt:lpstr>
      <vt:lpstr>YieldCurve1_6M</vt:lpstr>
      <vt:lpstr>YieldCurve1_ON</vt:lpstr>
      <vt:lpstr>yieldcurve1_STD</vt:lpstr>
      <vt:lpstr>yieldcurve2_1M</vt:lpstr>
      <vt:lpstr>yieldcurve2_1Y</vt:lpstr>
      <vt:lpstr>yieldcurve2_3M</vt:lpstr>
      <vt:lpstr>YieldCurve2_6M</vt:lpstr>
      <vt:lpstr>yieldcurve2_ON</vt:lpstr>
    </vt:vector>
  </TitlesOfParts>
  <Company>Banca IMI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MAZZOCCHI PAOLO</dc:creator>
  <cp:lastModifiedBy>FONDI STEFANO</cp:lastModifiedBy>
  <dcterms:created xsi:type="dcterms:W3CDTF">2014-09-18T08:07:51Z</dcterms:created>
  <dcterms:modified xsi:type="dcterms:W3CDTF">2015-09-15T10:45:46Z</dcterms:modified>
</cp:coreProperties>
</file>