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-15" windowWidth="19170" windowHeight="10500"/>
  </bookViews>
  <sheets>
    <sheet name="GeneralSettings" sheetId="1" r:id="rId1"/>
    <sheet name="USDON" sheetId="14" r:id="rId2"/>
    <sheet name="USD3M" sheetId="15" r:id="rId3"/>
    <sheet name="USD6M" sheetId="16" r:id="rId4"/>
    <sheet name="USD1M" sheetId="17" r:id="rId5"/>
    <sheet name="USD1Y" sheetId="18" r:id="rId6"/>
  </sheets>
  <externalReferences>
    <externalReference r:id="rId7"/>
  </externalReferences>
  <definedNames>
    <definedName name="Calendar">GeneralSettings!$I$10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GeneralSettings!$D$8</definedName>
    <definedName name="HolidayCheck">GeneralSettings!$I$9</definedName>
    <definedName name="IncludeFlag" localSheetId="4">USD1M!$P$3:$P$55</definedName>
    <definedName name="IncludeFlag" localSheetId="5">USD1Y!$P$3:$P$78</definedName>
    <definedName name="IncludeFlag" localSheetId="2">USD3M!$P$3:$P$88</definedName>
    <definedName name="IncludeFlag" localSheetId="3">USD6M!$P$3:$P$66</definedName>
    <definedName name="IncludeFlag" localSheetId="1">USDON!$N$3:$N$113</definedName>
    <definedName name="JoinCalendar">GeneralSettings!$I$8</definedName>
    <definedName name="LiborCalendar">GeneralSettings!$I$6</definedName>
    <definedName name="LocalCalendar">GeneralSettings!$I$7</definedName>
    <definedName name="MeanReversion">GeneralSettings!$I$22</definedName>
    <definedName name="MinDistance" localSheetId="4">USD1M!$R$3:$R$55</definedName>
    <definedName name="MinDistance" localSheetId="5">USD1Y!$R$3:$R$78</definedName>
    <definedName name="MinDistance" localSheetId="2">USD3M!$R$3:$R$88</definedName>
    <definedName name="MinDistance" localSheetId="3">USD6M!$R$3:$R$66</definedName>
    <definedName name="MinDistance" localSheetId="1">USDON!$P$3:$P$113</definedName>
    <definedName name="ObjectOverwrite">GeneralSettings!$D$6</definedName>
    <definedName name="Permanent">GeneralSettings!$D$4</definedName>
    <definedName name="PillarDate">GeneralSettings!$D$10</definedName>
    <definedName name="Priority" localSheetId="4">USD1M!$Q$3:$Q$55</definedName>
    <definedName name="Priority" localSheetId="5">USD1Y!$Q$3:$Q$78</definedName>
    <definedName name="Priority" localSheetId="2">USD3M!$Q$3:$Q$88</definedName>
    <definedName name="Priority" localSheetId="3">USD6M!$Q$3:$Q$66</definedName>
    <definedName name="Priority" localSheetId="1">USDON!$O$3:$O$113</definedName>
    <definedName name="QuoteSuffix">GeneralSettings!$D$9</definedName>
    <definedName name="RateHelpers" localSheetId="4">USD1M!$M$3:$M$55</definedName>
    <definedName name="RateHelpers" localSheetId="5">USD1Y!$M$3:$M$78</definedName>
    <definedName name="RateHelpers" localSheetId="2">USD3M!$M$3:$M$88</definedName>
    <definedName name="RateHelpers" localSheetId="3">USD6M!$M$3:$M$66</definedName>
    <definedName name="RateHelpers" localSheetId="1">USDON!$K$3:$K$113</definedName>
    <definedName name="Settlementdate">GeneralSettings!$I$4</definedName>
    <definedName name="solver_adj" localSheetId="1" hidden="1">USDON!$BM$60:$BM$61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50</definedName>
    <definedName name="solver_lhs1" localSheetId="1" hidden="1">USDON!$BM$60</definedName>
    <definedName name="solver_lhs2" localSheetId="1" hidden="1">USDON!$BM$60</definedName>
    <definedName name="solver_lhs3" localSheetId="1" hidden="1">USDON!$BM$61</definedName>
    <definedName name="solver_lhs4" localSheetId="1" hidden="1">USDON!$BM$61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4</definedName>
    <definedName name="solver_nwt" localSheetId="1" hidden="1">1</definedName>
    <definedName name="solver_opt" localSheetId="1" hidden="1">USDON!$BM$58</definedName>
    <definedName name="solver_pre" localSheetId="1" hidden="1">0.0001</definedName>
    <definedName name="solver_rbv" localSheetId="1" hidden="1">2</definedName>
    <definedName name="solver_rel1" localSheetId="1" hidden="1">1</definedName>
    <definedName name="solver_rel2" localSheetId="1" hidden="1">3</definedName>
    <definedName name="solver_rel3" localSheetId="1" hidden="1">1</definedName>
    <definedName name="solver_rel4" localSheetId="1" hidden="1">3</definedName>
    <definedName name="solver_rhs1" localSheetId="1" hidden="1">0.1</definedName>
    <definedName name="solver_rhs2" localSheetId="1" hidden="1">0</definedName>
    <definedName name="solver_rhs3" localSheetId="1" hidden="1">0.1</definedName>
    <definedName name="solver_rhs4" localSheetId="1" hidden="1">0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  <definedName name="Tenor" localSheetId="4">USD1M!$G$1</definedName>
    <definedName name="Tenor" localSheetId="5">USD1Y!$G$1</definedName>
    <definedName name="Tenor" localSheetId="2">USD3M!$G$1</definedName>
    <definedName name="Tenor" localSheetId="3">USD6M!$G$1</definedName>
    <definedName name="Tenor" localSheetId="1">USDON!$E$1</definedName>
    <definedName name="Trigger">GeneralSettings!$D$5</definedName>
    <definedName name="Volatility">GeneralSettings!$I$21</definedName>
    <definedName name="YieldCurve_1M">GeneralSettings!$I$31</definedName>
    <definedName name="YieldCurve_1Y">GeneralSettings!$D$46</definedName>
    <definedName name="YieldCurve_3M">GeneralSettings!$I$14</definedName>
    <definedName name="YieldCurve_6M">GeneralSettings!$D$31</definedName>
    <definedName name="YieldCurve_ON">GeneralSettings!$D$14</definedName>
    <definedName name="YieldCurve_STD">GeneralSettings!$I$46</definedName>
  </definedNames>
  <calcPr calcId="145621"/>
</workbook>
</file>

<file path=xl/calcChain.xml><?xml version="1.0" encoding="utf-8"?>
<calcChain xmlns="http://schemas.openxmlformats.org/spreadsheetml/2006/main">
  <c r="BH59" i="14" l="1"/>
  <c r="AD4" i="14" s="1"/>
  <c r="BG56" i="14"/>
  <c r="BG55" i="14"/>
  <c r="BG54" i="14"/>
  <c r="BG53" i="14"/>
  <c r="BG52" i="14"/>
  <c r="BG51" i="14"/>
  <c r="BG50" i="14"/>
  <c r="BG49" i="14"/>
  <c r="BG48" i="14"/>
  <c r="BG47" i="14"/>
  <c r="BG46" i="14"/>
  <c r="BG45" i="14"/>
  <c r="BG44" i="14"/>
  <c r="BG43" i="14"/>
  <c r="BG42" i="14"/>
  <c r="BG41" i="14"/>
  <c r="BG40" i="14"/>
  <c r="BG39" i="14"/>
  <c r="BG38" i="14"/>
  <c r="BG37" i="14"/>
  <c r="BG36" i="14"/>
  <c r="BG35" i="14"/>
  <c r="BG34" i="14"/>
  <c r="BG33" i="14"/>
  <c r="BG32" i="14"/>
  <c r="BG31" i="14"/>
  <c r="BG30" i="14"/>
  <c r="BG29" i="14"/>
  <c r="BG28" i="14"/>
  <c r="BG27" i="14"/>
  <c r="BG26" i="14"/>
  <c r="BG25" i="14"/>
  <c r="BG24" i="14"/>
  <c r="BG23" i="14"/>
  <c r="BG22" i="14"/>
  <c r="BG21" i="14"/>
  <c r="BG20" i="14"/>
  <c r="BG19" i="14"/>
  <c r="BG18" i="14"/>
  <c r="BG17" i="14"/>
  <c r="BG16" i="14"/>
  <c r="BG15" i="14"/>
  <c r="BG14" i="14"/>
  <c r="BG13" i="14"/>
  <c r="BG12" i="14"/>
  <c r="BG11" i="14"/>
  <c r="BG10" i="14"/>
  <c r="BG9" i="14"/>
  <c r="BG8" i="14"/>
  <c r="BG7" i="14"/>
  <c r="BG6" i="14"/>
  <c r="BG5" i="14"/>
  <c r="BG4" i="14"/>
  <c r="BL56" i="14"/>
  <c r="BL55" i="14"/>
  <c r="BL54" i="14"/>
  <c r="BL53" i="14"/>
  <c r="BL52" i="14"/>
  <c r="BL51" i="14"/>
  <c r="BL50" i="14"/>
  <c r="BL49" i="14"/>
  <c r="BL48" i="14"/>
  <c r="BL47" i="14"/>
  <c r="BL46" i="14"/>
  <c r="BL45" i="14"/>
  <c r="BL44" i="14"/>
  <c r="BL43" i="14"/>
  <c r="BL42" i="14"/>
  <c r="BL41" i="14"/>
  <c r="BL40" i="14"/>
  <c r="BL39" i="14"/>
  <c r="BL38" i="14"/>
  <c r="BL37" i="14"/>
  <c r="BL36" i="14"/>
  <c r="BL35" i="14"/>
  <c r="BL34" i="14"/>
  <c r="BL33" i="14"/>
  <c r="BL32" i="14"/>
  <c r="BL31" i="14"/>
  <c r="BL30" i="14"/>
  <c r="BL29" i="14"/>
  <c r="BL28" i="14"/>
  <c r="BL27" i="14"/>
  <c r="BL26" i="14"/>
  <c r="BL25" i="14"/>
  <c r="BL24" i="14"/>
  <c r="BL23" i="14"/>
  <c r="BL22" i="14"/>
  <c r="BL21" i="14"/>
  <c r="BL20" i="14"/>
  <c r="BL19" i="14"/>
  <c r="BL18" i="14"/>
  <c r="BL17" i="14"/>
  <c r="BL16" i="14"/>
  <c r="BL15" i="14"/>
  <c r="BL14" i="14"/>
  <c r="BL13" i="14"/>
  <c r="BL12" i="14"/>
  <c r="BL11" i="14"/>
  <c r="BL10" i="14"/>
  <c r="BL9" i="14"/>
  <c r="BL8" i="14"/>
  <c r="BL6" i="14"/>
  <c r="BL5" i="14"/>
  <c r="BL7" i="14"/>
  <c r="BL4" i="14"/>
  <c r="H62" i="14" l="1"/>
  <c r="BN60" i="14"/>
  <c r="G62" i="14"/>
  <c r="AD9" i="14"/>
  <c r="AD13" i="14"/>
  <c r="BO4" i="14"/>
  <c r="BO20" i="14"/>
  <c r="BO11" i="14"/>
  <c r="BO12" i="14"/>
  <c r="BO19" i="14"/>
  <c r="BO22" i="14"/>
  <c r="BO8" i="14"/>
  <c r="BO16" i="14"/>
  <c r="BO7" i="14"/>
  <c r="BO15" i="14"/>
  <c r="BO6" i="14"/>
  <c r="BO5" i="14"/>
  <c r="BO10" i="14"/>
  <c r="BO14" i="14"/>
  <c r="BO18" i="14"/>
  <c r="BO9" i="14"/>
  <c r="BO13" i="14"/>
  <c r="BO17" i="14"/>
  <c r="BO21" i="14"/>
  <c r="BO23" i="14"/>
  <c r="BO24" i="14"/>
  <c r="BO25" i="14"/>
  <c r="BO26" i="14"/>
  <c r="BO27" i="14"/>
  <c r="BO28" i="14"/>
  <c r="BO29" i="14"/>
  <c r="BO30" i="14"/>
  <c r="BO31" i="14"/>
  <c r="BO32" i="14"/>
  <c r="BO33" i="14"/>
  <c r="BO34" i="14"/>
  <c r="BO35" i="14"/>
  <c r="BO36" i="14"/>
  <c r="BO37" i="14"/>
  <c r="BO38" i="14"/>
  <c r="BO39" i="14"/>
  <c r="BO40" i="14"/>
  <c r="BO41" i="14"/>
  <c r="BO42" i="14"/>
  <c r="BO43" i="14"/>
  <c r="BO44" i="14"/>
  <c r="BO45" i="14"/>
  <c r="BO46" i="14"/>
  <c r="BO47" i="14"/>
  <c r="BO48" i="14"/>
  <c r="BO49" i="14"/>
  <c r="BO50" i="14"/>
  <c r="BO51" i="14"/>
  <c r="BO52" i="14"/>
  <c r="BO53" i="14"/>
  <c r="BO54" i="14"/>
  <c r="BO55" i="14"/>
  <c r="BO56" i="14"/>
  <c r="BK4" i="14"/>
  <c r="BJ4" i="14"/>
  <c r="BI4" i="14"/>
  <c r="BJ20" i="14"/>
  <c r="BI20" i="14"/>
  <c r="BK20" i="14"/>
  <c r="BK11" i="14"/>
  <c r="BI11" i="14"/>
  <c r="BJ11" i="14"/>
  <c r="BJ12" i="14"/>
  <c r="BI12" i="14"/>
  <c r="BK12" i="14"/>
  <c r="BI19" i="14"/>
  <c r="BJ19" i="14"/>
  <c r="BK19" i="14"/>
  <c r="BI22" i="14"/>
  <c r="BJ22" i="14"/>
  <c r="BK22" i="14"/>
  <c r="BJ8" i="14"/>
  <c r="BI8" i="14"/>
  <c r="BK8" i="14"/>
  <c r="BJ16" i="14"/>
  <c r="BI16" i="14"/>
  <c r="BK16" i="14"/>
  <c r="BK7" i="14"/>
  <c r="BJ7" i="14"/>
  <c r="BI7" i="14"/>
  <c r="BI15" i="14"/>
  <c r="BJ15" i="14"/>
  <c r="BK15" i="14"/>
  <c r="BJ6" i="14"/>
  <c r="BI6" i="14"/>
  <c r="BK6" i="14"/>
  <c r="BI5" i="14"/>
  <c r="BJ5" i="14"/>
  <c r="BK5" i="14"/>
  <c r="BI10" i="14"/>
  <c r="BK10" i="14"/>
  <c r="BJ10" i="14"/>
  <c r="BJ14" i="14"/>
  <c r="BK14" i="14"/>
  <c r="BI14" i="14"/>
  <c r="BI18" i="14"/>
  <c r="BJ18" i="14"/>
  <c r="BK18" i="14"/>
  <c r="BI9" i="14"/>
  <c r="BJ9" i="14"/>
  <c r="BK9" i="14"/>
  <c r="BI13" i="14"/>
  <c r="BJ13" i="14"/>
  <c r="BK13" i="14"/>
  <c r="BK17" i="14"/>
  <c r="BI17" i="14"/>
  <c r="BJ17" i="14"/>
  <c r="BI21" i="14"/>
  <c r="BJ21" i="14"/>
  <c r="BK21" i="14"/>
  <c r="BI23" i="14"/>
  <c r="BJ23" i="14"/>
  <c r="BK23" i="14"/>
  <c r="BI24" i="14"/>
  <c r="BJ24" i="14"/>
  <c r="BK24" i="14"/>
  <c r="BI25" i="14"/>
  <c r="BJ25" i="14"/>
  <c r="BK25" i="14"/>
  <c r="BK26" i="14"/>
  <c r="BJ26" i="14"/>
  <c r="BI26" i="14"/>
  <c r="BJ27" i="14"/>
  <c r="BK27" i="14"/>
  <c r="BI27" i="14"/>
  <c r="BI28" i="14"/>
  <c r="BJ28" i="14"/>
  <c r="BK28" i="14"/>
  <c r="BK29" i="14"/>
  <c r="BI29" i="14"/>
  <c r="BJ29" i="14"/>
  <c r="BI30" i="14"/>
  <c r="BJ30" i="14"/>
  <c r="BK30" i="14"/>
  <c r="BJ31" i="14"/>
  <c r="BK31" i="14"/>
  <c r="BI31" i="14"/>
  <c r="BI32" i="14"/>
  <c r="BJ32" i="14"/>
  <c r="BK32" i="14"/>
  <c r="BK33" i="14"/>
  <c r="BI33" i="14"/>
  <c r="BJ33" i="14"/>
  <c r="BJ34" i="14"/>
  <c r="BK34" i="14"/>
  <c r="BI34" i="14"/>
  <c r="BI35" i="14"/>
  <c r="BJ35" i="14"/>
  <c r="BK35" i="14"/>
  <c r="BI36" i="14"/>
  <c r="BK36" i="14"/>
  <c r="BJ36" i="14"/>
  <c r="BK37" i="14"/>
  <c r="BI37" i="14"/>
  <c r="BJ37" i="14"/>
  <c r="BJ38" i="14"/>
  <c r="BK38" i="14"/>
  <c r="BI38" i="14"/>
  <c r="BI39" i="14"/>
  <c r="BJ39" i="14"/>
  <c r="BK39" i="14"/>
  <c r="BI40" i="14"/>
  <c r="BJ40" i="14"/>
  <c r="BK40" i="14"/>
  <c r="BJ41" i="14"/>
  <c r="BI41" i="14"/>
  <c r="BK41" i="14"/>
  <c r="BJ42" i="14"/>
  <c r="BK42" i="14"/>
  <c r="BI42" i="14"/>
  <c r="BJ43" i="14"/>
  <c r="BI43" i="14"/>
  <c r="BK43" i="14"/>
  <c r="BI44" i="14"/>
  <c r="BK44" i="14"/>
  <c r="BJ44" i="14"/>
  <c r="BK45" i="14"/>
  <c r="BI45" i="14"/>
  <c r="BJ45" i="14"/>
  <c r="BI46" i="14"/>
  <c r="BK46" i="14"/>
  <c r="BJ46" i="14"/>
  <c r="BJ47" i="14"/>
  <c r="BI47" i="14"/>
  <c r="BK47" i="14"/>
  <c r="BI48" i="14"/>
  <c r="BJ48" i="14"/>
  <c r="BK48" i="14"/>
  <c r="BJ49" i="14"/>
  <c r="BI49" i="14"/>
  <c r="BK49" i="14"/>
  <c r="BK50" i="14"/>
  <c r="BJ50" i="14"/>
  <c r="BI50" i="14"/>
  <c r="BI51" i="14"/>
  <c r="BJ51" i="14"/>
  <c r="BK51" i="14"/>
  <c r="BJ52" i="14"/>
  <c r="BI52" i="14"/>
  <c r="BK52" i="14"/>
  <c r="BK53" i="14"/>
  <c r="BI53" i="14"/>
  <c r="BJ53" i="14"/>
  <c r="BI54" i="14"/>
  <c r="BJ54" i="14"/>
  <c r="BK54" i="14"/>
  <c r="BI55" i="14"/>
  <c r="BJ55" i="14"/>
  <c r="BK55" i="14"/>
  <c r="BI56" i="14"/>
  <c r="BJ56" i="14"/>
  <c r="BK56" i="14"/>
  <c r="BM56" i="14" l="1"/>
  <c r="BM55" i="14"/>
  <c r="BM54" i="14"/>
  <c r="BM53" i="14"/>
  <c r="BM52" i="14"/>
  <c r="BR52" i="14"/>
  <c r="BR51" i="14"/>
  <c r="BM51" i="14"/>
  <c r="BR50" i="14"/>
  <c r="BM50" i="14"/>
  <c r="BR49" i="14"/>
  <c r="BM49" i="14"/>
  <c r="BR48" i="14"/>
  <c r="BM48" i="14"/>
  <c r="BM47" i="14"/>
  <c r="BR47" i="14"/>
  <c r="BM46" i="14"/>
  <c r="BR46" i="14"/>
  <c r="BR45" i="14"/>
  <c r="BM45" i="14"/>
  <c r="BM44" i="14"/>
  <c r="BR44" i="14"/>
  <c r="BM43" i="14"/>
  <c r="BM42" i="14"/>
  <c r="BM41" i="14"/>
  <c r="BM40" i="14"/>
  <c r="BM39" i="14"/>
  <c r="BM38" i="14"/>
  <c r="BM37" i="14"/>
  <c r="BM36" i="14"/>
  <c r="BM35" i="14"/>
  <c r="BM34" i="14"/>
  <c r="BM33" i="14"/>
  <c r="BM32" i="14"/>
  <c r="BM31" i="14"/>
  <c r="BM30" i="14"/>
  <c r="BM29" i="14"/>
  <c r="BM28" i="14"/>
  <c r="BM27" i="14"/>
  <c r="BM26" i="14"/>
  <c r="BM25" i="14"/>
  <c r="BM24" i="14"/>
  <c r="BM23" i="14"/>
  <c r="BM21" i="14"/>
  <c r="BM17" i="14"/>
  <c r="BM13" i="14"/>
  <c r="BM9" i="14"/>
  <c r="BM18" i="14"/>
  <c r="BM14" i="14"/>
  <c r="BM10" i="14"/>
  <c r="BM5" i="14"/>
  <c r="BM6" i="14"/>
  <c r="BM15" i="14"/>
  <c r="BM7" i="14"/>
  <c r="BM16" i="14"/>
  <c r="BM8" i="14"/>
  <c r="BM22" i="14"/>
  <c r="BM19" i="14"/>
  <c r="BM12" i="14"/>
  <c r="BM11" i="14"/>
  <c r="BM20" i="14"/>
  <c r="BM4" i="14"/>
  <c r="BM58" i="14" l="1"/>
  <c r="G117" i="14" l="1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AT144" i="14" l="1"/>
  <c r="AS144" i="14"/>
  <c r="AR144" i="14"/>
  <c r="AQ144" i="14"/>
  <c r="AP144" i="14"/>
  <c r="AO144" i="14"/>
  <c r="AH144" i="14"/>
  <c r="AI144" i="14"/>
  <c r="AJ144" i="14"/>
  <c r="AK144" i="14"/>
  <c r="AL144" i="14"/>
  <c r="AG144" i="14"/>
  <c r="I22" i="1"/>
  <c r="I21" i="1"/>
  <c r="AD15" i="14" l="1"/>
  <c r="AD16" i="14" s="1"/>
  <c r="AD17" i="14"/>
  <c r="J61" i="14"/>
  <c r="J62" i="14"/>
  <c r="J63" i="14"/>
  <c r="J64" i="14"/>
  <c r="J65" i="14"/>
  <c r="J66" i="14"/>
  <c r="J67" i="14"/>
  <c r="J68" i="14"/>
  <c r="J69" i="14"/>
  <c r="J70" i="14"/>
  <c r="J71" i="14"/>
  <c r="J72" i="14"/>
  <c r="J73" i="14"/>
  <c r="J74" i="14"/>
  <c r="J75" i="14"/>
  <c r="J76" i="14"/>
  <c r="J77" i="14"/>
  <c r="J78" i="14"/>
  <c r="J79" i="14"/>
  <c r="J80" i="14"/>
  <c r="J81" i="14"/>
  <c r="J82" i="14"/>
  <c r="J83" i="14"/>
  <c r="J84" i="14"/>
  <c r="J85" i="14"/>
  <c r="J86" i="14"/>
  <c r="J87" i="14"/>
  <c r="J88" i="14"/>
  <c r="J89" i="14"/>
  <c r="J90" i="14"/>
  <c r="J91" i="14"/>
  <c r="J92" i="14"/>
  <c r="J93" i="14"/>
  <c r="J94" i="14"/>
  <c r="J95" i="14"/>
  <c r="J96" i="14"/>
  <c r="J97" i="14"/>
  <c r="J98" i="14"/>
  <c r="J99" i="14"/>
  <c r="J100" i="14"/>
  <c r="J101" i="14"/>
  <c r="J102" i="14"/>
  <c r="J103" i="14"/>
  <c r="J104" i="14"/>
  <c r="J105" i="14"/>
  <c r="J106" i="14"/>
  <c r="J107" i="14"/>
  <c r="J108" i="14"/>
  <c r="J109" i="14"/>
  <c r="J110" i="14"/>
  <c r="J111" i="14"/>
  <c r="J112" i="14"/>
  <c r="J113" i="14"/>
  <c r="J60" i="14"/>
  <c r="J58" i="14"/>
  <c r="K58" i="14"/>
  <c r="J59" i="14"/>
  <c r="F117" i="14"/>
  <c r="F116" i="14"/>
  <c r="F115" i="14"/>
  <c r="F114" i="14"/>
  <c r="F113" i="14"/>
  <c r="F112" i="14"/>
  <c r="F111" i="14"/>
  <c r="F110" i="14"/>
  <c r="F109" i="14"/>
  <c r="F108" i="14"/>
  <c r="F107" i="14"/>
  <c r="F106" i="14"/>
  <c r="F105" i="14"/>
  <c r="F104" i="14"/>
  <c r="F103" i="14"/>
  <c r="F102" i="14"/>
  <c r="F101" i="14"/>
  <c r="F100" i="14"/>
  <c r="F99" i="14"/>
  <c r="F98" i="14"/>
  <c r="F97" i="14"/>
  <c r="F96" i="14"/>
  <c r="F95" i="14"/>
  <c r="F94" i="14"/>
  <c r="F93" i="14"/>
  <c r="F92" i="14"/>
  <c r="F91" i="14"/>
  <c r="F90" i="14"/>
  <c r="F89" i="14"/>
  <c r="F88" i="14"/>
  <c r="F87" i="14"/>
  <c r="F86" i="14"/>
  <c r="F85" i="14"/>
  <c r="F84" i="14"/>
  <c r="F83" i="14"/>
  <c r="F82" i="14"/>
  <c r="F81" i="14"/>
  <c r="F80" i="14"/>
  <c r="F79" i="14"/>
  <c r="F78" i="14"/>
  <c r="F77" i="14"/>
  <c r="F76" i="14"/>
  <c r="F75" i="14"/>
  <c r="F74" i="14"/>
  <c r="F73" i="14"/>
  <c r="F72" i="14"/>
  <c r="F71" i="14"/>
  <c r="F70" i="14"/>
  <c r="F69" i="14"/>
  <c r="F68" i="14"/>
  <c r="F67" i="14"/>
  <c r="F66" i="14"/>
  <c r="F65" i="14"/>
  <c r="F64" i="14"/>
  <c r="AC22" i="14"/>
  <c r="AG3" i="14" s="1" a="1"/>
  <c r="H108" i="14"/>
  <c r="H111" i="14"/>
  <c r="H110" i="14"/>
  <c r="H109" i="14"/>
  <c r="H113" i="14"/>
  <c r="R58" i="14"/>
  <c r="H78" i="14"/>
  <c r="M58" i="14"/>
  <c r="H107" i="14"/>
  <c r="Q58" i="14"/>
  <c r="L58" i="14"/>
  <c r="H102" i="14"/>
  <c r="H90" i="14"/>
  <c r="H104" i="14"/>
  <c r="H98" i="14"/>
  <c r="H94" i="14"/>
  <c r="AN3" i="14" l="1"/>
  <c r="AJ4" i="14"/>
  <c r="AR4" i="14"/>
  <c r="AN5" i="14"/>
  <c r="AJ6" i="14"/>
  <c r="AR6" i="14"/>
  <c r="AN7" i="14"/>
  <c r="AJ8" i="14"/>
  <c r="AR8" i="14"/>
  <c r="AN9" i="14"/>
  <c r="AJ10" i="14"/>
  <c r="AR10" i="14"/>
  <c r="AN11" i="14"/>
  <c r="AJ12" i="14"/>
  <c r="AR12" i="14"/>
  <c r="AN13" i="14"/>
  <c r="AJ14" i="14"/>
  <c r="AR14" i="14"/>
  <c r="AN15" i="14"/>
  <c r="AJ16" i="14"/>
  <c r="AR16" i="14"/>
  <c r="AN17" i="14"/>
  <c r="AJ18" i="14"/>
  <c r="AR18" i="14"/>
  <c r="AN19" i="14"/>
  <c r="AJ20" i="14"/>
  <c r="AR20" i="14"/>
  <c r="AN21" i="14"/>
  <c r="AJ22" i="14"/>
  <c r="AR22" i="14"/>
  <c r="AN23" i="14"/>
  <c r="AJ24" i="14"/>
  <c r="AR24" i="14"/>
  <c r="AN25" i="14"/>
  <c r="AJ26" i="14"/>
  <c r="AR26" i="14"/>
  <c r="AN27" i="14"/>
  <c r="AJ28" i="14"/>
  <c r="AR28" i="14"/>
  <c r="AN29" i="14"/>
  <c r="AJ30" i="14"/>
  <c r="AR30" i="14"/>
  <c r="AN31" i="14"/>
  <c r="AJ32" i="14"/>
  <c r="AR32" i="14"/>
  <c r="AN33" i="14"/>
  <c r="AJ34" i="14"/>
  <c r="AR34" i="14"/>
  <c r="AN35" i="14"/>
  <c r="AJ36" i="14"/>
  <c r="AR36" i="14"/>
  <c r="AN37" i="14"/>
  <c r="AJ38" i="14"/>
  <c r="AR38" i="14"/>
  <c r="AN39" i="14"/>
  <c r="AJ40" i="14"/>
  <c r="AR40" i="14"/>
  <c r="AN41" i="14"/>
  <c r="AJ42" i="14"/>
  <c r="AR42" i="14"/>
  <c r="AN43" i="14"/>
  <c r="AJ44" i="14"/>
  <c r="AR44" i="14"/>
  <c r="AN45" i="14"/>
  <c r="AJ46" i="14"/>
  <c r="AR46" i="14"/>
  <c r="AN47" i="14"/>
  <c r="AJ48" i="14"/>
  <c r="AR48" i="14"/>
  <c r="AN49" i="14"/>
  <c r="AJ50" i="14"/>
  <c r="AR50" i="14"/>
  <c r="AN51" i="14"/>
  <c r="AJ52" i="14"/>
  <c r="AR52" i="14"/>
  <c r="AN53" i="14"/>
  <c r="AJ54" i="14"/>
  <c r="AR54" i="14"/>
  <c r="AN55" i="14"/>
  <c r="AJ56" i="14"/>
  <c r="AR56" i="14"/>
  <c r="AN57" i="14"/>
  <c r="AJ58" i="14"/>
  <c r="AR58" i="14"/>
  <c r="AG3" i="14"/>
  <c r="AP3" i="14"/>
  <c r="AM4" i="14"/>
  <c r="AJ5" i="14"/>
  <c r="AG6" i="14"/>
  <c r="AP6" i="14"/>
  <c r="AM7" i="14"/>
  <c r="AK8" i="14"/>
  <c r="AH9" i="14"/>
  <c r="AQ9" i="14"/>
  <c r="AN10" i="14"/>
  <c r="AK11" i="14"/>
  <c r="AH12" i="14"/>
  <c r="AQ12" i="14"/>
  <c r="AO13" i="14"/>
  <c r="AL14" i="14"/>
  <c r="AI15" i="14"/>
  <c r="AR15" i="14"/>
  <c r="AO16" i="14"/>
  <c r="AL17" i="14"/>
  <c r="AI18" i="14"/>
  <c r="AG19" i="14"/>
  <c r="AP19" i="14"/>
  <c r="AM20" i="14"/>
  <c r="AJ21" i="14"/>
  <c r="AG22" i="14"/>
  <c r="AP22" i="14"/>
  <c r="AM23" i="14"/>
  <c r="AK24" i="14"/>
  <c r="AH25" i="14"/>
  <c r="AQ25" i="14"/>
  <c r="AN26" i="14"/>
  <c r="AK27" i="14"/>
  <c r="AH28" i="14"/>
  <c r="AQ28" i="14"/>
  <c r="AO29" i="14"/>
  <c r="AL30" i="14"/>
  <c r="AI31" i="14"/>
  <c r="AR31" i="14"/>
  <c r="AO32" i="14"/>
  <c r="AL33" i="14"/>
  <c r="AI34" i="14"/>
  <c r="AG35" i="14"/>
  <c r="AP35" i="14"/>
  <c r="AM36" i="14"/>
  <c r="AJ37" i="14"/>
  <c r="AG38" i="14"/>
  <c r="AP38" i="14"/>
  <c r="AM39" i="14"/>
  <c r="AK40" i="14"/>
  <c r="AH41" i="14"/>
  <c r="AQ41" i="14"/>
  <c r="AN42" i="14"/>
  <c r="AK43" i="14"/>
  <c r="AH44" i="14"/>
  <c r="AQ44" i="14"/>
  <c r="AO45" i="14"/>
  <c r="AL46" i="14"/>
  <c r="AI47" i="14"/>
  <c r="AR47" i="14"/>
  <c r="AO48" i="14"/>
  <c r="AL49" i="14"/>
  <c r="AI50" i="14"/>
  <c r="AG51" i="14"/>
  <c r="AP51" i="14"/>
  <c r="AM52" i="14"/>
  <c r="AJ53" i="14"/>
  <c r="AG54" i="14"/>
  <c r="AP54" i="14"/>
  <c r="AM55" i="14"/>
  <c r="AK56" i="14"/>
  <c r="AH57" i="14"/>
  <c r="AQ57" i="14"/>
  <c r="AN58" i="14"/>
  <c r="AK59" i="14"/>
  <c r="AG60" i="14"/>
  <c r="AO60" i="14"/>
  <c r="AK61" i="14"/>
  <c r="AG62" i="14"/>
  <c r="AO62" i="14"/>
  <c r="AK63" i="14"/>
  <c r="AG64" i="14"/>
  <c r="AO64" i="14"/>
  <c r="AK65" i="14"/>
  <c r="AG66" i="14"/>
  <c r="AO66" i="14"/>
  <c r="AK67" i="14"/>
  <c r="AG68" i="14"/>
  <c r="AO68" i="14"/>
  <c r="AK69" i="14"/>
  <c r="AG70" i="14"/>
  <c r="AO70" i="14"/>
  <c r="AK71" i="14"/>
  <c r="AG72" i="14"/>
  <c r="AO72" i="14"/>
  <c r="AK73" i="14"/>
  <c r="AG74" i="14"/>
  <c r="AO74" i="14"/>
  <c r="AK75" i="14"/>
  <c r="AG76" i="14"/>
  <c r="AO76" i="14"/>
  <c r="AK77" i="14"/>
  <c r="AG78" i="14"/>
  <c r="AO78" i="14"/>
  <c r="AK79" i="14"/>
  <c r="AG80" i="14"/>
  <c r="AO80" i="14"/>
  <c r="AK81" i="14"/>
  <c r="AG82" i="14"/>
  <c r="AO82" i="14"/>
  <c r="AK83" i="14"/>
  <c r="AG84" i="14"/>
  <c r="AO84" i="14"/>
  <c r="AK85" i="14"/>
  <c r="AG86" i="14"/>
  <c r="AO86" i="14"/>
  <c r="AK87" i="14"/>
  <c r="AG88" i="14"/>
  <c r="AO88" i="14"/>
  <c r="AK89" i="14"/>
  <c r="AG90" i="14"/>
  <c r="AO90" i="14"/>
  <c r="AK91" i="14"/>
  <c r="AG92" i="14"/>
  <c r="AO92" i="14"/>
  <c r="AK93" i="14"/>
  <c r="AG94" i="14"/>
  <c r="AO94" i="14"/>
  <c r="AK95" i="14"/>
  <c r="AG96" i="14"/>
  <c r="AO96" i="14"/>
  <c r="AK97" i="14"/>
  <c r="AG98" i="14"/>
  <c r="AO98" i="14"/>
  <c r="AK99" i="14"/>
  <c r="AG100" i="14"/>
  <c r="AO100" i="14"/>
  <c r="AK101" i="14"/>
  <c r="AG102" i="14"/>
  <c r="AO102" i="14"/>
  <c r="AK103" i="14"/>
  <c r="AG104" i="14"/>
  <c r="AO104" i="14"/>
  <c r="AK105" i="14"/>
  <c r="AG106" i="14"/>
  <c r="AO106" i="14"/>
  <c r="AK107" i="14"/>
  <c r="AG108" i="14"/>
  <c r="AO108" i="14"/>
  <c r="AK109" i="14"/>
  <c r="AG110" i="14"/>
  <c r="AO110" i="14"/>
  <c r="AK111" i="14"/>
  <c r="AG112" i="14"/>
  <c r="AO112" i="14"/>
  <c r="AK113" i="14"/>
  <c r="AG114" i="14"/>
  <c r="AO114" i="14"/>
  <c r="AK115" i="14"/>
  <c r="AG116" i="14"/>
  <c r="AO116" i="14"/>
  <c r="AK117" i="14"/>
  <c r="AG118" i="14"/>
  <c r="AO118" i="14"/>
  <c r="AK119" i="14"/>
  <c r="AG120" i="14"/>
  <c r="AO120" i="14"/>
  <c r="AK121" i="14"/>
  <c r="AG122" i="14"/>
  <c r="AO122" i="14"/>
  <c r="AL3" i="14"/>
  <c r="AK4" i="14"/>
  <c r="AI5" i="14"/>
  <c r="AH6" i="14"/>
  <c r="AG7" i="14"/>
  <c r="AQ7" i="14"/>
  <c r="AO8" i="14"/>
  <c r="AM9" i="14"/>
  <c r="AL10" i="14"/>
  <c r="AJ11" i="14"/>
  <c r="AI12" i="14"/>
  <c r="AH13" i="14"/>
  <c r="AR13" i="14"/>
  <c r="AP14" i="14"/>
  <c r="AO15" i="14"/>
  <c r="AM16" i="14"/>
  <c r="AK17" i="14"/>
  <c r="AK18" i="14"/>
  <c r="AI19" i="14"/>
  <c r="AG20" i="14"/>
  <c r="AQ20" i="14"/>
  <c r="AP21" i="14"/>
  <c r="AN22" i="14"/>
  <c r="AL23" i="14"/>
  <c r="AL24" i="14"/>
  <c r="AJ25" i="14"/>
  <c r="AH26" i="14"/>
  <c r="AG27" i="14"/>
  <c r="AQ27" i="14"/>
  <c r="AO28" i="14"/>
  <c r="AM29" i="14"/>
  <c r="AM30" i="14"/>
  <c r="AK31" i="14"/>
  <c r="AI32" i="14"/>
  <c r="AH33" i="14"/>
  <c r="AR33" i="14"/>
  <c r="AP34" i="14"/>
  <c r="AO35" i="14"/>
  <c r="AN36" i="14"/>
  <c r="AL37" i="14"/>
  <c r="AK38" i="14"/>
  <c r="AI39" i="14"/>
  <c r="AG40" i="14"/>
  <c r="AQ40" i="14"/>
  <c r="AP41" i="14"/>
  <c r="AO42" i="14"/>
  <c r="AM43" i="14"/>
  <c r="AL44" i="14"/>
  <c r="AJ45" i="14"/>
  <c r="AH46" i="14"/>
  <c r="AG47" i="14"/>
  <c r="AQ47" i="14"/>
  <c r="AP48" i="14"/>
  <c r="AO49" i="14"/>
  <c r="AM50" i="14"/>
  <c r="AK51" i="14"/>
  <c r="AI52" i="14"/>
  <c r="AH53" i="14"/>
  <c r="AR53" i="14"/>
  <c r="AQ54" i="14"/>
  <c r="AP55" i="14"/>
  <c r="AN56" i="14"/>
  <c r="AL57" i="14"/>
  <c r="AK58" i="14"/>
  <c r="AI59" i="14"/>
  <c r="AR59" i="14"/>
  <c r="AP60" i="14"/>
  <c r="AM61" i="14"/>
  <c r="AJ62" i="14"/>
  <c r="AG63" i="14"/>
  <c r="AP63" i="14"/>
  <c r="AM64" i="14"/>
  <c r="AJ65" i="14"/>
  <c r="AH66" i="14"/>
  <c r="AQ66" i="14"/>
  <c r="AN67" i="14"/>
  <c r="AK68" i="14"/>
  <c r="AH69" i="14"/>
  <c r="AQ69" i="14"/>
  <c r="AN70" i="14"/>
  <c r="AL71" i="14"/>
  <c r="AI72" i="14"/>
  <c r="AR72" i="14"/>
  <c r="AO73" i="14"/>
  <c r="AL74" i="14"/>
  <c r="AH3" i="14"/>
  <c r="AG4" i="14"/>
  <c r="AG5" i="14"/>
  <c r="AR5" i="14"/>
  <c r="AH7" i="14"/>
  <c r="AG8" i="14"/>
  <c r="AG9" i="14"/>
  <c r="AG10" i="14"/>
  <c r="AG11" i="14"/>
  <c r="AR11" i="14"/>
  <c r="AG13" i="14"/>
  <c r="AG14" i="14"/>
  <c r="AG15" i="14"/>
  <c r="AG16" i="14"/>
  <c r="AG17" i="14"/>
  <c r="AR17" i="14"/>
  <c r="AQ18" i="14"/>
  <c r="AR19" i="14"/>
  <c r="AG21" i="14"/>
  <c r="AR21" i="14"/>
  <c r="AG23" i="14"/>
  <c r="AR23" i="14"/>
  <c r="AQ24" i="14"/>
  <c r="AR25" i="14"/>
  <c r="AQ26" i="14"/>
  <c r="AR27" i="14"/>
  <c r="AG29" i="14"/>
  <c r="AR29" i="14"/>
  <c r="AQ30" i="14"/>
  <c r="AQ31" i="14"/>
  <c r="AQ32" i="14"/>
  <c r="AQ33" i="14"/>
  <c r="AQ34" i="14"/>
  <c r="AR35" i="14"/>
  <c r="AQ36" i="14"/>
  <c r="AQ37" i="14"/>
  <c r="AQ38" i="14"/>
  <c r="AQ39" i="14"/>
  <c r="AP40" i="14"/>
  <c r="AR41" i="14"/>
  <c r="AQ42" i="14"/>
  <c r="AQ43" i="14"/>
  <c r="AP44" i="14"/>
  <c r="AQ45" i="14"/>
  <c r="AP46" i="14"/>
  <c r="AP47" i="14"/>
  <c r="AQ48" i="14"/>
  <c r="AQ49" i="14"/>
  <c r="AP50" i="14"/>
  <c r="AQ51" i="14"/>
  <c r="AP52" i="14"/>
  <c r="AP53" i="14"/>
  <c r="AO54" i="14"/>
  <c r="AQ55" i="14"/>
  <c r="AP56" i="14"/>
  <c r="AP57" i="14"/>
  <c r="AP58" i="14"/>
  <c r="AO59" i="14"/>
  <c r="AM60" i="14"/>
  <c r="AL61" i="14"/>
  <c r="AK62" i="14"/>
  <c r="AI63" i="14"/>
  <c r="AH64" i="14"/>
  <c r="AR64" i="14"/>
  <c r="AP65" i="14"/>
  <c r="AN66" i="14"/>
  <c r="AM67" i="14"/>
  <c r="AL68" i="14"/>
  <c r="AJ69" i="14"/>
  <c r="AI70" i="14"/>
  <c r="AG71" i="14"/>
  <c r="AQ71" i="14"/>
  <c r="AP72" i="14"/>
  <c r="AN73" i="14"/>
  <c r="AM74" i="14"/>
  <c r="AJ75" i="14"/>
  <c r="AH76" i="14"/>
  <c r="AQ76" i="14"/>
  <c r="AN77" i="14"/>
  <c r="AK78" i="14"/>
  <c r="AH79" i="14"/>
  <c r="AQ79" i="14"/>
  <c r="AN80" i="14"/>
  <c r="AL81" i="14"/>
  <c r="AI82" i="14"/>
  <c r="AR82" i="14"/>
  <c r="AO83" i="14"/>
  <c r="AL84" i="14"/>
  <c r="AI85" i="14"/>
  <c r="AR85" i="14"/>
  <c r="AP86" i="14"/>
  <c r="AM87" i="14"/>
  <c r="AJ88" i="14"/>
  <c r="AG89" i="14"/>
  <c r="AP89" i="14"/>
  <c r="AM90" i="14"/>
  <c r="AJ91" i="14"/>
  <c r="AH92" i="14"/>
  <c r="AQ92" i="14"/>
  <c r="AN93" i="14"/>
  <c r="AK94" i="14"/>
  <c r="AH95" i="14"/>
  <c r="AQ95" i="14"/>
  <c r="AN96" i="14"/>
  <c r="AL97" i="14"/>
  <c r="AI98" i="14"/>
  <c r="AR98" i="14"/>
  <c r="AO99" i="14"/>
  <c r="AL100" i="14"/>
  <c r="AI101" i="14"/>
  <c r="AR101" i="14"/>
  <c r="AP102" i="14"/>
  <c r="AM103" i="14"/>
  <c r="AJ104" i="14"/>
  <c r="AG105" i="14"/>
  <c r="AP105" i="14"/>
  <c r="AM106" i="14"/>
  <c r="AJ107" i="14"/>
  <c r="AH108" i="14"/>
  <c r="AQ108" i="14"/>
  <c r="AN109" i="14"/>
  <c r="AK110" i="14"/>
  <c r="AH111" i="14"/>
  <c r="AQ111" i="14"/>
  <c r="AN112" i="14"/>
  <c r="AL113" i="14"/>
  <c r="AI114" i="14"/>
  <c r="AR114" i="14"/>
  <c r="AO115" i="14"/>
  <c r="AL116" i="14"/>
  <c r="AI117" i="14"/>
  <c r="AR117" i="14"/>
  <c r="AP118" i="14"/>
  <c r="AM119" i="14"/>
  <c r="AJ120" i="14"/>
  <c r="AG121" i="14"/>
  <c r="AP121" i="14"/>
  <c r="AM122" i="14"/>
  <c r="AJ123" i="14"/>
  <c r="AR123" i="14"/>
  <c r="AN124" i="14"/>
  <c r="AJ125" i="14"/>
  <c r="AR125" i="14"/>
  <c r="AN126" i="14"/>
  <c r="AJ127" i="14"/>
  <c r="AR127" i="14"/>
  <c r="AN128" i="14"/>
  <c r="AJ129" i="14"/>
  <c r="AR129" i="14"/>
  <c r="AN130" i="14"/>
  <c r="AJ131" i="14"/>
  <c r="AR131" i="14"/>
  <c r="AN132" i="14"/>
  <c r="AJ133" i="14"/>
  <c r="AR133" i="14"/>
  <c r="AN134" i="14"/>
  <c r="AJ135" i="14"/>
  <c r="AR135" i="14"/>
  <c r="AN136" i="14"/>
  <c r="AJ137" i="14"/>
  <c r="AR137" i="14"/>
  <c r="AN138" i="14"/>
  <c r="AJ139" i="14"/>
  <c r="AR139" i="14"/>
  <c r="AN140" i="14"/>
  <c r="AJ141" i="14"/>
  <c r="AR141" i="14"/>
  <c r="AN142" i="14"/>
  <c r="AI3" i="14"/>
  <c r="AH4" i="14"/>
  <c r="AH5" i="14"/>
  <c r="AI6" i="14"/>
  <c r="AI7" i="14"/>
  <c r="AH8" i="14"/>
  <c r="AI9" i="14"/>
  <c r="AH10" i="14"/>
  <c r="AH11" i="14"/>
  <c r="AG12" i="14"/>
  <c r="AI13" i="14"/>
  <c r="AH14" i="14"/>
  <c r="AH15" i="14"/>
  <c r="AH16" i="14"/>
  <c r="AH17" i="14"/>
  <c r="AG18" i="14"/>
  <c r="AH19" i="14"/>
  <c r="AH20" i="14"/>
  <c r="AH21" i="14"/>
  <c r="AH22" i="14"/>
  <c r="AH23" i="14"/>
  <c r="AG24" i="14"/>
  <c r="AG25" i="14"/>
  <c r="AG26" i="14"/>
  <c r="AH27" i="14"/>
  <c r="AG28" i="14"/>
  <c r="AH29" i="14"/>
  <c r="AG30" i="14"/>
  <c r="AG31" i="14"/>
  <c r="AG32" i="14"/>
  <c r="AG33" i="14"/>
  <c r="AG34" i="14"/>
  <c r="AH35" i="14"/>
  <c r="AG36" i="14"/>
  <c r="AG37" i="14"/>
  <c r="AR37" i="14"/>
  <c r="AG39" i="14"/>
  <c r="AR39" i="14"/>
  <c r="AG41" i="14"/>
  <c r="AG42" i="14"/>
  <c r="AG43" i="14"/>
  <c r="AR43" i="14"/>
  <c r="AG45" i="14"/>
  <c r="AR45" i="14"/>
  <c r="AQ46" i="14"/>
  <c r="AG48" i="14"/>
  <c r="AG49" i="14"/>
  <c r="AR49" i="14"/>
  <c r="AQ50" i="14"/>
  <c r="AR51" i="14"/>
  <c r="AQ52" i="14"/>
  <c r="AQ53" i="14"/>
  <c r="AG55" i="14"/>
  <c r="AR55" i="14"/>
  <c r="AQ56" i="14"/>
  <c r="AR57" i="14"/>
  <c r="AQ58" i="14"/>
  <c r="AP59" i="14"/>
  <c r="AN60" i="14"/>
  <c r="AN61" i="14"/>
  <c r="AL62" i="14"/>
  <c r="AJ63" i="14"/>
  <c r="AI64" i="14"/>
  <c r="AG65" i="14"/>
  <c r="AQ65" i="14"/>
  <c r="AP66" i="14"/>
  <c r="AO67" i="14"/>
  <c r="AM68" i="14"/>
  <c r="AL69" i="14"/>
  <c r="AJ70" i="14"/>
  <c r="AH71" i="14"/>
  <c r="AR71" i="14"/>
  <c r="AQ72" i="14"/>
  <c r="AP73" i="14"/>
  <c r="AN74" i="14"/>
  <c r="AL75" i="14"/>
  <c r="AI76" i="14"/>
  <c r="AR76" i="14"/>
  <c r="AO77" i="14"/>
  <c r="AL78" i="14"/>
  <c r="AI79" i="14"/>
  <c r="AR79" i="14"/>
  <c r="AP80" i="14"/>
  <c r="AM81" i="14"/>
  <c r="AJ82" i="14"/>
  <c r="AG83" i="14"/>
  <c r="AP83" i="14"/>
  <c r="AM84" i="14"/>
  <c r="AJ85" i="14"/>
  <c r="AH86" i="14"/>
  <c r="AQ86" i="14"/>
  <c r="AN87" i="14"/>
  <c r="AK88" i="14"/>
  <c r="AH89" i="14"/>
  <c r="AQ89" i="14"/>
  <c r="AN90" i="14"/>
  <c r="AL91" i="14"/>
  <c r="AI92" i="14"/>
  <c r="AR92" i="14"/>
  <c r="AO93" i="14"/>
  <c r="AL94" i="14"/>
  <c r="AI95" i="14"/>
  <c r="AR95" i="14"/>
  <c r="AP96" i="14"/>
  <c r="AM97" i="14"/>
  <c r="AJ98" i="14"/>
  <c r="AG99" i="14"/>
  <c r="AP99" i="14"/>
  <c r="AM100" i="14"/>
  <c r="AJ101" i="14"/>
  <c r="AH102" i="14"/>
  <c r="AQ102" i="14"/>
  <c r="AN103" i="14"/>
  <c r="AK104" i="14"/>
  <c r="AH105" i="14"/>
  <c r="AQ105" i="14"/>
  <c r="AN106" i="14"/>
  <c r="AL107" i="14"/>
  <c r="AI108" i="14"/>
  <c r="AR108" i="14"/>
  <c r="AO109" i="14"/>
  <c r="AL110" i="14"/>
  <c r="AI111" i="14"/>
  <c r="AR111" i="14"/>
  <c r="AP112" i="14"/>
  <c r="AM113" i="14"/>
  <c r="AJ114" i="14"/>
  <c r="AG115" i="14"/>
  <c r="AP115" i="14"/>
  <c r="AM116" i="14"/>
  <c r="AJ117" i="14"/>
  <c r="AH118" i="14"/>
  <c r="AQ118" i="14"/>
  <c r="AN119" i="14"/>
  <c r="AK120" i="14"/>
  <c r="AH121" i="14"/>
  <c r="AQ121" i="14"/>
  <c r="AN122" i="14"/>
  <c r="AK123" i="14"/>
  <c r="AG124" i="14"/>
  <c r="AO124" i="14"/>
  <c r="AK125" i="14"/>
  <c r="AG126" i="14"/>
  <c r="AO126" i="14"/>
  <c r="AK127" i="14"/>
  <c r="AG128" i="14"/>
  <c r="AO128" i="14"/>
  <c r="AK129" i="14"/>
  <c r="AG130" i="14"/>
  <c r="AO130" i="14"/>
  <c r="AK131" i="14"/>
  <c r="AG132" i="14"/>
  <c r="AO132" i="14"/>
  <c r="AK133" i="14"/>
  <c r="AG134" i="14"/>
  <c r="AO134" i="14"/>
  <c r="AK135" i="14"/>
  <c r="AG136" i="14"/>
  <c r="AO136" i="14"/>
  <c r="AK137" i="14"/>
  <c r="AG138" i="14"/>
  <c r="AO138" i="14"/>
  <c r="AK139" i="14"/>
  <c r="AG140" i="14"/>
  <c r="AO140" i="14"/>
  <c r="AK141" i="14"/>
  <c r="AG142" i="14"/>
  <c r="AO142" i="14"/>
  <c r="AJ3" i="14"/>
  <c r="AI4" i="14"/>
  <c r="AK5" i="14"/>
  <c r="AK6" i="14"/>
  <c r="AJ7" i="14"/>
  <c r="AK3" i="14"/>
  <c r="AP4" i="14"/>
  <c r="AM6" i="14"/>
  <c r="AR7" i="14"/>
  <c r="AK9" i="14"/>
  <c r="AO10" i="14"/>
  <c r="AQ11" i="14"/>
  <c r="AK13" i="14"/>
  <c r="AN14" i="14"/>
  <c r="AQ15" i="14"/>
  <c r="AJ17" i="14"/>
  <c r="AN18" i="14"/>
  <c r="AQ19" i="14"/>
  <c r="AK21" i="14"/>
  <c r="AM22" i="14"/>
  <c r="AQ23" i="14"/>
  <c r="AK25" i="14"/>
  <c r="AM26" i="14"/>
  <c r="AP27" i="14"/>
  <c r="AJ29" i="14"/>
  <c r="AN30" i="14"/>
  <c r="AP31" i="14"/>
  <c r="AJ33" i="14"/>
  <c r="AM34" i="14"/>
  <c r="AQ35" i="14"/>
  <c r="AI37" i="14"/>
  <c r="AM38" i="14"/>
  <c r="AP39" i="14"/>
  <c r="AJ41" i="14"/>
  <c r="AL42" i="14"/>
  <c r="AP43" i="14"/>
  <c r="AI45" i="14"/>
  <c r="AM46" i="14"/>
  <c r="AO47" i="14"/>
  <c r="AI49" i="14"/>
  <c r="AL50" i="14"/>
  <c r="AO51" i="14"/>
  <c r="AI53" i="14"/>
  <c r="AL54" i="14"/>
  <c r="AO55" i="14"/>
  <c r="AI57" i="14"/>
  <c r="AL58" i="14"/>
  <c r="AN59" i="14"/>
  <c r="AR60" i="14"/>
  <c r="AR61" i="14"/>
  <c r="AH63" i="14"/>
  <c r="AK64" i="14"/>
  <c r="AM65" i="14"/>
  <c r="AM66" i="14"/>
  <c r="AQ67" i="14"/>
  <c r="AR68" i="14"/>
  <c r="AH70" i="14"/>
  <c r="AJ71" i="14"/>
  <c r="AL72" i="14"/>
  <c r="AM73" i="14"/>
  <c r="AQ74" i="14"/>
  <c r="AP75" i="14"/>
  <c r="AP76" i="14"/>
  <c r="AQ77" i="14"/>
  <c r="AQ78" i="14"/>
  <c r="AP79" i="14"/>
  <c r="AR80" i="14"/>
  <c r="AQ81" i="14"/>
  <c r="AQ82" i="14"/>
  <c r="AR83" i="14"/>
  <c r="AR84" i="14"/>
  <c r="AQ85" i="14"/>
  <c r="AG87" i="14"/>
  <c r="AR87" i="14"/>
  <c r="AR88" i="14"/>
  <c r="AH90" i="14"/>
  <c r="AG91" i="14"/>
  <c r="AR91" i="14"/>
  <c r="AH93" i="14"/>
  <c r="AH94" i="14"/>
  <c r="AG95" i="14"/>
  <c r="AI96" i="14"/>
  <c r="AH97" i="14"/>
  <c r="AH98" i="14"/>
  <c r="AI99" i="14"/>
  <c r="AI100" i="14"/>
  <c r="AH101" i="14"/>
  <c r="AJ102" i="14"/>
  <c r="AI103" i="14"/>
  <c r="AI104" i="14"/>
  <c r="AJ105" i="14"/>
  <c r="AJ106" i="14"/>
  <c r="AI107" i="14"/>
  <c r="AK108" i="14"/>
  <c r="AM3" i="14"/>
  <c r="AQ4" i="14"/>
  <c r="AN6" i="14"/>
  <c r="AI8" i="14"/>
  <c r="AL9" i="14"/>
  <c r="AP10" i="14"/>
  <c r="AK12" i="14"/>
  <c r="AL13" i="14"/>
  <c r="AO14" i="14"/>
  <c r="AI16" i="14"/>
  <c r="AM17" i="14"/>
  <c r="AO18" i="14"/>
  <c r="AI20" i="14"/>
  <c r="AL21" i="14"/>
  <c r="AO22" i="14"/>
  <c r="AH24" i="14"/>
  <c r="AL25" i="14"/>
  <c r="AO26" i="14"/>
  <c r="AI28" i="14"/>
  <c r="AK29" i="14"/>
  <c r="AO30" i="14"/>
  <c r="AH32" i="14"/>
  <c r="AK33" i="14"/>
  <c r="AN34" i="14"/>
  <c r="AH36" i="14"/>
  <c r="AK37" i="14"/>
  <c r="AN38" i="14"/>
  <c r="AH40" i="14"/>
  <c r="AK41" i="14"/>
  <c r="AM42" i="14"/>
  <c r="AG44" i="14"/>
  <c r="AK45" i="14"/>
  <c r="AN46" i="14"/>
  <c r="AH48" i="14"/>
  <c r="AJ49" i="14"/>
  <c r="AN50" i="14"/>
  <c r="AG52" i="14"/>
  <c r="AK53" i="14"/>
  <c r="AM54" i="14"/>
  <c r="AG56" i="14"/>
  <c r="AJ57" i="14"/>
  <c r="AM58" i="14"/>
  <c r="AQ59" i="14"/>
  <c r="AG61" i="14"/>
  <c r="AH62" i="14"/>
  <c r="AL63" i="14"/>
  <c r="AL64" i="14"/>
  <c r="AN65" i="14"/>
  <c r="AR66" i="14"/>
  <c r="AR67" i="14"/>
  <c r="AG69" i="14"/>
  <c r="AK70" i="14"/>
  <c r="AM71" i="14"/>
  <c r="AM72" i="14"/>
  <c r="AQ73" i="14"/>
  <c r="AR74" i="14"/>
  <c r="AQ75" i="14"/>
  <c r="AG77" i="14"/>
  <c r="AR77" i="14"/>
  <c r="AR78" i="14"/>
  <c r="AH80" i="14"/>
  <c r="AG81" i="14"/>
  <c r="AR81" i="14"/>
  <c r="AH83" i="14"/>
  <c r="AH84" i="14"/>
  <c r="AG85" i="14"/>
  <c r="AI86" i="14"/>
  <c r="AH87" i="14"/>
  <c r="AH88" i="14"/>
  <c r="AI89" i="14"/>
  <c r="AI90" i="14"/>
  <c r="AH91" i="14"/>
  <c r="AJ92" i="14"/>
  <c r="AI93" i="14"/>
  <c r="AI94" i="14"/>
  <c r="AJ95" i="14"/>
  <c r="AJ96" i="14"/>
  <c r="AI97" i="14"/>
  <c r="AK98" i="14"/>
  <c r="AJ99" i="14"/>
  <c r="AJ100" i="14"/>
  <c r="AL101" i="14"/>
  <c r="AK102" i="14"/>
  <c r="AJ103" i="14"/>
  <c r="AL104" i="14"/>
  <c r="AO3" i="14"/>
  <c r="AO5" i="14"/>
  <c r="AO7" i="14"/>
  <c r="AO9" i="14"/>
  <c r="AL11" i="14"/>
  <c r="AP12" i="14"/>
  <c r="AQ14" i="14"/>
  <c r="AN16" i="14"/>
  <c r="AL18" i="14"/>
  <c r="AK20" i="14"/>
  <c r="AQ21" i="14"/>
  <c r="AO23" i="14"/>
  <c r="AM25" i="14"/>
  <c r="AJ27" i="14"/>
  <c r="AP28" i="14"/>
  <c r="AP30" i="14"/>
  <c r="AM32" i="14"/>
  <c r="AK34" i="14"/>
  <c r="AI36" i="14"/>
  <c r="AP37" i="14"/>
  <c r="AL39" i="14"/>
  <c r="AL41" i="14"/>
  <c r="AI43" i="14"/>
  <c r="AO44" i="14"/>
  <c r="AO46" i="14"/>
  <c r="AL48" i="14"/>
  <c r="AH50" i="14"/>
  <c r="AH52" i="14"/>
  <c r="AO53" i="14"/>
  <c r="AK55" i="14"/>
  <c r="AK57" i="14"/>
  <c r="AH59" i="14"/>
  <c r="AL60" i="14"/>
  <c r="AI62" i="14"/>
  <c r="AO63" i="14"/>
  <c r="AI65" i="14"/>
  <c r="AG67" i="14"/>
  <c r="AJ68" i="14"/>
  <c r="AP69" i="14"/>
  <c r="AN71" i="14"/>
  <c r="AH73" i="14"/>
  <c r="AK74" i="14"/>
  <c r="AR75" i="14"/>
  <c r="AJ77" i="14"/>
  <c r="AN78" i="14"/>
  <c r="AI80" i="14"/>
  <c r="AJ81" i="14"/>
  <c r="AN82" i="14"/>
  <c r="AI84" i="14"/>
  <c r="AM85" i="14"/>
  <c r="AN86" i="14"/>
  <c r="AI88" i="14"/>
  <c r="AM89" i="14"/>
  <c r="AQ90" i="14"/>
  <c r="AK92" i="14"/>
  <c r="AM93" i="14"/>
  <c r="AQ94" i="14"/>
  <c r="AK96" i="14"/>
  <c r="AO97" i="14"/>
  <c r="AQ98" i="14"/>
  <c r="AK100" i="14"/>
  <c r="AO101" i="14"/>
  <c r="AG103" i="14"/>
  <c r="AM104" i="14"/>
  <c r="AN105" i="14"/>
  <c r="AQ106" i="14"/>
  <c r="AQ107" i="14"/>
  <c r="AH109" i="14"/>
  <c r="AH110" i="14"/>
  <c r="AG111" i="14"/>
  <c r="AI112" i="14"/>
  <c r="AH113" i="14"/>
  <c r="AH114" i="14"/>
  <c r="AI115" i="14"/>
  <c r="AI116" i="14"/>
  <c r="AH117" i="14"/>
  <c r="AJ118" i="14"/>
  <c r="AI119" i="14"/>
  <c r="AI120" i="14"/>
  <c r="AJ121" i="14"/>
  <c r="AJ122" i="14"/>
  <c r="AI123" i="14"/>
  <c r="AI124" i="14"/>
  <c r="AG125" i="14"/>
  <c r="AQ125" i="14"/>
  <c r="AQ126" i="14"/>
  <c r="AO127" i="14"/>
  <c r="AM128" i="14"/>
  <c r="AM129" i="14"/>
  <c r="AK130" i="14"/>
  <c r="AI131" i="14"/>
  <c r="AI132" i="14"/>
  <c r="AG133" i="14"/>
  <c r="AQ133" i="14"/>
  <c r="AQ134" i="14"/>
  <c r="AO135" i="14"/>
  <c r="AM136" i="14"/>
  <c r="AM137" i="14"/>
  <c r="AK138" i="14"/>
  <c r="AI139" i="14"/>
  <c r="AI140" i="14"/>
  <c r="AG141" i="14"/>
  <c r="AQ141" i="14"/>
  <c r="AQ142" i="14"/>
  <c r="AQ3" i="14"/>
  <c r="AP5" i="14"/>
  <c r="AP7" i="14"/>
  <c r="AP9" i="14"/>
  <c r="AM11" i="14"/>
  <c r="AJ13" i="14"/>
  <c r="AJ15" i="14"/>
  <c r="AP16" i="14"/>
  <c r="AM18" i="14"/>
  <c r="AL20" i="14"/>
  <c r="AI22" i="14"/>
  <c r="AP23" i="14"/>
  <c r="AO25" i="14"/>
  <c r="AL27" i="14"/>
  <c r="AI29" i="14"/>
  <c r="AH31" i="14"/>
  <c r="AN32" i="14"/>
  <c r="AL34" i="14"/>
  <c r="AK36" i="14"/>
  <c r="AH38" i="14"/>
  <c r="AO39" i="14"/>
  <c r="AM41" i="14"/>
  <c r="AJ43" i="14"/>
  <c r="AH45" i="14"/>
  <c r="AH47" i="14"/>
  <c r="AM48" i="14"/>
  <c r="AK50" i="14"/>
  <c r="AK52" i="14"/>
  <c r="AH54" i="14"/>
  <c r="AL55" i="14"/>
  <c r="AM57" i="14"/>
  <c r="AJ59" i="14"/>
  <c r="AQ60" i="14"/>
  <c r="AM62" i="14"/>
  <c r="AQ63" i="14"/>
  <c r="AL65" i="14"/>
  <c r="AH67" i="14"/>
  <c r="AN68" i="14"/>
  <c r="AR69" i="14"/>
  <c r="AO71" i="14"/>
  <c r="AI73" i="14"/>
  <c r="AP74" i="14"/>
  <c r="AJ76" i="14"/>
  <c r="AL77" i="14"/>
  <c r="AP78" i="14"/>
  <c r="AJ80" i="14"/>
  <c r="AN81" i="14"/>
  <c r="AP82" i="14"/>
  <c r="AJ84" i="14"/>
  <c r="AN85" i="14"/>
  <c r="AR86" i="14"/>
  <c r="AL88" i="14"/>
  <c r="AN89" i="14"/>
  <c r="AR90" i="14"/>
  <c r="AL92" i="14"/>
  <c r="AP93" i="14"/>
  <c r="AR94" i="14"/>
  <c r="AL96" i="14"/>
  <c r="AP97" i="14"/>
  <c r="AH99" i="14"/>
  <c r="AN100" i="14"/>
  <c r="AP101" i="14"/>
  <c r="AH103" i="14"/>
  <c r="AN104" i="14"/>
  <c r="AO105" i="14"/>
  <c r="AR106" i="14"/>
  <c r="AR107" i="14"/>
  <c r="AI109" i="14"/>
  <c r="AI110" i="14"/>
  <c r="AJ111" i="14"/>
  <c r="AJ112" i="14"/>
  <c r="AI113" i="14"/>
  <c r="AK114" i="14"/>
  <c r="AJ115" i="14"/>
  <c r="AJ116" i="14"/>
  <c r="AL117" i="14"/>
  <c r="AK118" i="14"/>
  <c r="AJ119" i="14"/>
  <c r="AL120" i="14"/>
  <c r="AL121" i="14"/>
  <c r="AK122" i="14"/>
  <c r="AL123" i="14"/>
  <c r="AJ124" i="14"/>
  <c r="AH125" i="14"/>
  <c r="AH126" i="14"/>
  <c r="AR126" i="14"/>
  <c r="AP127" i="14"/>
  <c r="AP128" i="14"/>
  <c r="AN129" i="14"/>
  <c r="AL130" i="14"/>
  <c r="AL131" i="14"/>
  <c r="AJ132" i="14"/>
  <c r="AH133" i="14"/>
  <c r="AH134" i="14"/>
  <c r="AR134" i="14"/>
  <c r="AP135" i="14"/>
  <c r="AP136" i="14"/>
  <c r="AN137" i="14"/>
  <c r="AL138" i="14"/>
  <c r="AL139" i="14"/>
  <c r="AJ140" i="14"/>
  <c r="AH141" i="14"/>
  <c r="AH142" i="14"/>
  <c r="AR142" i="14"/>
  <c r="AQ5" i="14"/>
  <c r="AO11" i="14"/>
  <c r="AK15" i="14"/>
  <c r="AP18" i="14"/>
  <c r="AN20" i="14"/>
  <c r="AK22" i="14"/>
  <c r="AI24" i="14"/>
  <c r="AP25" i="14"/>
  <c r="AM27" i="14"/>
  <c r="AL29" i="14"/>
  <c r="AJ31" i="14"/>
  <c r="AP32" i="14"/>
  <c r="AO34" i="14"/>
  <c r="AL36" i="14"/>
  <c r="AI38" i="14"/>
  <c r="AI40" i="14"/>
  <c r="AO41" i="14"/>
  <c r="AL43" i="14"/>
  <c r="AL45" i="14"/>
  <c r="AJ47" i="14"/>
  <c r="AN48" i="14"/>
  <c r="AL52" i="14"/>
  <c r="AI54" i="14"/>
  <c r="AH56" i="14"/>
  <c r="AO57" i="14"/>
  <c r="AL59" i="14"/>
  <c r="AH61" i="14"/>
  <c r="AN62" i="14"/>
  <c r="AR63" i="14"/>
  <c r="AO65" i="14"/>
  <c r="AI67" i="14"/>
  <c r="AP68" i="14"/>
  <c r="AL70" i="14"/>
  <c r="AP71" i="14"/>
  <c r="AJ73" i="14"/>
  <c r="AG75" i="14"/>
  <c r="AK76" i="14"/>
  <c r="AM77" i="14"/>
  <c r="AG79" i="14"/>
  <c r="AK80" i="14"/>
  <c r="AO81" i="14"/>
  <c r="AI83" i="14"/>
  <c r="AK84" i="14"/>
  <c r="AO85" i="14"/>
  <c r="AI87" i="14"/>
  <c r="AM88" i="14"/>
  <c r="AO89" i="14"/>
  <c r="AI91" i="14"/>
  <c r="AM92" i="14"/>
  <c r="AQ93" i="14"/>
  <c r="AL95" i="14"/>
  <c r="AM96" i="14"/>
  <c r="AQ97" i="14"/>
  <c r="AL99" i="14"/>
  <c r="AP100" i="14"/>
  <c r="AQ101" i="14"/>
  <c r="AL103" i="14"/>
  <c r="AP104" i="14"/>
  <c r="AR105" i="14"/>
  <c r="AG107" i="14"/>
  <c r="AJ108" i="14"/>
  <c r="AJ109" i="14"/>
  <c r="AJ110" i="14"/>
  <c r="AL111" i="14"/>
  <c r="AK112" i="14"/>
  <c r="AJ113" i="14"/>
  <c r="AR3" i="14"/>
  <c r="AL8" i="14"/>
  <c r="AR9" i="14"/>
  <c r="AQ16" i="14"/>
  <c r="AL4" i="14"/>
  <c r="AK7" i="14"/>
  <c r="AK10" i="14"/>
  <c r="AO12" i="14"/>
  <c r="AM15" i="14"/>
  <c r="AH18" i="14"/>
  <c r="AI21" i="14"/>
  <c r="AM24" i="14"/>
  <c r="AP26" i="14"/>
  <c r="AQ29" i="14"/>
  <c r="AL32" i="14"/>
  <c r="AK35" i="14"/>
  <c r="AL38" i="14"/>
  <c r="AO40" i="14"/>
  <c r="AI44" i="14"/>
  <c r="AK46" i="14"/>
  <c r="AM49" i="14"/>
  <c r="AM51" i="14"/>
  <c r="AH55" i="14"/>
  <c r="AG58" i="14"/>
  <c r="AJ60" i="14"/>
  <c r="AQ62" i="14"/>
  <c r="AH65" i="14"/>
  <c r="AP67" i="14"/>
  <c r="AM70" i="14"/>
  <c r="AN72" i="14"/>
  <c r="AI75" i="14"/>
  <c r="AI77" i="14"/>
  <c r="AM79" i="14"/>
  <c r="AP81" i="14"/>
  <c r="AN83" i="14"/>
  <c r="AJ86" i="14"/>
  <c r="AQ87" i="14"/>
  <c r="AK90" i="14"/>
  <c r="AN92" i="14"/>
  <c r="AN94" i="14"/>
  <c r="AR96" i="14"/>
  <c r="AP98" i="14"/>
  <c r="AG101" i="14"/>
  <c r="AO103" i="14"/>
  <c r="AL105" i="14"/>
  <c r="AM107" i="14"/>
  <c r="AG109" i="14"/>
  <c r="AP110" i="14"/>
  <c r="AL112" i="14"/>
  <c r="AQ113" i="14"/>
  <c r="AL115" i="14"/>
  <c r="AP116" i="14"/>
  <c r="AQ117" i="14"/>
  <c r="AL119" i="14"/>
  <c r="AP120" i="14"/>
  <c r="AH122" i="14"/>
  <c r="AM123" i="14"/>
  <c r="AM124" i="14"/>
  <c r="AO125" i="14"/>
  <c r="AG127" i="14"/>
  <c r="AI128" i="14"/>
  <c r="AI129" i="14"/>
  <c r="AM130" i="14"/>
  <c r="AO131" i="14"/>
  <c r="AQ132" i="14"/>
  <c r="AI134" i="14"/>
  <c r="AI135" i="14"/>
  <c r="AK136" i="14"/>
  <c r="AO137" i="14"/>
  <c r="AQ138" i="14"/>
  <c r="AQ139" i="14"/>
  <c r="AI141" i="14"/>
  <c r="AK142" i="14"/>
  <c r="AN4" i="14"/>
  <c r="AL7" i="14"/>
  <c r="AM10" i="14"/>
  <c r="AM13" i="14"/>
  <c r="AP15" i="14"/>
  <c r="AJ19" i="14"/>
  <c r="AM21" i="14"/>
  <c r="AN24" i="14"/>
  <c r="AI27" i="14"/>
  <c r="AH30" i="14"/>
  <c r="AI33" i="14"/>
  <c r="AL35" i="14"/>
  <c r="AO38" i="14"/>
  <c r="AI41" i="14"/>
  <c r="AK44" i="14"/>
  <c r="AK47" i="14"/>
  <c r="AP49" i="14"/>
  <c r="AN52" i="14"/>
  <c r="AI55" i="14"/>
  <c r="AH58" i="14"/>
  <c r="AK60" i="14"/>
  <c r="AR62" i="14"/>
  <c r="AR65" i="14"/>
  <c r="AH68" i="14"/>
  <c r="AP70" i="14"/>
  <c r="AG73" i="14"/>
  <c r="AM75" i="14"/>
  <c r="AP77" i="14"/>
  <c r="AN79" i="14"/>
  <c r="AH82" i="14"/>
  <c r="AQ83" i="14"/>
  <c r="AK86" i="14"/>
  <c r="AN88" i="14"/>
  <c r="AL90" i="14"/>
  <c r="AP92" i="14"/>
  <c r="AP94" i="14"/>
  <c r="AG97" i="14"/>
  <c r="AM99" i="14"/>
  <c r="AM101" i="14"/>
  <c r="AP103" i="14"/>
  <c r="AM105" i="14"/>
  <c r="AN107" i="14"/>
  <c r="AL109" i="14"/>
  <c r="AQ110" i="14"/>
  <c r="AM112" i="14"/>
  <c r="AR113" i="14"/>
  <c r="AM115" i="14"/>
  <c r="AQ116" i="14"/>
  <c r="AI118" i="14"/>
  <c r="AO119" i="14"/>
  <c r="AQ120" i="14"/>
  <c r="AI122" i="14"/>
  <c r="AN123" i="14"/>
  <c r="AP124" i="14"/>
  <c r="AP125" i="14"/>
  <c r="AH127" i="14"/>
  <c r="AJ128" i="14"/>
  <c r="AL129" i="14"/>
  <c r="AP130" i="14"/>
  <c r="AP131" i="14"/>
  <c r="AR132" i="14"/>
  <c r="AJ134" i="14"/>
  <c r="AL135" i="14"/>
  <c r="AL136" i="14"/>
  <c r="AP137" i="14"/>
  <c r="AR138" i="14"/>
  <c r="AH140" i="14"/>
  <c r="AL141" i="14"/>
  <c r="AL142" i="14"/>
  <c r="AO4" i="14"/>
  <c r="AM8" i="14"/>
  <c r="AQ10" i="14"/>
  <c r="AP13" i="14"/>
  <c r="AK16" i="14"/>
  <c r="AK19" i="14"/>
  <c r="AO21" i="14"/>
  <c r="AO24" i="14"/>
  <c r="AO27" i="14"/>
  <c r="AI30" i="14"/>
  <c r="AM33" i="14"/>
  <c r="AM35" i="14"/>
  <c r="AH39" i="14"/>
  <c r="AH42" i="14"/>
  <c r="AM44" i="14"/>
  <c r="AL47" i="14"/>
  <c r="AG50" i="14"/>
  <c r="AO52" i="14"/>
  <c r="AJ55" i="14"/>
  <c r="AI58" i="14"/>
  <c r="AI61" i="14"/>
  <c r="AM63" i="14"/>
  <c r="AI66" i="14"/>
  <c r="AI68" i="14"/>
  <c r="AQ70" i="14"/>
  <c r="AL73" i="14"/>
  <c r="AN75" i="14"/>
  <c r="AH78" i="14"/>
  <c r="AO79" i="14"/>
  <c r="AK82" i="14"/>
  <c r="AN84" i="14"/>
  <c r="AL86" i="14"/>
  <c r="AP88" i="14"/>
  <c r="AP90" i="14"/>
  <c r="AG93" i="14"/>
  <c r="AM95" i="14"/>
  <c r="AJ97" i="14"/>
  <c r="AN99" i="14"/>
  <c r="AN101" i="14"/>
  <c r="AQ103" i="14"/>
  <c r="AH106" i="14"/>
  <c r="AO107" i="14"/>
  <c r="AM109" i="14"/>
  <c r="AR110" i="14"/>
  <c r="AQ112" i="14"/>
  <c r="AL114" i="14"/>
  <c r="AN115" i="14"/>
  <c r="AR116" i="14"/>
  <c r="AL118" i="14"/>
  <c r="AP119" i="14"/>
  <c r="AR120" i="14"/>
  <c r="AL122" i="14"/>
  <c r="AO123" i="14"/>
  <c r="AQ124" i="14"/>
  <c r="AI126" i="14"/>
  <c r="AI127" i="14"/>
  <c r="AK128" i="14"/>
  <c r="AO129" i="14"/>
  <c r="AQ130" i="14"/>
  <c r="AQ131" i="14"/>
  <c r="AI133" i="14"/>
  <c r="AK134" i="14"/>
  <c r="AM135" i="14"/>
  <c r="AQ136" i="14"/>
  <c r="AQ137" i="14"/>
  <c r="AG139" i="14"/>
  <c r="AK140" i="14"/>
  <c r="AM141" i="14"/>
  <c r="AM142" i="14"/>
  <c r="AL5" i="14"/>
  <c r="AN8" i="14"/>
  <c r="AI11" i="14"/>
  <c r="AQ13" i="14"/>
  <c r="AL16" i="14"/>
  <c r="AL19" i="14"/>
  <c r="AL22" i="14"/>
  <c r="AP24" i="14"/>
  <c r="AK28" i="14"/>
  <c r="AK30" i="14"/>
  <c r="AO33" i="14"/>
  <c r="AO36" i="14"/>
  <c r="AJ39" i="14"/>
  <c r="AI42" i="14"/>
  <c r="AN44" i="14"/>
  <c r="AM47" i="14"/>
  <c r="AO50" i="14"/>
  <c r="AG53" i="14"/>
  <c r="AI56" i="14"/>
  <c r="AO58" i="14"/>
  <c r="AJ61" i="14"/>
  <c r="AN63" i="14"/>
  <c r="AJ66" i="14"/>
  <c r="AQ68" i="14"/>
  <c r="AR70" i="14"/>
  <c r="AR73" i="14"/>
  <c r="AO75" i="14"/>
  <c r="AI78" i="14"/>
  <c r="AL80" i="14"/>
  <c r="AL82" i="14"/>
  <c r="AP84" i="14"/>
  <c r="AM86" i="14"/>
  <c r="AQ88" i="14"/>
  <c r="AM91" i="14"/>
  <c r="AJ93" i="14"/>
  <c r="AN95" i="14"/>
  <c r="AN97" i="14"/>
  <c r="AQ99" i="14"/>
  <c r="AI102" i="14"/>
  <c r="AR103" i="14"/>
  <c r="AI106" i="14"/>
  <c r="AP107" i="14"/>
  <c r="AP109" i="14"/>
  <c r="AM111" i="14"/>
  <c r="AR112" i="14"/>
  <c r="AM114" i="14"/>
  <c r="AQ115" i="14"/>
  <c r="AG117" i="14"/>
  <c r="AM118" i="14"/>
  <c r="AQ119" i="14"/>
  <c r="AI121" i="14"/>
  <c r="AP122" i="14"/>
  <c r="AP123" i="14"/>
  <c r="AR124" i="14"/>
  <c r="AJ126" i="14"/>
  <c r="AL127" i="14"/>
  <c r="AL128" i="14"/>
  <c r="AP129" i="14"/>
  <c r="AR130" i="14"/>
  <c r="AH132" i="14"/>
  <c r="AL133" i="14"/>
  <c r="AL134" i="14"/>
  <c r="AN135" i="14"/>
  <c r="AR136" i="14"/>
  <c r="AH138" i="14"/>
  <c r="AH139" i="14"/>
  <c r="AL140" i="14"/>
  <c r="AN141" i="14"/>
  <c r="AP142" i="14"/>
  <c r="AM5" i="14"/>
  <c r="AP8" i="14"/>
  <c r="AP11" i="14"/>
  <c r="AI14" i="14"/>
  <c r="AI17" i="14"/>
  <c r="AM19" i="14"/>
  <c r="AQ22" i="14"/>
  <c r="AI25" i="14"/>
  <c r="AL28" i="14"/>
  <c r="AL31" i="14"/>
  <c r="AP33" i="14"/>
  <c r="AP36" i="14"/>
  <c r="AK39" i="14"/>
  <c r="AK42" i="14"/>
  <c r="AM45" i="14"/>
  <c r="AI48" i="14"/>
  <c r="AH51" i="14"/>
  <c r="AL53" i="14"/>
  <c r="AL56" i="14"/>
  <c r="AG59" i="14"/>
  <c r="AO61" i="14"/>
  <c r="AJ64" i="14"/>
  <c r="AK66" i="14"/>
  <c r="AI69" i="14"/>
  <c r="AI71" i="14"/>
  <c r="AH74" i="14"/>
  <c r="AL76" i="14"/>
  <c r="AJ78" i="14"/>
  <c r="AM80" i="14"/>
  <c r="AM82" i="14"/>
  <c r="AQ84" i="14"/>
  <c r="AJ87" i="14"/>
  <c r="AJ89" i="14"/>
  <c r="AN91" i="14"/>
  <c r="AL93" i="14"/>
  <c r="AO95" i="14"/>
  <c r="AR97" i="14"/>
  <c r="AR99" i="14"/>
  <c r="AL102" i="14"/>
  <c r="AH104" i="14"/>
  <c r="AK106" i="14"/>
  <c r="AL108" i="14"/>
  <c r="AQ109" i="14"/>
  <c r="AN111" i="14"/>
  <c r="AG113" i="14"/>
  <c r="AN114" i="14"/>
  <c r="AR115" i="14"/>
  <c r="AM117" i="14"/>
  <c r="AN118" i="14"/>
  <c r="AR119" i="14"/>
  <c r="AM121" i="14"/>
  <c r="AQ122" i="14"/>
  <c r="AQ123" i="14"/>
  <c r="AI125" i="14"/>
  <c r="AK126" i="14"/>
  <c r="AM127" i="14"/>
  <c r="AQ128" i="14"/>
  <c r="AQ129" i="14"/>
  <c r="AG131" i="14"/>
  <c r="AK132" i="14"/>
  <c r="AM133" i="14"/>
  <c r="AM134" i="14"/>
  <c r="AQ135" i="14"/>
  <c r="AG137" i="14"/>
  <c r="AI138" i="14"/>
  <c r="AM139" i="14"/>
  <c r="AM140" i="14"/>
  <c r="AO141" i="14"/>
  <c r="AL6" i="14"/>
  <c r="AQ8" i="14"/>
  <c r="AL12" i="14"/>
  <c r="AK14" i="14"/>
  <c r="AO17" i="14"/>
  <c r="AO19" i="14"/>
  <c r="AI23" i="14"/>
  <c r="AI26" i="14"/>
  <c r="AM28" i="14"/>
  <c r="AM31" i="14"/>
  <c r="AH34" i="14"/>
  <c r="AH37" i="14"/>
  <c r="AL40" i="14"/>
  <c r="AP42" i="14"/>
  <c r="AP45" i="14"/>
  <c r="AK48" i="14"/>
  <c r="AI51" i="14"/>
  <c r="AM53" i="14"/>
  <c r="AM56" i="14"/>
  <c r="AM59" i="14"/>
  <c r="AP61" i="14"/>
  <c r="AN64" i="14"/>
  <c r="AL66" i="14"/>
  <c r="AM69" i="14"/>
  <c r="AH72" i="14"/>
  <c r="AI74" i="14"/>
  <c r="AM76" i="14"/>
  <c r="AM78" i="14"/>
  <c r="AQ80" i="14"/>
  <c r="AJ83" i="14"/>
  <c r="AH85" i="14"/>
  <c r="AL87" i="14"/>
  <c r="AL89" i="14"/>
  <c r="AO91" i="14"/>
  <c r="AR93" i="14"/>
  <c r="AP95" i="14"/>
  <c r="AL98" i="14"/>
  <c r="AH100" i="14"/>
  <c r="AM102" i="14"/>
  <c r="AQ104" i="14"/>
  <c r="AL106" i="14"/>
  <c r="AM108" i="14"/>
  <c r="AR109" i="14"/>
  <c r="AN113" i="14"/>
  <c r="AP114" i="14"/>
  <c r="AH116" i="14"/>
  <c r="AN117" i="14"/>
  <c r="AR118" i="14"/>
  <c r="AH120" i="14"/>
  <c r="AN121" i="14"/>
  <c r="AH124" i="14"/>
  <c r="AL125" i="14"/>
  <c r="AN127" i="14"/>
  <c r="AH131" i="14"/>
  <c r="AH136" i="14"/>
  <c r="AP141" i="14"/>
  <c r="AJ9" i="14"/>
  <c r="AP111" i="14"/>
  <c r="AM138" i="14"/>
  <c r="AL15" i="14"/>
  <c r="AP126" i="14"/>
  <c r="AO111" i="14"/>
  <c r="AR122" i="14"/>
  <c r="AL126" i="14"/>
  <c r="AR128" i="14"/>
  <c r="AH130" i="14"/>
  <c r="AL132" i="14"/>
  <c r="AN133" i="14"/>
  <c r="AP134" i="14"/>
  <c r="AH137" i="14"/>
  <c r="AJ138" i="14"/>
  <c r="AN139" i="14"/>
  <c r="AP140" i="14"/>
  <c r="AO6" i="14"/>
  <c r="AM12" i="14"/>
  <c r="AM14" i="14"/>
  <c r="AP17" i="14"/>
  <c r="AO20" i="14"/>
  <c r="AJ23" i="14"/>
  <c r="AK26" i="14"/>
  <c r="AN28" i="14"/>
  <c r="AO31" i="14"/>
  <c r="AI35" i="14"/>
  <c r="AM37" i="14"/>
  <c r="AM40" i="14"/>
  <c r="AH43" i="14"/>
  <c r="AG46" i="14"/>
  <c r="AH49" i="14"/>
  <c r="AJ51" i="14"/>
  <c r="AK54" i="14"/>
  <c r="AO56" i="14"/>
  <c r="AH60" i="14"/>
  <c r="AQ61" i="14"/>
  <c r="AP64" i="14"/>
  <c r="AJ67" i="14"/>
  <c r="AN69" i="14"/>
  <c r="AJ72" i="14"/>
  <c r="AJ74" i="14"/>
  <c r="AN76" i="14"/>
  <c r="AJ79" i="14"/>
  <c r="AH81" i="14"/>
  <c r="AL83" i="14"/>
  <c r="AL85" i="14"/>
  <c r="AO87" i="14"/>
  <c r="AR89" i="14"/>
  <c r="AP91" i="14"/>
  <c r="AJ94" i="14"/>
  <c r="AH96" i="14"/>
  <c r="AM98" i="14"/>
  <c r="AQ100" i="14"/>
  <c r="AN102" i="14"/>
  <c r="AR104" i="14"/>
  <c r="AP106" i="14"/>
  <c r="AN108" i="14"/>
  <c r="AM110" i="14"/>
  <c r="AO113" i="14"/>
  <c r="AQ114" i="14"/>
  <c r="AK116" i="14"/>
  <c r="AO117" i="14"/>
  <c r="AG119" i="14"/>
  <c r="AM120" i="14"/>
  <c r="AO121" i="14"/>
  <c r="AG123" i="14"/>
  <c r="AK124" i="14"/>
  <c r="AM125" i="14"/>
  <c r="AM126" i="14"/>
  <c r="AQ127" i="14"/>
  <c r="AG129" i="14"/>
  <c r="AI130" i="14"/>
  <c r="AM131" i="14"/>
  <c r="AM132" i="14"/>
  <c r="AO133" i="14"/>
  <c r="AG135" i="14"/>
  <c r="AI136" i="14"/>
  <c r="AI137" i="14"/>
  <c r="AO139" i="14"/>
  <c r="AQ140" i="14"/>
  <c r="AI142" i="14"/>
  <c r="AQ6" i="14"/>
  <c r="AI10" i="14"/>
  <c r="AN12" i="14"/>
  <c r="AQ17" i="14"/>
  <c r="AP20" i="14"/>
  <c r="AK23" i="14"/>
  <c r="AL26" i="14"/>
  <c r="AP29" i="14"/>
  <c r="AK32" i="14"/>
  <c r="AJ35" i="14"/>
  <c r="AO37" i="14"/>
  <c r="AN40" i="14"/>
  <c r="AO43" i="14"/>
  <c r="AI46" i="14"/>
  <c r="AK49" i="14"/>
  <c r="AL51" i="14"/>
  <c r="AN54" i="14"/>
  <c r="AG57" i="14"/>
  <c r="AI60" i="14"/>
  <c r="AP62" i="14"/>
  <c r="AQ64" i="14"/>
  <c r="AL67" i="14"/>
  <c r="AO69" i="14"/>
  <c r="AK72" i="14"/>
  <c r="AH75" i="14"/>
  <c r="AH77" i="14"/>
  <c r="AL79" i="14"/>
  <c r="AI81" i="14"/>
  <c r="AM83" i="14"/>
  <c r="AP85" i="14"/>
  <c r="AP87" i="14"/>
  <c r="AJ90" i="14"/>
  <c r="AQ91" i="14"/>
  <c r="AM94" i="14"/>
  <c r="AQ96" i="14"/>
  <c r="AN98" i="14"/>
  <c r="AR100" i="14"/>
  <c r="AR102" i="14"/>
  <c r="AI105" i="14"/>
  <c r="AH107" i="14"/>
  <c r="AP108" i="14"/>
  <c r="AN110" i="14"/>
  <c r="AH112" i="14"/>
  <c r="AP113" i="14"/>
  <c r="AH115" i="14"/>
  <c r="AN116" i="14"/>
  <c r="AP117" i="14"/>
  <c r="AH119" i="14"/>
  <c r="AN120" i="14"/>
  <c r="AR121" i="14"/>
  <c r="AH123" i="14"/>
  <c r="AL124" i="14"/>
  <c r="AN125" i="14"/>
  <c r="AH128" i="14"/>
  <c r="AH129" i="14"/>
  <c r="AJ130" i="14"/>
  <c r="AN131" i="14"/>
  <c r="AP132" i="14"/>
  <c r="AP133" i="14"/>
  <c r="AH135" i="14"/>
  <c r="AJ136" i="14"/>
  <c r="AL137" i="14"/>
  <c r="AP138" i="14"/>
  <c r="AP139" i="14"/>
  <c r="AR140" i="14"/>
  <c r="AJ142" i="14"/>
  <c r="K60" i="14"/>
  <c r="K66" i="14"/>
  <c r="K82" i="14"/>
  <c r="K98" i="14"/>
  <c r="K67" i="14"/>
  <c r="K83" i="14"/>
  <c r="K99" i="14"/>
  <c r="K68" i="14"/>
  <c r="K84" i="14"/>
  <c r="K100" i="14"/>
  <c r="K61" i="14"/>
  <c r="K77" i="14"/>
  <c r="K93" i="14"/>
  <c r="K109" i="14"/>
  <c r="K70" i="14"/>
  <c r="K94" i="14"/>
  <c r="K110" i="14"/>
  <c r="K71" i="14"/>
  <c r="K87" i="14"/>
  <c r="K103" i="14"/>
  <c r="K64" i="14"/>
  <c r="K88" i="14"/>
  <c r="K112" i="14"/>
  <c r="K74" i="14"/>
  <c r="K90" i="14"/>
  <c r="K106" i="14"/>
  <c r="K75" i="14"/>
  <c r="K91" i="14"/>
  <c r="K107" i="14"/>
  <c r="K76" i="14"/>
  <c r="K92" i="14"/>
  <c r="K108" i="14"/>
  <c r="K69" i="14"/>
  <c r="K85" i="14"/>
  <c r="K101" i="14"/>
  <c r="K62" i="14"/>
  <c r="K78" i="14"/>
  <c r="K86" i="14"/>
  <c r="K102" i="14"/>
  <c r="K63" i="14"/>
  <c r="K79" i="14"/>
  <c r="K95" i="14"/>
  <c r="K111" i="14"/>
  <c r="K72" i="14"/>
  <c r="K80" i="14"/>
  <c r="K96" i="14"/>
  <c r="K104" i="14"/>
  <c r="K65" i="14"/>
  <c r="K73" i="14"/>
  <c r="K81" i="14"/>
  <c r="K89" i="14"/>
  <c r="K97" i="14"/>
  <c r="K105" i="14"/>
  <c r="K113" i="14"/>
  <c r="AW103" i="14"/>
  <c r="AW119" i="14"/>
  <c r="AV107" i="14"/>
  <c r="AV125" i="14"/>
  <c r="AV141" i="14"/>
  <c r="AV101" i="14"/>
  <c r="AW125" i="14"/>
  <c r="AW141" i="14"/>
  <c r="AW108" i="14"/>
  <c r="AV99" i="14"/>
  <c r="AW138" i="14"/>
  <c r="AV116" i="14"/>
  <c r="AV124" i="14"/>
  <c r="AW142" i="14"/>
  <c r="AU103" i="14"/>
  <c r="AW140" i="14"/>
  <c r="AW106" i="14"/>
  <c r="AU114" i="14"/>
  <c r="AU126" i="14"/>
  <c r="AU134" i="14"/>
  <c r="AU133" i="14"/>
  <c r="AW110" i="14"/>
  <c r="AV112" i="14"/>
  <c r="AV110" i="14"/>
  <c r="AU106" i="14"/>
  <c r="AU138" i="14"/>
  <c r="AW122" i="14"/>
  <c r="AU124" i="14"/>
  <c r="AW128" i="14"/>
  <c r="AU122" i="14"/>
  <c r="AU108" i="14"/>
  <c r="AW113" i="14"/>
  <c r="AU112" i="14"/>
  <c r="AU104" i="14"/>
  <c r="AU142" i="14"/>
  <c r="AW109" i="14"/>
  <c r="AV120" i="14"/>
  <c r="AV131" i="14"/>
  <c r="AV114" i="14"/>
  <c r="AW120" i="14"/>
  <c r="AW131" i="14"/>
  <c r="AV100" i="14"/>
  <c r="AV132" i="14"/>
  <c r="AU98" i="14"/>
  <c r="AV128" i="14"/>
  <c r="AU137" i="14"/>
  <c r="AV126" i="14"/>
  <c r="AW116" i="14"/>
  <c r="AU113" i="14"/>
  <c r="AW111" i="14"/>
  <c r="AV133" i="14"/>
  <c r="AV98" i="14"/>
  <c r="AW133" i="14"/>
  <c r="AV103" i="14"/>
  <c r="AU127" i="14"/>
  <c r="AU100" i="14"/>
  <c r="AU131" i="14"/>
  <c r="AU107" i="14"/>
  <c r="AW129" i="14"/>
  <c r="AW114" i="14"/>
  <c r="AW126" i="14"/>
  <c r="AW135" i="14"/>
  <c r="AV113" i="14"/>
  <c r="AU119" i="14"/>
  <c r="AU132" i="14"/>
  <c r="AW99" i="14"/>
  <c r="AW115" i="14"/>
  <c r="AU102" i="14"/>
  <c r="AV137" i="14"/>
  <c r="AW137" i="14"/>
  <c r="AV102" i="14"/>
  <c r="AW100" i="14"/>
  <c r="AV118" i="14"/>
  <c r="AW118" i="14"/>
  <c r="AV140" i="14"/>
  <c r="AV108" i="14"/>
  <c r="AV138" i="14"/>
  <c r="AV136" i="14"/>
  <c r="AW105" i="14"/>
  <c r="AW121" i="14"/>
  <c r="AU121" i="14"/>
  <c r="AV127" i="14"/>
  <c r="AU115" i="14"/>
  <c r="AW127" i="14"/>
  <c r="AW102" i="14"/>
  <c r="AU101" i="14"/>
  <c r="AV111" i="14"/>
  <c r="AV119" i="14"/>
  <c r="AV109" i="14"/>
  <c r="AU116" i="14"/>
  <c r="AW136" i="14"/>
  <c r="AU130" i="14"/>
  <c r="AW134" i="14"/>
  <c r="AW132" i="14"/>
  <c r="AU141" i="14"/>
  <c r="AV104" i="14"/>
  <c r="AW104" i="14"/>
  <c r="AU129" i="14"/>
  <c r="AU140" i="14"/>
  <c r="AU117" i="14"/>
  <c r="AU99" i="14"/>
  <c r="AV106" i="14"/>
  <c r="AV122" i="14"/>
  <c r="AU136" i="14"/>
  <c r="AW112" i="14"/>
  <c r="AU120" i="14"/>
  <c r="AU118" i="14"/>
  <c r="AV135" i="14"/>
  <c r="AW98" i="14"/>
  <c r="AW130" i="14"/>
  <c r="AV115" i="14"/>
  <c r="AU110" i="14"/>
  <c r="AU125" i="14"/>
  <c r="AU123" i="14"/>
  <c r="AW124" i="14"/>
  <c r="AV142" i="14"/>
  <c r="AW101" i="14"/>
  <c r="AW117" i="14"/>
  <c r="AV123" i="14"/>
  <c r="AV139" i="14"/>
  <c r="AV117" i="14"/>
  <c r="AW123" i="14"/>
  <c r="AW139" i="14"/>
  <c r="AV105" i="14"/>
  <c r="AV121" i="14"/>
  <c r="AU128" i="14"/>
  <c r="AU135" i="14"/>
  <c r="AU109" i="14"/>
  <c r="AU111" i="14"/>
  <c r="AV130" i="14"/>
  <c r="AU139" i="14"/>
  <c r="AV134" i="14"/>
  <c r="AW107" i="14"/>
  <c r="AU105" i="14"/>
  <c r="AV129" i="14"/>
  <c r="M111" i="14"/>
  <c r="Q92" i="14"/>
  <c r="R103" i="14"/>
  <c r="M69" i="14"/>
  <c r="M112" i="14"/>
  <c r="M68" i="14"/>
  <c r="Q77" i="14"/>
  <c r="L106" i="14"/>
  <c r="R82" i="14"/>
  <c r="R93" i="14"/>
  <c r="M67" i="14"/>
  <c r="L73" i="14"/>
  <c r="R85" i="14"/>
  <c r="R61" i="14"/>
  <c r="M98" i="14"/>
  <c r="R111" i="14"/>
  <c r="M99" i="14"/>
  <c r="Q88" i="14"/>
  <c r="M71" i="14"/>
  <c r="M70" i="14"/>
  <c r="L75" i="14"/>
  <c r="L99" i="14"/>
  <c r="M103" i="14"/>
  <c r="Q111" i="14"/>
  <c r="Q96" i="14"/>
  <c r="L84" i="14"/>
  <c r="M86" i="14"/>
  <c r="R66" i="14"/>
  <c r="Q71" i="14"/>
  <c r="R92" i="14"/>
  <c r="M72" i="14"/>
  <c r="M74" i="14"/>
  <c r="Q97" i="14"/>
  <c r="M113" i="14"/>
  <c r="L110" i="14"/>
  <c r="L111" i="14"/>
  <c r="R70" i="14"/>
  <c r="M81" i="14"/>
  <c r="M66" i="14"/>
  <c r="M75" i="14"/>
  <c r="R94" i="14"/>
  <c r="R73" i="14"/>
  <c r="Q67" i="14"/>
  <c r="R67" i="14"/>
  <c r="L81" i="14"/>
  <c r="Q83" i="14"/>
  <c r="R102" i="14"/>
  <c r="Q95" i="14"/>
  <c r="R99" i="14"/>
  <c r="L65" i="14"/>
  <c r="Q112" i="14"/>
  <c r="M65" i="14"/>
  <c r="R101" i="14"/>
  <c r="L80" i="14"/>
  <c r="Q105" i="14"/>
  <c r="L102" i="14"/>
  <c r="M79" i="14"/>
  <c r="R78" i="14"/>
  <c r="M93" i="14"/>
  <c r="R112" i="14"/>
  <c r="Q72" i="14"/>
  <c r="M84" i="14"/>
  <c r="L70" i="14"/>
  <c r="L72" i="14"/>
  <c r="M90" i="14"/>
  <c r="L88" i="14"/>
  <c r="M73" i="14"/>
  <c r="AD23" i="14"/>
  <c r="R65" i="14"/>
  <c r="R68" i="14"/>
  <c r="R83" i="14"/>
  <c r="M102" i="14"/>
  <c r="L79" i="14"/>
  <c r="M76" i="14"/>
  <c r="M104" i="14"/>
  <c r="Q79" i="14"/>
  <c r="R72" i="14"/>
  <c r="Q65" i="14"/>
  <c r="L83" i="14"/>
  <c r="R80" i="14"/>
  <c r="Q60" i="14"/>
  <c r="M97" i="14"/>
  <c r="M80" i="14"/>
  <c r="M85" i="14"/>
  <c r="Q69" i="14"/>
  <c r="L104" i="14"/>
  <c r="L78" i="14"/>
  <c r="Q110" i="14"/>
  <c r="R89" i="14"/>
  <c r="R109" i="14"/>
  <c r="M101" i="14"/>
  <c r="R76" i="14"/>
  <c r="L95" i="14"/>
  <c r="R84" i="14"/>
  <c r="M105" i="14"/>
  <c r="L112" i="14"/>
  <c r="M95" i="14"/>
  <c r="R110" i="14"/>
  <c r="Q91" i="14"/>
  <c r="L108" i="14"/>
  <c r="M64" i="14"/>
  <c r="Q94" i="14"/>
  <c r="R69" i="14"/>
  <c r="L94" i="14"/>
  <c r="R98" i="14"/>
  <c r="Q70" i="14"/>
  <c r="Q62" i="14"/>
  <c r="Q73" i="14"/>
  <c r="L69" i="14"/>
  <c r="L93" i="14"/>
  <c r="Q74" i="14"/>
  <c r="Q85" i="14"/>
  <c r="L68" i="14"/>
  <c r="Q76" i="14"/>
  <c r="M87" i="14"/>
  <c r="R75" i="14"/>
  <c r="R96" i="14"/>
  <c r="L61" i="14"/>
  <c r="R105" i="14"/>
  <c r="M107" i="14"/>
  <c r="M96" i="14"/>
  <c r="L107" i="14"/>
  <c r="Q98" i="14"/>
  <c r="Q103" i="14"/>
  <c r="L71" i="14"/>
  <c r="Q113" i="14"/>
  <c r="R60" i="14"/>
  <c r="M60" i="14"/>
  <c r="L105" i="14"/>
  <c r="L87" i="14"/>
  <c r="L77" i="14"/>
  <c r="M62" i="14"/>
  <c r="R88" i="14"/>
  <c r="M109" i="14"/>
  <c r="Q84" i="14"/>
  <c r="M83" i="14"/>
  <c r="R100" i="14"/>
  <c r="Q107" i="14"/>
  <c r="Q78" i="14"/>
  <c r="M88" i="14"/>
  <c r="R113" i="14"/>
  <c r="R71" i="14"/>
  <c r="M106" i="14"/>
  <c r="Q63" i="14"/>
  <c r="R106" i="14"/>
  <c r="Q86" i="14"/>
  <c r="M82" i="14"/>
  <c r="R86" i="14"/>
  <c r="L103" i="14"/>
  <c r="M77" i="14"/>
  <c r="L109" i="14"/>
  <c r="Q66" i="14"/>
  <c r="R90" i="14"/>
  <c r="M89" i="14"/>
  <c r="R104" i="14"/>
  <c r="R97" i="14"/>
  <c r="Q109" i="14"/>
  <c r="Q68" i="14"/>
  <c r="R108" i="14"/>
  <c r="L97" i="14"/>
  <c r="M110" i="14"/>
  <c r="L100" i="14"/>
  <c r="R81" i="14"/>
  <c r="Q104" i="14"/>
  <c r="R79" i="14"/>
  <c r="Q81" i="14"/>
  <c r="R62" i="14"/>
  <c r="M108" i="14"/>
  <c r="Q80" i="14"/>
  <c r="R63" i="14"/>
  <c r="M94" i="14"/>
  <c r="L86" i="14"/>
  <c r="Q75" i="14"/>
  <c r="L67" i="14"/>
  <c r="L91" i="14"/>
  <c r="M92" i="14"/>
  <c r="Q101" i="14"/>
  <c r="L76" i="14"/>
  <c r="R64" i="14"/>
  <c r="Q93" i="14"/>
  <c r="M61" i="14"/>
  <c r="M91" i="14"/>
  <c r="L92" i="14"/>
  <c r="L60" i="14"/>
  <c r="L63" i="14"/>
  <c r="L113" i="14"/>
  <c r="L74" i="14"/>
  <c r="L90" i="14"/>
  <c r="Q61" i="14"/>
  <c r="L66" i="14"/>
  <c r="L62" i="14"/>
  <c r="L64" i="14"/>
  <c r="R74" i="14"/>
  <c r="L98" i="14"/>
  <c r="Q100" i="14"/>
  <c r="R107" i="14"/>
  <c r="Q90" i="14"/>
  <c r="Q87" i="14"/>
  <c r="AD24" i="14"/>
  <c r="Q89" i="14"/>
  <c r="Q108" i="14"/>
  <c r="M78" i="14"/>
  <c r="M100" i="14"/>
  <c r="Q102" i="14"/>
  <c r="Q106" i="14"/>
  <c r="Q64" i="14"/>
  <c r="L82" i="14"/>
  <c r="R87" i="14"/>
  <c r="L96" i="14"/>
  <c r="L101" i="14"/>
  <c r="M63" i="14"/>
  <c r="Q82" i="14"/>
  <c r="R77" i="14"/>
  <c r="L85" i="14"/>
  <c r="R95" i="14"/>
  <c r="R91" i="14"/>
  <c r="Q99" i="14"/>
  <c r="L89" i="14"/>
  <c r="BA129" i="14" l="1"/>
  <c r="BA134" i="14"/>
  <c r="BA130" i="14"/>
  <c r="BA121" i="14"/>
  <c r="BA105" i="14"/>
  <c r="BA117" i="14"/>
  <c r="BA139" i="14"/>
  <c r="BA123" i="14"/>
  <c r="BA142" i="14"/>
  <c r="BA115" i="14"/>
  <c r="BA135" i="14"/>
  <c r="BA122" i="14"/>
  <c r="BA106" i="14"/>
  <c r="BA104" i="14"/>
  <c r="BA109" i="14"/>
  <c r="BA119" i="14"/>
  <c r="BA111" i="14"/>
  <c r="BA127" i="14"/>
  <c r="BA136" i="14"/>
  <c r="BA138" i="14"/>
  <c r="BA108" i="14"/>
  <c r="BA140" i="14"/>
  <c r="BA118" i="14"/>
  <c r="BA102" i="14"/>
  <c r="BA137" i="14"/>
  <c r="BA113" i="14"/>
  <c r="BA103" i="14"/>
  <c r="BA98" i="14"/>
  <c r="BA133" i="14"/>
  <c r="BA126" i="14"/>
  <c r="BA128" i="14"/>
  <c r="BA132" i="14"/>
  <c r="BA100" i="14"/>
  <c r="BA114" i="14"/>
  <c r="BA131" i="14"/>
  <c r="BA120" i="14"/>
  <c r="BA110" i="14"/>
  <c r="BA112" i="14"/>
  <c r="BA124" i="14"/>
  <c r="BA116" i="14"/>
  <c r="BA99" i="14"/>
  <c r="BA101" i="14"/>
  <c r="BA141" i="14"/>
  <c r="BA125" i="14"/>
  <c r="BA107" i="14"/>
  <c r="AE24" i="14"/>
  <c r="AE23" i="14"/>
  <c r="C44" i="18"/>
  <c r="C43" i="18"/>
  <c r="C42" i="18"/>
  <c r="C41" i="18"/>
  <c r="C40" i="18"/>
  <c r="C39" i="18"/>
  <c r="C38" i="18"/>
  <c r="C37" i="18"/>
  <c r="C36" i="18"/>
  <c r="C35" i="18"/>
  <c r="C34" i="18"/>
  <c r="C33" i="18"/>
  <c r="C32" i="18"/>
  <c r="C31" i="18"/>
  <c r="C30" i="18"/>
  <c r="C29" i="18"/>
  <c r="C28" i="18"/>
  <c r="C27" i="18"/>
  <c r="C26" i="18"/>
  <c r="C25" i="18"/>
  <c r="C24" i="18"/>
  <c r="C23" i="18"/>
  <c r="C22" i="18"/>
  <c r="C21" i="18"/>
  <c r="G18" i="18"/>
  <c r="G12" i="18"/>
  <c r="G9" i="18"/>
  <c r="G8" i="18"/>
  <c r="G7" i="18"/>
  <c r="G4" i="18"/>
  <c r="G3" i="18"/>
  <c r="V1" i="18"/>
  <c r="G82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H1" i="18"/>
  <c r="V1" i="17"/>
  <c r="G7" i="17"/>
  <c r="G4" i="17"/>
  <c r="G3" i="17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0" i="17"/>
  <c r="G19" i="17"/>
  <c r="G18" i="17"/>
  <c r="G17" i="17"/>
  <c r="G16" i="17"/>
  <c r="G15" i="17"/>
  <c r="G14" i="17"/>
  <c r="G13" i="17"/>
  <c r="G12" i="17"/>
  <c r="G11" i="17"/>
  <c r="G10" i="17"/>
  <c r="H1" i="17"/>
  <c r="V1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H1" i="16"/>
  <c r="G12" i="16"/>
  <c r="G9" i="16"/>
  <c r="G8" i="16"/>
  <c r="G7" i="16"/>
  <c r="G4" i="16"/>
  <c r="G3" i="15"/>
  <c r="G3" i="16"/>
  <c r="G9" i="15"/>
  <c r="G8" i="15"/>
  <c r="G7" i="15"/>
  <c r="G4" i="15"/>
  <c r="V1" i="15"/>
  <c r="G96" i="15"/>
  <c r="G95" i="15"/>
  <c r="G94" i="15"/>
  <c r="G93" i="15"/>
  <c r="G92" i="15"/>
  <c r="G91" i="15"/>
  <c r="G90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H3" i="15"/>
  <c r="H1" i="15"/>
  <c r="T1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5" i="14"/>
  <c r="E4" i="14"/>
  <c r="E3" i="14"/>
  <c r="AV52" i="14"/>
  <c r="AW94" i="14"/>
  <c r="AU69" i="14"/>
  <c r="AV90" i="14"/>
  <c r="AW74" i="14"/>
  <c r="AV77" i="14"/>
  <c r="AU84" i="14"/>
  <c r="AV81" i="14"/>
  <c r="AV85" i="14"/>
  <c r="AV78" i="14"/>
  <c r="AV63" i="14"/>
  <c r="AV91" i="14"/>
  <c r="AV66" i="14"/>
  <c r="AU76" i="14"/>
  <c r="AV86" i="14"/>
  <c r="AU97" i="14"/>
  <c r="AW85" i="14"/>
  <c r="AV54" i="14"/>
  <c r="AW57" i="14"/>
  <c r="AU86" i="14"/>
  <c r="AW69" i="14"/>
  <c r="AW68" i="14"/>
  <c r="AU85" i="14"/>
  <c r="AU56" i="14"/>
  <c r="AW52" i="14"/>
  <c r="AU65" i="14"/>
  <c r="AW82" i="14"/>
  <c r="AW61" i="14"/>
  <c r="AV84" i="14"/>
  <c r="AU74" i="14"/>
  <c r="AV53" i="14"/>
  <c r="AW73" i="14"/>
  <c r="AW65" i="14"/>
  <c r="AU66" i="14"/>
  <c r="AV73" i="14"/>
  <c r="AW77" i="14"/>
  <c r="AU54" i="14"/>
  <c r="AW86" i="14"/>
  <c r="AW67" i="14"/>
  <c r="AU93" i="14"/>
  <c r="AU81" i="14"/>
  <c r="AV94" i="14"/>
  <c r="AW87" i="14"/>
  <c r="AU78" i="14"/>
  <c r="AV71" i="14"/>
  <c r="AW83" i="14"/>
  <c r="AV64" i="14"/>
  <c r="AV89" i="14"/>
  <c r="AW80" i="14"/>
  <c r="AW58" i="14"/>
  <c r="AW81" i="14"/>
  <c r="AU80" i="14"/>
  <c r="AU89" i="14"/>
  <c r="AW75" i="14"/>
  <c r="AV79" i="14"/>
  <c r="AW84" i="14"/>
  <c r="AW78" i="14"/>
  <c r="AV75" i="14"/>
  <c r="AV68" i="14"/>
  <c r="AV95" i="14"/>
  <c r="AU64" i="14"/>
  <c r="AV76" i="14"/>
  <c r="AW54" i="14"/>
  <c r="AW93" i="14"/>
  <c r="AU67" i="14"/>
  <c r="AW89" i="14"/>
  <c r="AW71" i="14"/>
  <c r="AU96" i="14"/>
  <c r="AV57" i="14"/>
  <c r="AW63" i="14"/>
  <c r="AV87" i="14"/>
  <c r="AU88" i="14"/>
  <c r="AU61" i="14"/>
  <c r="AU70" i="14"/>
  <c r="AU68" i="14"/>
  <c r="AU75" i="14"/>
  <c r="AU83" i="14"/>
  <c r="AU57" i="14"/>
  <c r="AW95" i="14"/>
  <c r="AV62" i="14"/>
  <c r="AW76" i="14"/>
  <c r="AU53" i="14"/>
  <c r="AV72" i="14"/>
  <c r="AU71" i="14"/>
  <c r="AV88" i="14"/>
  <c r="AV74" i="14"/>
  <c r="AW70" i="14"/>
  <c r="AV80" i="14"/>
  <c r="AV70" i="14"/>
  <c r="AU55" i="14"/>
  <c r="AV65" i="14"/>
  <c r="AW64" i="14"/>
  <c r="AW72" i="14"/>
  <c r="AW79" i="14"/>
  <c r="AV56" i="14"/>
  <c r="AU90" i="14"/>
  <c r="AU77" i="14"/>
  <c r="AV59" i="14"/>
  <c r="AU87" i="14"/>
  <c r="AW96" i="14"/>
  <c r="AU58" i="14"/>
  <c r="AU82" i="14"/>
  <c r="AV93" i="14"/>
  <c r="AU60" i="14"/>
  <c r="AW59" i="14"/>
  <c r="AW56" i="14"/>
  <c r="AW62" i="14"/>
  <c r="AU52" i="14"/>
  <c r="AU79" i="14"/>
  <c r="AU73" i="14"/>
  <c r="AV69" i="14"/>
  <c r="AW88" i="14"/>
  <c r="AU72" i="14"/>
  <c r="AV55" i="14"/>
  <c r="AV82" i="14"/>
  <c r="AW60" i="14"/>
  <c r="AW66" i="14"/>
  <c r="AU63" i="14"/>
  <c r="AU92" i="14"/>
  <c r="AV67" i="14"/>
  <c r="AW55" i="14"/>
  <c r="AU91" i="14"/>
  <c r="AV97" i="14"/>
  <c r="AW53" i="14"/>
  <c r="AV96" i="14"/>
  <c r="AW97" i="14"/>
  <c r="AW91" i="14"/>
  <c r="AV58" i="14"/>
  <c r="AU94" i="14"/>
  <c r="AU95" i="14"/>
  <c r="AU62" i="14"/>
  <c r="AV92" i="14"/>
  <c r="AV60" i="14"/>
  <c r="AW90" i="14"/>
  <c r="AV83" i="14"/>
  <c r="AU59" i="14"/>
  <c r="AW92" i="14"/>
  <c r="AV61" i="14"/>
  <c r="G10" i="16"/>
  <c r="BA61" i="14" l="1"/>
  <c r="BA83" i="14"/>
  <c r="BA60" i="14"/>
  <c r="BA92" i="14"/>
  <c r="BA58" i="14"/>
  <c r="BA96" i="14"/>
  <c r="BA97" i="14"/>
  <c r="BA67" i="14"/>
  <c r="BA82" i="14"/>
  <c r="BA55" i="14"/>
  <c r="BA69" i="14"/>
  <c r="BA93" i="14"/>
  <c r="BA59" i="14"/>
  <c r="BA56" i="14"/>
  <c r="BA65" i="14"/>
  <c r="BA70" i="14"/>
  <c r="BA80" i="14"/>
  <c r="BA74" i="14"/>
  <c r="BA88" i="14"/>
  <c r="BA72" i="14"/>
  <c r="BA62" i="14"/>
  <c r="BA87" i="14"/>
  <c r="BA57" i="14"/>
  <c r="BA76" i="14"/>
  <c r="BA95" i="14"/>
  <c r="BA68" i="14"/>
  <c r="BA75" i="14"/>
  <c r="BA79" i="14"/>
  <c r="BA89" i="14"/>
  <c r="BA64" i="14"/>
  <c r="BA71" i="14"/>
  <c r="BA94" i="14"/>
  <c r="BA73" i="14"/>
  <c r="BA53" i="14"/>
  <c r="BA84" i="14"/>
  <c r="BA54" i="14"/>
  <c r="BA86" i="14"/>
  <c r="BA66" i="14"/>
  <c r="BA91" i="14"/>
  <c r="BA63" i="14"/>
  <c r="BA78" i="14"/>
  <c r="BA85" i="14"/>
  <c r="BA81" i="14"/>
  <c r="BA77" i="14"/>
  <c r="BA90" i="14"/>
  <c r="BA52" i="14"/>
  <c r="D48" i="1"/>
  <c r="I33" i="1"/>
  <c r="D33" i="1"/>
  <c r="I16" i="1"/>
  <c r="D16" i="1"/>
  <c r="AV20" i="14"/>
  <c r="AW35" i="14"/>
  <c r="AW19" i="14"/>
  <c r="AV7" i="14"/>
  <c r="AW22" i="14"/>
  <c r="AW47" i="14"/>
  <c r="AW6" i="14"/>
  <c r="AV16" i="14"/>
  <c r="AW27" i="14"/>
  <c r="AV15" i="14"/>
  <c r="AU32" i="14"/>
  <c r="AU42" i="14"/>
  <c r="AU46" i="14"/>
  <c r="AW38" i="14"/>
  <c r="AU39" i="14"/>
  <c r="AV11" i="14"/>
  <c r="AU23" i="14"/>
  <c r="AV44" i="14"/>
  <c r="AV14" i="14"/>
  <c r="AW5" i="14"/>
  <c r="AW44" i="14"/>
  <c r="AW15" i="14"/>
  <c r="AU17" i="14"/>
  <c r="AW16" i="14"/>
  <c r="AV26" i="14"/>
  <c r="AV9" i="14"/>
  <c r="AW41" i="14"/>
  <c r="AU38" i="14"/>
  <c r="AU44" i="14"/>
  <c r="AW10" i="14"/>
  <c r="AW7" i="14"/>
  <c r="AU19" i="14"/>
  <c r="AU37" i="14"/>
  <c r="AV6" i="14"/>
  <c r="AW33" i="14"/>
  <c r="AU30" i="14"/>
  <c r="AW39" i="14"/>
  <c r="AV46" i="14"/>
  <c r="AU20" i="14"/>
  <c r="AW50" i="14"/>
  <c r="AU12" i="14"/>
  <c r="AV50" i="14"/>
  <c r="AW40" i="14"/>
  <c r="AW18" i="14"/>
  <c r="AW31" i="14"/>
  <c r="AW26" i="14"/>
  <c r="AU33" i="14"/>
  <c r="AU50" i="14"/>
  <c r="AV10" i="14"/>
  <c r="AU40" i="14"/>
  <c r="AW8" i="14"/>
  <c r="AV51" i="14"/>
  <c r="AU35" i="14"/>
  <c r="AU29" i="14"/>
  <c r="AV27" i="14"/>
  <c r="AU11" i="14"/>
  <c r="AV21" i="14"/>
  <c r="AW13" i="14"/>
  <c r="AU15" i="14"/>
  <c r="AU14" i="14"/>
  <c r="AW4" i="14"/>
  <c r="AU43" i="14"/>
  <c r="AV25" i="14"/>
  <c r="AV37" i="14"/>
  <c r="AV24" i="14"/>
  <c r="AV48" i="14"/>
  <c r="AU45" i="14"/>
  <c r="AV45" i="14"/>
  <c r="AW25" i="14"/>
  <c r="AW45" i="14"/>
  <c r="AW20" i="14"/>
  <c r="AW43" i="14"/>
  <c r="AU26" i="14"/>
  <c r="AU13" i="14"/>
  <c r="AV36" i="14"/>
  <c r="AU21" i="14"/>
  <c r="AW11" i="14"/>
  <c r="AW29" i="14"/>
  <c r="AV47" i="14"/>
  <c r="AU47" i="14"/>
  <c r="AU25" i="14"/>
  <c r="AU9" i="14"/>
  <c r="AV38" i="14"/>
  <c r="AU49" i="14"/>
  <c r="AW49" i="14"/>
  <c r="AW36" i="14"/>
  <c r="AU24" i="14"/>
  <c r="AU6" i="14"/>
  <c r="AV29" i="14"/>
  <c r="AU10" i="14"/>
  <c r="AV30" i="14"/>
  <c r="AV22" i="14"/>
  <c r="AW32" i="14"/>
  <c r="AU34" i="14"/>
  <c r="AW24" i="14"/>
  <c r="AU22" i="14"/>
  <c r="AW30" i="14"/>
  <c r="AV40" i="14"/>
  <c r="AW23" i="14"/>
  <c r="AV12" i="14"/>
  <c r="AV28" i="14"/>
  <c r="AU5" i="14"/>
  <c r="AV18" i="14"/>
  <c r="AV4" i="14"/>
  <c r="AV43" i="14"/>
  <c r="AW14" i="14"/>
  <c r="AV41" i="14"/>
  <c r="AV33" i="14"/>
  <c r="AU27" i="14"/>
  <c r="AU36" i="14"/>
  <c r="AV39" i="14"/>
  <c r="AW9" i="14"/>
  <c r="AU8" i="14"/>
  <c r="AV23" i="14"/>
  <c r="AU51" i="14"/>
  <c r="AV49" i="14"/>
  <c r="AV13" i="14"/>
  <c r="AV32" i="14"/>
  <c r="AU28" i="14"/>
  <c r="AU31" i="14"/>
  <c r="AV31" i="14"/>
  <c r="AW51" i="14"/>
  <c r="AV34" i="14"/>
  <c r="AW37" i="14"/>
  <c r="AW42" i="14"/>
  <c r="AV35" i="14"/>
  <c r="AW34" i="14"/>
  <c r="AW48" i="14"/>
  <c r="AV19" i="14"/>
  <c r="AW17" i="14"/>
  <c r="AU16" i="14"/>
  <c r="AV5" i="14"/>
  <c r="AW46" i="14"/>
  <c r="AU41" i="14"/>
  <c r="AV17" i="14"/>
  <c r="AV42" i="14"/>
  <c r="AW12" i="14"/>
  <c r="AU18" i="14"/>
  <c r="AV8" i="14"/>
  <c r="AU7" i="14"/>
  <c r="AW28" i="14"/>
  <c r="AW21" i="14"/>
  <c r="AU48" i="14"/>
  <c r="AU4" i="14"/>
  <c r="BA44" i="14" l="1"/>
  <c r="BA35" i="14"/>
  <c r="BA5" i="14"/>
  <c r="BA25" i="14"/>
  <c r="BA23" i="14"/>
  <c r="BA21" i="14"/>
  <c r="BA48" i="14"/>
  <c r="BA26" i="14"/>
  <c r="BA11" i="14"/>
  <c r="BA27" i="14"/>
  <c r="BA46" i="14"/>
  <c r="BA31" i="14"/>
  <c r="BA28" i="14"/>
  <c r="BA51" i="14"/>
  <c r="BA24" i="14"/>
  <c r="BA14" i="14"/>
  <c r="BA15" i="14"/>
  <c r="BA36" i="14"/>
  <c r="BA22" i="14"/>
  <c r="BA39" i="14"/>
  <c r="BA10" i="14"/>
  <c r="BA12" i="14"/>
  <c r="BA30" i="14"/>
  <c r="BA16" i="14"/>
  <c r="BA40" i="14"/>
  <c r="BA32" i="14"/>
  <c r="BA19" i="14"/>
  <c r="BA13" i="14"/>
  <c r="BA33" i="14"/>
  <c r="BA38" i="14"/>
  <c r="BA42" i="14"/>
  <c r="BA41" i="14"/>
  <c r="BA45" i="14"/>
  <c r="BA37" i="14"/>
  <c r="BA7" i="14"/>
  <c r="BA34" i="14"/>
  <c r="BA49" i="14"/>
  <c r="BA43" i="14"/>
  <c r="BA6" i="14"/>
  <c r="BA9" i="14"/>
  <c r="BA29" i="14"/>
  <c r="BA4" i="14"/>
  <c r="BA47" i="14"/>
  <c r="BA50" i="14"/>
  <c r="BA18" i="14"/>
  <c r="BA20" i="14"/>
  <c r="BA8" i="14"/>
  <c r="BA17" i="14"/>
  <c r="J56" i="14"/>
  <c r="K56" i="14"/>
  <c r="J57" i="14"/>
  <c r="K21" i="14"/>
  <c r="K22" i="14"/>
  <c r="K24" i="14"/>
  <c r="K25" i="14"/>
  <c r="K27" i="14"/>
  <c r="K28" i="14"/>
  <c r="K30" i="14"/>
  <c r="K31" i="14"/>
  <c r="K33" i="14"/>
  <c r="K34" i="14"/>
  <c r="K35" i="14"/>
  <c r="K37" i="14"/>
  <c r="K38" i="14"/>
  <c r="K39" i="14"/>
  <c r="K41" i="14"/>
  <c r="K42" i="14"/>
  <c r="K43" i="14"/>
  <c r="K54" i="14"/>
  <c r="K4" i="14"/>
  <c r="K5" i="14"/>
  <c r="L56" i="14"/>
  <c r="M56" i="14"/>
  <c r="Q56" i="14"/>
  <c r="R56" i="14"/>
  <c r="M58" i="18" l="1"/>
  <c r="M59" i="18"/>
  <c r="M60" i="18"/>
  <c r="M61" i="18"/>
  <c r="M63" i="18"/>
  <c r="M64" i="18"/>
  <c r="M65" i="18"/>
  <c r="M66" i="18"/>
  <c r="M68" i="18"/>
  <c r="M69" i="18"/>
  <c r="M70" i="18"/>
  <c r="M71" i="18"/>
  <c r="M75" i="18"/>
  <c r="M77" i="18"/>
  <c r="L76" i="18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M43" i="18"/>
  <c r="L43" i="18"/>
  <c r="M25" i="18"/>
  <c r="M26" i="18"/>
  <c r="M28" i="18"/>
  <c r="M29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H31" i="18"/>
  <c r="H32" i="18"/>
  <c r="H33" i="18"/>
  <c r="H34" i="18"/>
  <c r="H41" i="18"/>
  <c r="H42" i="18"/>
  <c r="H44" i="18"/>
  <c r="H43" i="18"/>
  <c r="H40" i="18"/>
  <c r="H39" i="18"/>
  <c r="H23" i="18"/>
  <c r="H24" i="18"/>
  <c r="H25" i="18"/>
  <c r="H26" i="18"/>
  <c r="H27" i="18"/>
  <c r="H28" i="18"/>
  <c r="H29" i="18"/>
  <c r="H30" i="18"/>
  <c r="H35" i="18"/>
  <c r="H36" i="18"/>
  <c r="H37" i="18"/>
  <c r="H38" i="18"/>
  <c r="H21" i="18"/>
  <c r="L11" i="18"/>
  <c r="L12" i="18"/>
  <c r="L13" i="18"/>
  <c r="L14" i="18"/>
  <c r="L15" i="18"/>
  <c r="L16" i="18"/>
  <c r="L17" i="18"/>
  <c r="L18" i="18"/>
  <c r="C18" i="18"/>
  <c r="C17" i="18"/>
  <c r="C16" i="18"/>
  <c r="C15" i="18"/>
  <c r="C14" i="18"/>
  <c r="C13" i="18"/>
  <c r="H82" i="18"/>
  <c r="H81" i="18"/>
  <c r="H80" i="18"/>
  <c r="H79" i="18"/>
  <c r="H78" i="18"/>
  <c r="H77" i="18"/>
  <c r="H76" i="18"/>
  <c r="H75" i="18"/>
  <c r="H74" i="18"/>
  <c r="H73" i="18"/>
  <c r="H72" i="18"/>
  <c r="H71" i="18"/>
  <c r="H70" i="18"/>
  <c r="H69" i="18"/>
  <c r="H68" i="18"/>
  <c r="H67" i="18"/>
  <c r="H66" i="18"/>
  <c r="H65" i="18"/>
  <c r="H64" i="18"/>
  <c r="H63" i="18"/>
  <c r="H62" i="18"/>
  <c r="H61" i="18"/>
  <c r="H60" i="18"/>
  <c r="H59" i="18"/>
  <c r="H58" i="18"/>
  <c r="H57" i="18"/>
  <c r="H56" i="18"/>
  <c r="H55" i="18"/>
  <c r="H54" i="18"/>
  <c r="H53" i="18"/>
  <c r="H52" i="18"/>
  <c r="H51" i="18"/>
  <c r="H50" i="18"/>
  <c r="H49" i="18"/>
  <c r="H48" i="18"/>
  <c r="H47" i="18"/>
  <c r="H22" i="18"/>
  <c r="C12" i="18"/>
  <c r="C11" i="18"/>
  <c r="L10" i="18"/>
  <c r="C10" i="18"/>
  <c r="L9" i="18"/>
  <c r="C9" i="18"/>
  <c r="L8" i="18"/>
  <c r="C8" i="18"/>
  <c r="L7" i="18"/>
  <c r="C7" i="18"/>
  <c r="M6" i="18"/>
  <c r="L6" i="18"/>
  <c r="C6" i="18"/>
  <c r="M5" i="18"/>
  <c r="L5" i="18"/>
  <c r="C5" i="18"/>
  <c r="M4" i="18"/>
  <c r="L4" i="18"/>
  <c r="M3" i="18"/>
  <c r="L3" i="18"/>
  <c r="H12" i="18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I59" i="17"/>
  <c r="I58" i="17"/>
  <c r="I57" i="17"/>
  <c r="I56" i="17"/>
  <c r="I55" i="17"/>
  <c r="I54" i="17"/>
  <c r="I53" i="17"/>
  <c r="I52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23" i="17"/>
  <c r="H20" i="17"/>
  <c r="H19" i="17"/>
  <c r="H18" i="17"/>
  <c r="H17" i="17"/>
  <c r="H16" i="17"/>
  <c r="H15" i="17"/>
  <c r="H14" i="17"/>
  <c r="H13" i="17"/>
  <c r="H12" i="17"/>
  <c r="H11" i="17"/>
  <c r="H10" i="17"/>
  <c r="L9" i="17"/>
  <c r="L10" i="17"/>
  <c r="L11" i="17"/>
  <c r="L12" i="17"/>
  <c r="L13" i="17"/>
  <c r="L14" i="17"/>
  <c r="L15" i="17"/>
  <c r="L16" i="17"/>
  <c r="L17" i="17"/>
  <c r="L18" i="17"/>
  <c r="L19" i="17"/>
  <c r="L8" i="17"/>
  <c r="L7" i="17"/>
  <c r="C7" i="17"/>
  <c r="M6" i="17"/>
  <c r="L6" i="17"/>
  <c r="C6" i="17"/>
  <c r="M5" i="17"/>
  <c r="L5" i="17"/>
  <c r="C5" i="17"/>
  <c r="L4" i="17"/>
  <c r="M3" i="17"/>
  <c r="L3" i="17"/>
  <c r="H7" i="17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35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66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H25" i="16"/>
  <c r="H26" i="16"/>
  <c r="H27" i="16"/>
  <c r="H28" i="16"/>
  <c r="H29" i="16"/>
  <c r="H30" i="16"/>
  <c r="H31" i="16"/>
  <c r="H32" i="16"/>
  <c r="H96" i="15"/>
  <c r="H95" i="15"/>
  <c r="H94" i="15"/>
  <c r="H93" i="15"/>
  <c r="H92" i="15"/>
  <c r="H91" i="15"/>
  <c r="H90" i="15"/>
  <c r="C10" i="16"/>
  <c r="C11" i="16"/>
  <c r="C12" i="16"/>
  <c r="H24" i="16"/>
  <c r="H23" i="16"/>
  <c r="H22" i="16"/>
  <c r="H21" i="16"/>
  <c r="H20" i="16"/>
  <c r="H19" i="16"/>
  <c r="H18" i="16"/>
  <c r="H17" i="16"/>
  <c r="H16" i="16"/>
  <c r="H15" i="16"/>
  <c r="L9" i="16"/>
  <c r="C9" i="16"/>
  <c r="L8" i="16"/>
  <c r="C8" i="16"/>
  <c r="L7" i="16"/>
  <c r="C7" i="16"/>
  <c r="M6" i="16"/>
  <c r="L6" i="16"/>
  <c r="C6" i="16"/>
  <c r="M5" i="16"/>
  <c r="L5" i="16"/>
  <c r="C5" i="16"/>
  <c r="M4" i="16"/>
  <c r="L4" i="16"/>
  <c r="M3" i="16"/>
  <c r="L3" i="16"/>
  <c r="H8" i="16"/>
  <c r="H17" i="18" l="1"/>
  <c r="H13" i="18"/>
  <c r="H18" i="18"/>
  <c r="H16" i="18"/>
  <c r="H15" i="18"/>
  <c r="H14" i="18"/>
  <c r="H7" i="18"/>
  <c r="H6" i="18"/>
  <c r="H5" i="18"/>
  <c r="H9" i="18"/>
  <c r="H3" i="18"/>
  <c r="H4" i="18"/>
  <c r="H8" i="18"/>
  <c r="H10" i="18"/>
  <c r="H11" i="18"/>
  <c r="M21" i="17"/>
  <c r="M20" i="17"/>
  <c r="M45" i="17"/>
  <c r="M44" i="17"/>
  <c r="M35" i="17"/>
  <c r="M37" i="17"/>
  <c r="M52" i="17"/>
  <c r="M43" i="17"/>
  <c r="M50" i="17"/>
  <c r="M42" i="17"/>
  <c r="M34" i="17"/>
  <c r="M49" i="17"/>
  <c r="M48" i="17"/>
  <c r="M40" i="17"/>
  <c r="M32" i="17"/>
  <c r="M55" i="17"/>
  <c r="M47" i="17"/>
  <c r="M39" i="17"/>
  <c r="M38" i="17"/>
  <c r="M22" i="17"/>
  <c r="M8" i="17"/>
  <c r="H6" i="17"/>
  <c r="H3" i="17"/>
  <c r="H4" i="17"/>
  <c r="H5" i="17"/>
  <c r="M29" i="16"/>
  <c r="M28" i="16"/>
  <c r="M27" i="16"/>
  <c r="M26" i="16"/>
  <c r="M23" i="16"/>
  <c r="M30" i="16"/>
  <c r="M49" i="16"/>
  <c r="M57" i="16"/>
  <c r="M56" i="16"/>
  <c r="M47" i="16"/>
  <c r="M54" i="16"/>
  <c r="M46" i="16"/>
  <c r="M52" i="16"/>
  <c r="M44" i="16"/>
  <c r="M59" i="16"/>
  <c r="M51" i="16"/>
  <c r="M31" i="16"/>
  <c r="H11" i="16"/>
  <c r="H12" i="16"/>
  <c r="H10" i="16"/>
  <c r="H4" i="16"/>
  <c r="H9" i="16"/>
  <c r="H3" i="16"/>
  <c r="H7" i="16"/>
  <c r="H6" i="16"/>
  <c r="H5" i="16"/>
  <c r="L83" i="15"/>
  <c r="L84" i="15"/>
  <c r="L85" i="15"/>
  <c r="L86" i="15"/>
  <c r="L87" i="15"/>
  <c r="L88" i="15"/>
  <c r="L82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44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H86" i="15"/>
  <c r="H87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4" i="15"/>
  <c r="H9" i="15"/>
  <c r="C6" i="15"/>
  <c r="C7" i="15"/>
  <c r="C8" i="15"/>
  <c r="C9" i="15"/>
  <c r="C5" i="15"/>
  <c r="L3" i="15"/>
  <c r="J7" i="14"/>
  <c r="J8" i="14"/>
  <c r="J9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50" i="14"/>
  <c r="J51" i="14"/>
  <c r="J52" i="14"/>
  <c r="J53" i="14"/>
  <c r="J54" i="14"/>
  <c r="J55" i="14"/>
  <c r="J6" i="14"/>
  <c r="J4" i="14"/>
  <c r="J5" i="14"/>
  <c r="J3" i="14"/>
  <c r="F5" i="14"/>
  <c r="F4" i="14"/>
  <c r="F3" i="14"/>
  <c r="F61" i="14"/>
  <c r="F60" i="14"/>
  <c r="F59" i="14"/>
  <c r="F58" i="14"/>
  <c r="F57" i="14"/>
  <c r="F56" i="14"/>
  <c r="F55" i="14"/>
  <c r="F54" i="14"/>
  <c r="F53" i="14"/>
  <c r="F52" i="14"/>
  <c r="F51" i="14"/>
  <c r="F50" i="14"/>
  <c r="F49" i="14"/>
  <c r="F48" i="14"/>
  <c r="F47" i="14"/>
  <c r="F46" i="14"/>
  <c r="F45" i="14"/>
  <c r="F44" i="14"/>
  <c r="F43" i="14"/>
  <c r="F42" i="14"/>
  <c r="F41" i="14"/>
  <c r="F40" i="14"/>
  <c r="F39" i="14"/>
  <c r="F38" i="14"/>
  <c r="F37" i="14"/>
  <c r="F36" i="14"/>
  <c r="F35" i="14"/>
  <c r="F34" i="14"/>
  <c r="F33" i="14"/>
  <c r="F32" i="14"/>
  <c r="F31" i="14"/>
  <c r="F30" i="14"/>
  <c r="F29" i="14"/>
  <c r="F28" i="14"/>
  <c r="F27" i="14"/>
  <c r="F26" i="14"/>
  <c r="F25" i="14"/>
  <c r="F24" i="14"/>
  <c r="F23" i="14"/>
  <c r="F22" i="14"/>
  <c r="F21" i="14"/>
  <c r="F20" i="14"/>
  <c r="F19" i="14"/>
  <c r="F18" i="14"/>
  <c r="F17" i="14"/>
  <c r="F16" i="14"/>
  <c r="F15" i="14"/>
  <c r="F14" i="14"/>
  <c r="F13" i="14"/>
  <c r="F12" i="14"/>
  <c r="F11" i="14"/>
  <c r="F10" i="14"/>
  <c r="F9" i="14"/>
  <c r="F8" i="14"/>
  <c r="M14" i="18" l="1"/>
  <c r="M16" i="18"/>
  <c r="M13" i="18"/>
  <c r="M17" i="18"/>
  <c r="M4" i="15"/>
  <c r="M10" i="15"/>
  <c r="M17" i="15"/>
  <c r="M15" i="15"/>
  <c r="M14" i="15"/>
  <c r="M13" i="15"/>
  <c r="M20" i="15"/>
  <c r="M12" i="15"/>
  <c r="M18" i="15"/>
  <c r="M16" i="15"/>
  <c r="M21" i="15"/>
  <c r="M19" i="15"/>
  <c r="M11" i="15"/>
  <c r="M44" i="15"/>
  <c r="M45" i="15"/>
  <c r="M46" i="15"/>
  <c r="M47" i="15"/>
  <c r="M48" i="15"/>
  <c r="M57" i="15"/>
  <c r="M75" i="15"/>
  <c r="M59" i="15"/>
  <c r="M74" i="15"/>
  <c r="M73" i="15"/>
  <c r="M65" i="15"/>
  <c r="M72" i="15"/>
  <c r="M64" i="15"/>
  <c r="M79" i="15"/>
  <c r="M63" i="15"/>
  <c r="M70" i="15"/>
  <c r="M62" i="15"/>
  <c r="M77" i="15"/>
  <c r="M69" i="15"/>
  <c r="M68" i="15"/>
  <c r="M60" i="15"/>
  <c r="M67" i="15"/>
  <c r="M84" i="15"/>
  <c r="M86" i="15"/>
  <c r="M87" i="15"/>
  <c r="M83" i="15"/>
  <c r="M85" i="15"/>
  <c r="M88" i="15"/>
  <c r="H8" i="15"/>
  <c r="H7" i="15"/>
  <c r="H5" i="15"/>
  <c r="H6" i="15"/>
  <c r="I8" i="1"/>
  <c r="M6" i="15" l="1"/>
  <c r="M3" i="15"/>
  <c r="M5" i="15"/>
  <c r="D7" i="1"/>
  <c r="J57" i="17"/>
  <c r="AD18" i="14"/>
  <c r="M53" i="17" l="1"/>
  <c r="M19" i="17"/>
  <c r="M16" i="17"/>
  <c r="M13" i="17"/>
  <c r="M17" i="17"/>
  <c r="M14" i="17"/>
  <c r="M11" i="17"/>
  <c r="M10" i="17"/>
  <c r="M58" i="16"/>
  <c r="M65" i="16"/>
  <c r="M43" i="16"/>
  <c r="M53" i="16"/>
  <c r="M41" i="16"/>
  <c r="M63" i="16"/>
  <c r="M48" i="16"/>
  <c r="C29" i="14" l="1"/>
  <c r="C26" i="14"/>
  <c r="C58" i="14"/>
  <c r="C49" i="14"/>
  <c r="C56" i="14"/>
  <c r="C44" i="14"/>
  <c r="C27" i="14"/>
  <c r="C46" i="14"/>
  <c r="C48" i="14"/>
  <c r="C30" i="14"/>
  <c r="C61" i="14"/>
  <c r="C33" i="14"/>
  <c r="C59" i="14"/>
  <c r="C52" i="14"/>
  <c r="C57" i="14"/>
  <c r="C38" i="14"/>
  <c r="C60" i="14"/>
  <c r="C41" i="14"/>
  <c r="C55" i="14"/>
  <c r="C53" i="14"/>
  <c r="C35" i="14"/>
  <c r="C40" i="14"/>
  <c r="C47" i="14"/>
  <c r="C42" i="14"/>
  <c r="C50" i="14"/>
  <c r="C25" i="14"/>
  <c r="C32" i="14"/>
  <c r="C39" i="14"/>
  <c r="C45" i="14"/>
  <c r="C28" i="14"/>
  <c r="C36" i="14"/>
  <c r="C24" i="14"/>
  <c r="C31" i="14"/>
  <c r="C34" i="14"/>
  <c r="C54" i="14"/>
  <c r="C51" i="14"/>
  <c r="C23" i="14"/>
  <c r="C43" i="14"/>
  <c r="C37" i="14"/>
  <c r="O41" i="18"/>
  <c r="J82" i="18"/>
  <c r="J15" i="16"/>
  <c r="N3" i="17"/>
  <c r="N23" i="16"/>
  <c r="N16" i="18"/>
  <c r="S49" i="16"/>
  <c r="S4" i="16"/>
  <c r="S67" i="15"/>
  <c r="N84" i="15"/>
  <c r="J76" i="18"/>
  <c r="Q39" i="14"/>
  <c r="T29" i="18"/>
  <c r="O48" i="17"/>
  <c r="N70" i="15"/>
  <c r="J32" i="17"/>
  <c r="S77" i="15"/>
  <c r="S13" i="15"/>
  <c r="O4" i="18"/>
  <c r="O64" i="15"/>
  <c r="S23" i="16"/>
  <c r="T47" i="17"/>
  <c r="S74" i="15"/>
  <c r="M28" i="14"/>
  <c r="S4" i="15"/>
  <c r="T16" i="18"/>
  <c r="T3" i="18"/>
  <c r="S59" i="18"/>
  <c r="N44" i="15"/>
  <c r="N48" i="15"/>
  <c r="S65" i="18"/>
  <c r="L39" i="14"/>
  <c r="S3" i="17"/>
  <c r="N60" i="15"/>
  <c r="O3" i="17"/>
  <c r="S3" i="18"/>
  <c r="J59" i="16"/>
  <c r="S27" i="16"/>
  <c r="T27" i="16"/>
  <c r="J67" i="15"/>
  <c r="N47" i="16"/>
  <c r="T48" i="17"/>
  <c r="Q30" i="14"/>
  <c r="O46" i="16"/>
  <c r="N14" i="15"/>
  <c r="J22" i="18"/>
  <c r="T77" i="18"/>
  <c r="J84" i="15"/>
  <c r="J38" i="16"/>
  <c r="N69" i="18"/>
  <c r="S62" i="15"/>
  <c r="S6" i="15"/>
  <c r="S43" i="18"/>
  <c r="J55" i="17"/>
  <c r="J56" i="18"/>
  <c r="J66" i="16"/>
  <c r="T11" i="15"/>
  <c r="T71" i="18"/>
  <c r="N63" i="18"/>
  <c r="S46" i="15"/>
  <c r="O5" i="18"/>
  <c r="N26" i="18"/>
  <c r="O86" i="15"/>
  <c r="N29" i="18"/>
  <c r="Q28" i="14"/>
  <c r="T41" i="18"/>
  <c r="S68" i="15"/>
  <c r="S70" i="15"/>
  <c r="N54" i="16"/>
  <c r="O83" i="15"/>
  <c r="S70" i="18"/>
  <c r="T17" i="18"/>
  <c r="O28" i="16"/>
  <c r="T45" i="15"/>
  <c r="J78" i="18"/>
  <c r="N14" i="18"/>
  <c r="T59" i="18"/>
  <c r="S13" i="18"/>
  <c r="T69" i="18"/>
  <c r="O79" i="15"/>
  <c r="M24" i="14"/>
  <c r="N56" i="16"/>
  <c r="O58" i="18"/>
  <c r="T75" i="18"/>
  <c r="J60" i="18"/>
  <c r="J22" i="16"/>
  <c r="S21" i="15"/>
  <c r="G5" i="15"/>
  <c r="T68" i="15"/>
  <c r="AD22" i="14"/>
  <c r="J17" i="17"/>
  <c r="Q34" i="14"/>
  <c r="O57" i="16"/>
  <c r="O31" i="18"/>
  <c r="J82" i="15"/>
  <c r="S44" i="16"/>
  <c r="S8" i="17"/>
  <c r="L28" i="14"/>
  <c r="S6" i="18"/>
  <c r="O26" i="18"/>
  <c r="T52" i="17"/>
  <c r="T72" i="15"/>
  <c r="J19" i="16"/>
  <c r="O47" i="16"/>
  <c r="O60" i="18"/>
  <c r="J43" i="16"/>
  <c r="O49" i="16"/>
  <c r="J34" i="17"/>
  <c r="S63" i="15"/>
  <c r="S54" i="16"/>
  <c r="S31" i="16"/>
  <c r="O70" i="18"/>
  <c r="J70" i="16"/>
  <c r="S84" i="15"/>
  <c r="O17" i="15"/>
  <c r="S18" i="15"/>
  <c r="J39" i="16"/>
  <c r="N64" i="18"/>
  <c r="O3" i="18"/>
  <c r="R28" i="14"/>
  <c r="N61" i="18"/>
  <c r="T4" i="15"/>
  <c r="J37" i="16"/>
  <c r="T4" i="16"/>
  <c r="J87" i="15"/>
  <c r="T25" i="18"/>
  <c r="S20" i="17"/>
  <c r="G14" i="18"/>
  <c r="N74" i="15"/>
  <c r="N19" i="15"/>
  <c r="S88" i="15"/>
  <c r="O16" i="15"/>
  <c r="N86" i="15"/>
  <c r="T66" i="18"/>
  <c r="O70" i="15"/>
  <c r="T63" i="18"/>
  <c r="O65" i="18"/>
  <c r="J23" i="16"/>
  <c r="J50" i="17"/>
  <c r="N6" i="16"/>
  <c r="N27" i="16"/>
  <c r="S5" i="16"/>
  <c r="N87" i="15"/>
  <c r="S86" i="15"/>
  <c r="R24" i="14"/>
  <c r="T44" i="16"/>
  <c r="J26" i="16"/>
  <c r="T68" i="18"/>
  <c r="N65" i="15"/>
  <c r="T47" i="16"/>
  <c r="S25" i="18"/>
  <c r="N60" i="18"/>
  <c r="R21" i="14"/>
  <c r="N17" i="15"/>
  <c r="Q35" i="14"/>
  <c r="T43" i="18"/>
  <c r="T79" i="15"/>
  <c r="O44" i="15"/>
  <c r="J35" i="17"/>
  <c r="J25" i="18"/>
  <c r="J42" i="16"/>
  <c r="G6" i="16"/>
  <c r="N77" i="18"/>
  <c r="R39" i="14"/>
  <c r="N57" i="15"/>
  <c r="L34" i="14"/>
  <c r="J36" i="16"/>
  <c r="L30" i="14"/>
  <c r="N63" i="15"/>
  <c r="T10" i="15"/>
  <c r="N88" i="15"/>
  <c r="S48" i="17"/>
  <c r="S49" i="17"/>
  <c r="T46" i="15"/>
  <c r="S73" i="15"/>
  <c r="M39" i="14"/>
  <c r="N72" i="15"/>
  <c r="G13" i="18"/>
  <c r="T26" i="18"/>
  <c r="T8" i="17"/>
  <c r="O65" i="15"/>
  <c r="O49" i="17"/>
  <c r="J24" i="18"/>
  <c r="O13" i="18"/>
  <c r="O20" i="15"/>
  <c r="G11" i="18"/>
  <c r="T5" i="17"/>
  <c r="O17" i="18"/>
  <c r="M25" i="14"/>
  <c r="T21" i="15"/>
  <c r="N4" i="15"/>
  <c r="J59" i="18"/>
  <c r="J21" i="18"/>
  <c r="O67" i="15"/>
  <c r="M30" i="14"/>
  <c r="S57" i="15"/>
  <c r="G6" i="17"/>
  <c r="N64" i="15"/>
  <c r="T31" i="16"/>
  <c r="T18" i="15"/>
  <c r="T5" i="16"/>
  <c r="O5" i="17"/>
  <c r="N70" i="18"/>
  <c r="S6" i="17"/>
  <c r="S52" i="17"/>
  <c r="L38" i="14"/>
  <c r="S48" i="15"/>
  <c r="S71" i="18"/>
  <c r="S29" i="18"/>
  <c r="R27" i="14"/>
  <c r="T29" i="16"/>
  <c r="N65" i="18"/>
  <c r="L25" i="14"/>
  <c r="O8" i="17"/>
  <c r="J9" i="15"/>
  <c r="T15" i="15"/>
  <c r="J11" i="17"/>
  <c r="J14" i="17"/>
  <c r="N3" i="15"/>
  <c r="S41" i="18"/>
  <c r="N13" i="15"/>
  <c r="S17" i="18"/>
  <c r="S57" i="16"/>
  <c r="N28" i="16"/>
  <c r="T20" i="17"/>
  <c r="S65" i="15"/>
  <c r="N49" i="16"/>
  <c r="T65" i="18"/>
  <c r="J72" i="15"/>
  <c r="J61" i="18"/>
  <c r="S44" i="17"/>
  <c r="M27" i="14"/>
  <c r="N21" i="17"/>
  <c r="N5" i="16"/>
  <c r="T57" i="16"/>
  <c r="N75" i="18"/>
  <c r="O6" i="16"/>
  <c r="T59" i="16"/>
  <c r="S15" i="15"/>
  <c r="J55" i="18"/>
  <c r="N62" i="15"/>
  <c r="S59" i="15"/>
  <c r="N4" i="16"/>
  <c r="G5" i="17"/>
  <c r="O44" i="17"/>
  <c r="T64" i="18"/>
  <c r="O11" i="15"/>
  <c r="O18" i="15"/>
  <c r="O19" i="15"/>
  <c r="J31" i="17"/>
  <c r="N52" i="16"/>
  <c r="T14" i="15"/>
  <c r="O25" i="18"/>
  <c r="J58" i="18"/>
  <c r="T52" i="16"/>
  <c r="O69" i="15"/>
  <c r="T14" i="18"/>
  <c r="N6" i="17"/>
  <c r="O3" i="15"/>
  <c r="J57" i="18"/>
  <c r="S68" i="18"/>
  <c r="S19" i="15"/>
  <c r="O5" i="15"/>
  <c r="N44" i="16"/>
  <c r="T6" i="16"/>
  <c r="T13" i="15"/>
  <c r="S16" i="18"/>
  <c r="N31" i="18"/>
  <c r="N44" i="17"/>
  <c r="O69" i="18"/>
  <c r="S17" i="15"/>
  <c r="J29" i="17"/>
  <c r="N69" i="15"/>
  <c r="N51" i="16"/>
  <c r="T3" i="17"/>
  <c r="L22" i="14"/>
  <c r="J65" i="16"/>
  <c r="G15" i="18"/>
  <c r="J20" i="16"/>
  <c r="M38" i="14"/>
  <c r="J68" i="16"/>
  <c r="N17" i="18"/>
  <c r="M21" i="14"/>
  <c r="G10" i="18"/>
  <c r="Q21" i="14"/>
  <c r="N8" i="17"/>
  <c r="R25" i="14"/>
  <c r="N41" i="18"/>
  <c r="G16" i="18"/>
  <c r="J66" i="18"/>
  <c r="T31" i="18"/>
  <c r="R34" i="14"/>
  <c r="N59" i="16"/>
  <c r="O74" i="15"/>
  <c r="S85" i="15"/>
  <c r="J54" i="18"/>
  <c r="J24" i="16"/>
  <c r="T19" i="15"/>
  <c r="S4" i="18"/>
  <c r="O29" i="16"/>
  <c r="T6" i="17"/>
  <c r="T12" i="15"/>
  <c r="O31" i="16"/>
  <c r="T6" i="15"/>
  <c r="N45" i="15"/>
  <c r="T23" i="16"/>
  <c r="N25" i="18"/>
  <c r="O47" i="17"/>
  <c r="J60" i="15"/>
  <c r="J28" i="17"/>
  <c r="J62" i="15"/>
  <c r="O26" i="16"/>
  <c r="O4" i="16"/>
  <c r="S46" i="16"/>
  <c r="J46" i="16"/>
  <c r="M34" i="14"/>
  <c r="N16" i="15"/>
  <c r="J49" i="18"/>
  <c r="S47" i="17"/>
  <c r="O47" i="15"/>
  <c r="O10" i="15"/>
  <c r="J41" i="16"/>
  <c r="O75" i="15"/>
  <c r="J40" i="16"/>
  <c r="N47" i="17"/>
  <c r="O48" i="15"/>
  <c r="J50" i="18"/>
  <c r="T4" i="18"/>
  <c r="O44" i="16"/>
  <c r="S5" i="15"/>
  <c r="N30" i="16"/>
  <c r="J18" i="18"/>
  <c r="S5" i="18"/>
  <c r="L31" i="14"/>
  <c r="Q22" i="14"/>
  <c r="R22" i="14"/>
  <c r="N18" i="15"/>
  <c r="J33" i="17"/>
  <c r="T83" i="15"/>
  <c r="S77" i="18"/>
  <c r="L35" i="14"/>
  <c r="T70" i="15"/>
  <c r="S64" i="18"/>
  <c r="J12" i="16"/>
  <c r="N29" i="16"/>
  <c r="N5" i="18"/>
  <c r="J10" i="16"/>
  <c r="J8" i="18"/>
  <c r="O3" i="16"/>
  <c r="N48" i="17"/>
  <c r="O63" i="18"/>
  <c r="T48" i="15"/>
  <c r="O59" i="15"/>
  <c r="T63" i="15"/>
  <c r="S60" i="18"/>
  <c r="J23" i="18"/>
  <c r="G17" i="18"/>
  <c r="J48" i="18"/>
  <c r="J64" i="15"/>
  <c r="J9" i="16"/>
  <c r="O6" i="15"/>
  <c r="N59" i="15"/>
  <c r="J20" i="17"/>
  <c r="M35" i="14"/>
  <c r="S79" i="15"/>
  <c r="S29" i="16"/>
  <c r="J12" i="18"/>
  <c r="M22" i="14"/>
  <c r="T84" i="15"/>
  <c r="L21" i="14"/>
  <c r="S45" i="15"/>
  <c r="O61" i="18"/>
  <c r="N73" i="15"/>
  <c r="J57" i="15"/>
  <c r="J56" i="15"/>
  <c r="J80" i="18"/>
  <c r="J40" i="17"/>
  <c r="O51" i="16"/>
  <c r="T62" i="15"/>
  <c r="S75" i="15"/>
  <c r="J7" i="16"/>
  <c r="G5" i="16"/>
  <c r="S72" i="15"/>
  <c r="O27" i="16"/>
  <c r="T73" i="15"/>
  <c r="J59" i="15"/>
  <c r="S60" i="15"/>
  <c r="G6" i="18"/>
  <c r="T30" i="16"/>
  <c r="T21" i="17"/>
  <c r="N20" i="15"/>
  <c r="O6" i="17"/>
  <c r="T16" i="15"/>
  <c r="O85" i="15"/>
  <c r="N3" i="16"/>
  <c r="O77" i="15"/>
  <c r="O60" i="15"/>
  <c r="J71" i="18"/>
  <c r="O72" i="15"/>
  <c r="O56" i="16"/>
  <c r="H3" i="14"/>
  <c r="T5" i="15"/>
  <c r="N66" i="18"/>
  <c r="S44" i="15"/>
  <c r="N43" i="18"/>
  <c r="N4" i="18"/>
  <c r="J44" i="16"/>
  <c r="J58" i="15"/>
  <c r="T74" i="15"/>
  <c r="O4" i="15"/>
  <c r="T65" i="15"/>
  <c r="N12" i="15"/>
  <c r="J18" i="16"/>
  <c r="S58" i="18"/>
  <c r="T17" i="15"/>
  <c r="O57" i="15"/>
  <c r="R31" i="14"/>
  <c r="J51" i="18"/>
  <c r="T77" i="15"/>
  <c r="T85" i="15"/>
  <c r="J55" i="15"/>
  <c r="S52" i="16"/>
  <c r="N58" i="18"/>
  <c r="S75" i="18"/>
  <c r="O43" i="18"/>
  <c r="N46" i="15"/>
  <c r="T57" i="15"/>
  <c r="N71" i="18"/>
  <c r="G6" i="15"/>
  <c r="O16" i="18"/>
  <c r="N75" i="15"/>
  <c r="O77" i="18"/>
  <c r="O87" i="15"/>
  <c r="O14" i="18"/>
  <c r="O71" i="18"/>
  <c r="T28" i="16"/>
  <c r="J64" i="16"/>
  <c r="R35" i="14"/>
  <c r="N11" i="15"/>
  <c r="J53" i="18"/>
  <c r="S69" i="18"/>
  <c r="O68" i="15"/>
  <c r="O6" i="18"/>
  <c r="T54" i="16"/>
  <c r="S3" i="15"/>
  <c r="T59" i="15"/>
  <c r="G5" i="18"/>
  <c r="T49" i="16"/>
  <c r="S26" i="18"/>
  <c r="S11" i="15"/>
  <c r="S21" i="17"/>
  <c r="L27" i="14"/>
  <c r="N85" i="15"/>
  <c r="O62" i="15"/>
  <c r="T56" i="16"/>
  <c r="O84" i="15"/>
  <c r="N57" i="16"/>
  <c r="T46" i="16"/>
  <c r="O23" i="16"/>
  <c r="S10" i="15"/>
  <c r="O5" i="16"/>
  <c r="S5" i="17"/>
  <c r="O54" i="16"/>
  <c r="T28" i="18"/>
  <c r="T75" i="15"/>
  <c r="N67" i="15"/>
  <c r="J7" i="15"/>
  <c r="J27" i="17"/>
  <c r="T13" i="18"/>
  <c r="O46" i="15"/>
  <c r="S12" i="15"/>
  <c r="N31" i="16"/>
  <c r="S20" i="15"/>
  <c r="T6" i="18"/>
  <c r="T70" i="18"/>
  <c r="Q27" i="14"/>
  <c r="O45" i="15"/>
  <c r="S59" i="16"/>
  <c r="T60" i="15"/>
  <c r="J45" i="17"/>
  <c r="J58" i="17"/>
  <c r="J29" i="18"/>
  <c r="O59" i="16"/>
  <c r="N10" i="15"/>
  <c r="T51" i="16"/>
  <c r="O21" i="15"/>
  <c r="N21" i="15"/>
  <c r="Q24" i="14"/>
  <c r="J77" i="18"/>
  <c r="O68" i="18"/>
  <c r="O52" i="16"/>
  <c r="N3" i="18"/>
  <c r="J61" i="15"/>
  <c r="L24" i="14"/>
  <c r="J77" i="15"/>
  <c r="T44" i="15"/>
  <c r="S6" i="16"/>
  <c r="S14" i="18"/>
  <c r="O20" i="17"/>
  <c r="N68" i="18"/>
  <c r="N6" i="18"/>
  <c r="T67" i="15"/>
  <c r="N5" i="17"/>
  <c r="S61" i="18"/>
  <c r="J49" i="16"/>
  <c r="J8" i="15"/>
  <c r="J86" i="15"/>
  <c r="T58" i="18"/>
  <c r="T86" i="15"/>
  <c r="S14" i="15"/>
  <c r="O66" i="18"/>
  <c r="N59" i="18"/>
  <c r="O75" i="18"/>
  <c r="R38" i="14"/>
  <c r="T61" i="18"/>
  <c r="O13" i="15"/>
  <c r="O29" i="18"/>
  <c r="J21" i="16"/>
  <c r="N13" i="18"/>
  <c r="N68" i="15"/>
  <c r="S31" i="18"/>
  <c r="J16" i="16"/>
  <c r="T87" i="15"/>
  <c r="O30" i="16"/>
  <c r="N83" i="15"/>
  <c r="O64" i="18"/>
  <c r="G11" i="16"/>
  <c r="T88" i="15"/>
  <c r="N20" i="17"/>
  <c r="T5" i="18"/>
  <c r="M31" i="14"/>
  <c r="S69" i="15"/>
  <c r="O12" i="15"/>
  <c r="Q25" i="14"/>
  <c r="J7" i="17"/>
  <c r="N49" i="17"/>
  <c r="J52" i="18"/>
  <c r="J7" i="18"/>
  <c r="S30" i="16"/>
  <c r="T64" i="15"/>
  <c r="J9" i="18"/>
  <c r="O88" i="15"/>
  <c r="S28" i="16"/>
  <c r="T20" i="15"/>
  <c r="N47" i="15"/>
  <c r="O15" i="15"/>
  <c r="T3" i="16"/>
  <c r="O63" i="15"/>
  <c r="J26" i="18"/>
  <c r="O28" i="18"/>
  <c r="N26" i="16"/>
  <c r="O52" i="17"/>
  <c r="S28" i="18"/>
  <c r="S47" i="16"/>
  <c r="J27" i="16"/>
  <c r="Q31" i="14"/>
  <c r="N52" i="17"/>
  <c r="N5" i="15"/>
  <c r="N28" i="18"/>
  <c r="S66" i="18"/>
  <c r="N46" i="16"/>
  <c r="J8" i="16"/>
  <c r="T3" i="15"/>
  <c r="T47" i="15"/>
  <c r="J54" i="16"/>
  <c r="S26" i="16"/>
  <c r="T69" i="15"/>
  <c r="J37" i="17"/>
  <c r="T60" i="18"/>
  <c r="S87" i="15"/>
  <c r="T49" i="17"/>
  <c r="Q38" i="14"/>
  <c r="N15" i="15"/>
  <c r="O59" i="18"/>
  <c r="S16" i="15"/>
  <c r="J30" i="17"/>
  <c r="O14" i="15"/>
  <c r="S64" i="15"/>
  <c r="S56" i="16"/>
  <c r="J4" i="17"/>
  <c r="N77" i="15"/>
  <c r="R30" i="14"/>
  <c r="S47" i="15"/>
  <c r="S63" i="18"/>
  <c r="N6" i="15"/>
  <c r="S83" i="15"/>
  <c r="N79" i="15"/>
  <c r="S3" i="16"/>
  <c r="O21" i="17"/>
  <c r="T26" i="16"/>
  <c r="O73" i="15"/>
  <c r="J32" i="18"/>
  <c r="J17" i="16"/>
  <c r="T44" i="17"/>
  <c r="S51" i="16"/>
  <c r="M15" i="16" l="1"/>
  <c r="M30" i="18"/>
  <c r="M4" i="17"/>
  <c r="M26" i="17"/>
  <c r="M33" i="17"/>
  <c r="M50" i="16"/>
  <c r="M8" i="16"/>
  <c r="M25" i="16"/>
  <c r="M24" i="18"/>
  <c r="M9" i="18"/>
  <c r="M7" i="18"/>
  <c r="M48" i="18"/>
  <c r="M7" i="17"/>
  <c r="M14" i="16"/>
  <c r="M19" i="16"/>
  <c r="M80" i="15"/>
  <c r="M8" i="15"/>
  <c r="M45" i="16"/>
  <c r="M71" i="15"/>
  <c r="M55" i="15"/>
  <c r="M73" i="18"/>
  <c r="M27" i="18"/>
  <c r="M54" i="17"/>
  <c r="M41" i="17"/>
  <c r="M23" i="17"/>
  <c r="M7" i="15"/>
  <c r="M49" i="18"/>
  <c r="M60" i="16"/>
  <c r="M49" i="15"/>
  <c r="M47" i="18"/>
  <c r="M16" i="16"/>
  <c r="M52" i="15"/>
  <c r="M40" i="16"/>
  <c r="K3" i="14"/>
  <c r="M67" i="18"/>
  <c r="M53" i="15"/>
  <c r="M7" i="16"/>
  <c r="M36" i="17"/>
  <c r="M76" i="18"/>
  <c r="M50" i="15"/>
  <c r="M51" i="15"/>
  <c r="M12" i="18"/>
  <c r="M18" i="17"/>
  <c r="M9" i="16"/>
  <c r="M58" i="15"/>
  <c r="M44" i="18"/>
  <c r="M21" i="18"/>
  <c r="M8" i="18"/>
  <c r="M10" i="16"/>
  <c r="M12" i="16"/>
  <c r="M29" i="17"/>
  <c r="M18" i="18"/>
  <c r="M46" i="18"/>
  <c r="M36" i="16"/>
  <c r="M37" i="16"/>
  <c r="M45" i="18"/>
  <c r="M42" i="16"/>
  <c r="M56" i="15"/>
  <c r="M24" i="17"/>
  <c r="M54" i="15"/>
  <c r="M22" i="16"/>
  <c r="M50" i="18"/>
  <c r="M62" i="18"/>
  <c r="M64" i="16"/>
  <c r="M18" i="16"/>
  <c r="M61" i="16"/>
  <c r="M25" i="17"/>
  <c r="M53" i="18"/>
  <c r="M54" i="18"/>
  <c r="M27" i="17"/>
  <c r="M51" i="18"/>
  <c r="M57" i="18"/>
  <c r="M66" i="15"/>
  <c r="M12" i="17"/>
  <c r="M9" i="17"/>
  <c r="M9" i="15"/>
  <c r="M19" i="18"/>
  <c r="M55" i="18"/>
  <c r="M22" i="18"/>
  <c r="M32" i="16"/>
  <c r="M38" i="16"/>
  <c r="M23" i="18"/>
  <c r="M31" i="17"/>
  <c r="M24" i="16"/>
  <c r="M46" i="17"/>
  <c r="M21" i="16"/>
  <c r="M81" i="15"/>
  <c r="M33" i="16"/>
  <c r="M35" i="16"/>
  <c r="M66" i="16"/>
  <c r="M30" i="17"/>
  <c r="M39" i="16"/>
  <c r="M17" i="16"/>
  <c r="M76" i="15"/>
  <c r="M15" i="17"/>
  <c r="M20" i="16"/>
  <c r="M56" i="18"/>
  <c r="M74" i="18"/>
  <c r="M62" i="16"/>
  <c r="M52" i="18"/>
  <c r="M51" i="17"/>
  <c r="M34" i="16"/>
  <c r="M78" i="15"/>
  <c r="M20" i="18"/>
  <c r="M61" i="15"/>
  <c r="M55" i="16"/>
  <c r="M28" i="17"/>
  <c r="M72" i="18"/>
  <c r="M13" i="16"/>
  <c r="M78" i="18"/>
  <c r="C11" i="14"/>
  <c r="C14" i="14"/>
  <c r="C16" i="14"/>
  <c r="C13" i="14"/>
  <c r="C21" i="14"/>
  <c r="C12" i="14"/>
  <c r="C17" i="14"/>
  <c r="C15" i="14"/>
  <c r="C18" i="14"/>
  <c r="C20" i="14"/>
  <c r="C10" i="14"/>
  <c r="C8" i="14"/>
  <c r="C22" i="14"/>
  <c r="C19" i="14"/>
  <c r="C9" i="14"/>
  <c r="S7" i="15"/>
  <c r="H47" i="14"/>
  <c r="T51" i="15"/>
  <c r="N45" i="16"/>
  <c r="T57" i="18"/>
  <c r="O50" i="17"/>
  <c r="O9" i="17"/>
  <c r="S39" i="17"/>
  <c r="S37" i="16"/>
  <c r="N53" i="17"/>
  <c r="S19" i="17"/>
  <c r="S39" i="18"/>
  <c r="T24" i="17"/>
  <c r="O28" i="17"/>
  <c r="S35" i="18"/>
  <c r="H48" i="14"/>
  <c r="H28" i="14"/>
  <c r="N16" i="16"/>
  <c r="O35" i="16"/>
  <c r="S76" i="15"/>
  <c r="S72" i="18"/>
  <c r="T15" i="16"/>
  <c r="O37" i="17"/>
  <c r="N33" i="17"/>
  <c r="T35" i="16"/>
  <c r="N7" i="17"/>
  <c r="O56" i="18"/>
  <c r="O57" i="18"/>
  <c r="S54" i="15"/>
  <c r="O54" i="15"/>
  <c r="T9" i="16"/>
  <c r="S52" i="18"/>
  <c r="N19" i="16"/>
  <c r="T78" i="15"/>
  <c r="N27" i="18"/>
  <c r="T30" i="18"/>
  <c r="N66" i="15"/>
  <c r="S37" i="17"/>
  <c r="S34" i="17"/>
  <c r="N38" i="17"/>
  <c r="S38" i="16"/>
  <c r="T17" i="16"/>
  <c r="O78" i="18"/>
  <c r="N32" i="17"/>
  <c r="O37" i="18"/>
  <c r="N10" i="17"/>
  <c r="H53" i="14"/>
  <c r="H38" i="14"/>
  <c r="N55" i="15"/>
  <c r="O20" i="16"/>
  <c r="O74" i="18"/>
  <c r="T39" i="17"/>
  <c r="S57" i="18"/>
  <c r="T78" i="18"/>
  <c r="N22" i="16"/>
  <c r="S44" i="18"/>
  <c r="L43" i="14"/>
  <c r="S41" i="17"/>
  <c r="S7" i="17"/>
  <c r="N65" i="16"/>
  <c r="N18" i="17"/>
  <c r="T50" i="15"/>
  <c r="S80" i="15"/>
  <c r="S9" i="16"/>
  <c r="T40" i="17"/>
  <c r="S12" i="18"/>
  <c r="O13" i="16"/>
  <c r="R42" i="14"/>
  <c r="N54" i="18"/>
  <c r="O78" i="15"/>
  <c r="O9" i="15"/>
  <c r="O23" i="17"/>
  <c r="T49" i="18"/>
  <c r="S45" i="16"/>
  <c r="N24" i="16"/>
  <c r="T55" i="17"/>
  <c r="M37" i="14"/>
  <c r="O45" i="17"/>
  <c r="S35" i="16"/>
  <c r="O7" i="15"/>
  <c r="T73" i="18"/>
  <c r="N38" i="18"/>
  <c r="T42" i="16"/>
  <c r="T51" i="17"/>
  <c r="S37" i="18"/>
  <c r="S12" i="16"/>
  <c r="S16" i="16"/>
  <c r="J15" i="18"/>
  <c r="T52" i="18"/>
  <c r="T18" i="16"/>
  <c r="N37" i="18"/>
  <c r="S19" i="16"/>
  <c r="N51" i="15"/>
  <c r="T8" i="18"/>
  <c r="S8" i="16"/>
  <c r="T40" i="16"/>
  <c r="O36" i="18"/>
  <c r="S48" i="18"/>
  <c r="T45" i="16"/>
  <c r="N35" i="16"/>
  <c r="S60" i="16"/>
  <c r="T53" i="18"/>
  <c r="S71" i="15"/>
  <c r="H50" i="14"/>
  <c r="L42" i="14"/>
  <c r="H34" i="14"/>
  <c r="N43" i="17"/>
  <c r="T36" i="17"/>
  <c r="N10" i="16"/>
  <c r="O39" i="16"/>
  <c r="N8" i="15"/>
  <c r="O19" i="16"/>
  <c r="T49" i="15"/>
  <c r="O55" i="18"/>
  <c r="T11" i="17"/>
  <c r="N52" i="15"/>
  <c r="S24" i="18"/>
  <c r="Q43" i="14"/>
  <c r="S21" i="18"/>
  <c r="O49" i="15"/>
  <c r="N80" i="15"/>
  <c r="O12" i="18"/>
  <c r="O39" i="18"/>
  <c r="O25" i="16"/>
  <c r="T25" i="16"/>
  <c r="O76" i="18"/>
  <c r="S23" i="17"/>
  <c r="N9" i="18"/>
  <c r="N48" i="18"/>
  <c r="O72" i="18"/>
  <c r="O49" i="18"/>
  <c r="T7" i="15"/>
  <c r="N50" i="16"/>
  <c r="S34" i="16"/>
  <c r="T37" i="17"/>
  <c r="S49" i="18"/>
  <c r="M43" i="14"/>
  <c r="T10" i="16"/>
  <c r="N12" i="18"/>
  <c r="T38" i="17"/>
  <c r="N20" i="18"/>
  <c r="O9" i="16"/>
  <c r="N78" i="18"/>
  <c r="O4" i="17"/>
  <c r="N61" i="16"/>
  <c r="N32" i="18"/>
  <c r="T50" i="16"/>
  <c r="T34" i="16"/>
  <c r="S10" i="16"/>
  <c r="T53" i="17"/>
  <c r="H42" i="14"/>
  <c r="O53" i="17"/>
  <c r="S27" i="17"/>
  <c r="O42" i="16"/>
  <c r="S55" i="16"/>
  <c r="O10" i="16"/>
  <c r="S42" i="17"/>
  <c r="N58" i="15"/>
  <c r="T33" i="16"/>
  <c r="T22" i="17"/>
  <c r="S61" i="15"/>
  <c r="S17" i="17"/>
  <c r="S7" i="18"/>
  <c r="S56" i="18"/>
  <c r="S15" i="16"/>
  <c r="N55" i="18"/>
  <c r="N74" i="18"/>
  <c r="N48" i="16"/>
  <c r="T62" i="16"/>
  <c r="S8" i="18"/>
  <c r="O67" i="18"/>
  <c r="T39" i="16"/>
  <c r="T9" i="18"/>
  <c r="H59" i="14"/>
  <c r="O21" i="18"/>
  <c r="S24" i="17"/>
  <c r="O22" i="18"/>
  <c r="S76" i="18"/>
  <c r="N13" i="16"/>
  <c r="T21" i="16"/>
  <c r="T14" i="17"/>
  <c r="S51" i="15"/>
  <c r="S7" i="16"/>
  <c r="S81" i="15"/>
  <c r="M42" i="14"/>
  <c r="T26" i="17"/>
  <c r="O34" i="16"/>
  <c r="S45" i="18"/>
  <c r="N23" i="18"/>
  <c r="S61" i="16"/>
  <c r="N23" i="17"/>
  <c r="T76" i="15"/>
  <c r="Q33" i="14"/>
  <c r="T58" i="16"/>
  <c r="T71" i="15"/>
  <c r="O55" i="17"/>
  <c r="S16" i="17"/>
  <c r="T64" i="16"/>
  <c r="T53" i="15"/>
  <c r="O52" i="18"/>
  <c r="R33" i="14"/>
  <c r="S46" i="17"/>
  <c r="O30" i="18"/>
  <c r="T20" i="16"/>
  <c r="T16" i="16"/>
  <c r="T43" i="17"/>
  <c r="O80" i="15"/>
  <c r="N17" i="17"/>
  <c r="N72" i="18"/>
  <c r="S51" i="17"/>
  <c r="O16" i="16"/>
  <c r="O46" i="17"/>
  <c r="S42" i="16"/>
  <c r="S43" i="16"/>
  <c r="O34" i="18"/>
  <c r="S14" i="16"/>
  <c r="S53" i="16"/>
  <c r="O55" i="15"/>
  <c r="N35" i="17"/>
  <c r="N53" i="18"/>
  <c r="O32" i="18"/>
  <c r="O45" i="16"/>
  <c r="O22" i="16"/>
  <c r="O50" i="16"/>
  <c r="T32" i="17"/>
  <c r="N41" i="16"/>
  <c r="O53" i="15"/>
  <c r="S18" i="16"/>
  <c r="S10" i="17"/>
  <c r="T58" i="15"/>
  <c r="R41" i="14"/>
  <c r="O14" i="16"/>
  <c r="S30" i="18"/>
  <c r="T74" i="18"/>
  <c r="T55" i="18"/>
  <c r="O38" i="17"/>
  <c r="N55" i="16"/>
  <c r="T22" i="16"/>
  <c r="S14" i="17"/>
  <c r="T43" i="16"/>
  <c r="N50" i="17"/>
  <c r="O42" i="18"/>
  <c r="T25" i="17"/>
  <c r="T42" i="17"/>
  <c r="N36" i="18"/>
  <c r="O8" i="18"/>
  <c r="O12" i="17"/>
  <c r="S39" i="16"/>
  <c r="H55" i="14"/>
  <c r="S62" i="16"/>
  <c r="O33" i="18"/>
  <c r="O33" i="16"/>
  <c r="N39" i="16"/>
  <c r="O73" i="18"/>
  <c r="N62" i="18"/>
  <c r="N25" i="16"/>
  <c r="O45" i="18"/>
  <c r="T19" i="18"/>
  <c r="N22" i="18"/>
  <c r="O19" i="17"/>
  <c r="S34" i="18"/>
  <c r="O15" i="17"/>
  <c r="S50" i="15"/>
  <c r="O47" i="18"/>
  <c r="N18" i="16"/>
  <c r="N40" i="16"/>
  <c r="M41" i="14"/>
  <c r="N19" i="18"/>
  <c r="S38" i="18"/>
  <c r="T45" i="17"/>
  <c r="T81" i="15"/>
  <c r="N51" i="18"/>
  <c r="O26" i="17"/>
  <c r="S9" i="18"/>
  <c r="S12" i="17"/>
  <c r="N24" i="17"/>
  <c r="S49" i="15"/>
  <c r="S38" i="17"/>
  <c r="T12" i="18"/>
  <c r="T13" i="17"/>
  <c r="N40" i="18"/>
  <c r="L37" i="14"/>
  <c r="S64" i="16"/>
  <c r="S17" i="16"/>
  <c r="S11" i="17"/>
  <c r="N4" i="17"/>
  <c r="T8" i="16"/>
  <c r="T36" i="18"/>
  <c r="T66" i="15"/>
  <c r="O43" i="17"/>
  <c r="O35" i="17"/>
  <c r="H46" i="14"/>
  <c r="O19" i="18"/>
  <c r="T54" i="15"/>
  <c r="S40" i="16"/>
  <c r="T56" i="15"/>
  <c r="O61" i="16"/>
  <c r="S13" i="17"/>
  <c r="O54" i="18"/>
  <c r="S33" i="16"/>
  <c r="R43" i="14"/>
  <c r="O8" i="15"/>
  <c r="O53" i="18"/>
  <c r="O35" i="18"/>
  <c r="T7" i="16"/>
  <c r="O25" i="17"/>
  <c r="N25" i="17"/>
  <c r="N8" i="16"/>
  <c r="N14" i="16"/>
  <c r="O76" i="15"/>
  <c r="S47" i="18"/>
  <c r="N12" i="17"/>
  <c r="O13" i="17"/>
  <c r="O8" i="16"/>
  <c r="T47" i="18"/>
  <c r="T34" i="18"/>
  <c r="T55" i="16"/>
  <c r="S54" i="17"/>
  <c r="S9" i="17"/>
  <c r="T45" i="18"/>
  <c r="N44" i="18"/>
  <c r="S33" i="18"/>
  <c r="N22" i="17"/>
  <c r="T24" i="18"/>
  <c r="O24" i="18"/>
  <c r="N21" i="18"/>
  <c r="N49" i="15"/>
  <c r="Q42" i="14"/>
  <c r="O42" i="17"/>
  <c r="S74" i="18"/>
  <c r="O24" i="17"/>
  <c r="M54" i="14"/>
  <c r="N15" i="16"/>
  <c r="T7" i="17"/>
  <c r="N15" i="17"/>
  <c r="T48" i="18"/>
  <c r="T60" i="16"/>
  <c r="Q41" i="14"/>
  <c r="T33" i="18"/>
  <c r="S35" i="17"/>
  <c r="N46" i="17"/>
  <c r="O54" i="17"/>
  <c r="H54" i="14"/>
  <c r="T18" i="18"/>
  <c r="S4" i="17"/>
  <c r="N61" i="15"/>
  <c r="N39" i="18"/>
  <c r="S73" i="18"/>
  <c r="N11" i="17"/>
  <c r="O17" i="16"/>
  <c r="S18" i="17"/>
  <c r="S55" i="18"/>
  <c r="T66" i="16"/>
  <c r="O58" i="15"/>
  <c r="O43" i="16"/>
  <c r="N49" i="18"/>
  <c r="N81" i="15"/>
  <c r="S21" i="16"/>
  <c r="O31" i="17"/>
  <c r="N34" i="16"/>
  <c r="N51" i="17"/>
  <c r="O33" i="17"/>
  <c r="T13" i="16"/>
  <c r="T7" i="18"/>
  <c r="T46" i="18"/>
  <c r="L54" i="14"/>
  <c r="T28" i="17"/>
  <c r="S22" i="16"/>
  <c r="T19" i="16"/>
  <c r="T54" i="17"/>
  <c r="S27" i="18"/>
  <c r="N54" i="15"/>
  <c r="T24" i="16"/>
  <c r="N42" i="16"/>
  <c r="T33" i="17"/>
  <c r="T17" i="17"/>
  <c r="N20" i="16"/>
  <c r="P20" i="16" s="1"/>
  <c r="T63" i="16"/>
  <c r="S66" i="15"/>
  <c r="O16" i="17"/>
  <c r="O22" i="17"/>
  <c r="O62" i="16"/>
  <c r="T32" i="18"/>
  <c r="O30" i="17"/>
  <c r="H25" i="14"/>
  <c r="S58" i="15"/>
  <c r="O51" i="18"/>
  <c r="T9" i="17"/>
  <c r="T9" i="15"/>
  <c r="N76" i="15"/>
  <c r="T16" i="17"/>
  <c r="N13" i="17"/>
  <c r="N35" i="18"/>
  <c r="T4" i="17"/>
  <c r="N33" i="18"/>
  <c r="O7" i="18"/>
  <c r="O56" i="15"/>
  <c r="S32" i="17"/>
  <c r="N73" i="18"/>
  <c r="N8" i="18"/>
  <c r="N26" i="17"/>
  <c r="N30" i="17"/>
  <c r="S50" i="17"/>
  <c r="O48" i="18"/>
  <c r="O9" i="18"/>
  <c r="N52" i="18"/>
  <c r="S24" i="16"/>
  <c r="S8" i="15"/>
  <c r="O20" i="18"/>
  <c r="T12" i="16"/>
  <c r="O61" i="15"/>
  <c r="N37" i="17"/>
  <c r="T53" i="16"/>
  <c r="O32" i="17"/>
  <c r="N31" i="17"/>
  <c r="O18" i="17"/>
  <c r="S15" i="17"/>
  <c r="N34" i="17"/>
  <c r="O40" i="16"/>
  <c r="O51" i="17"/>
  <c r="H52" i="14"/>
  <c r="N17" i="16"/>
  <c r="T38" i="16"/>
  <c r="T76" i="18"/>
  <c r="S33" i="17"/>
  <c r="N63" i="16"/>
  <c r="Q54" i="14"/>
  <c r="T12" i="17"/>
  <c r="T30" i="17"/>
  <c r="S32" i="18"/>
  <c r="T61" i="15"/>
  <c r="O48" i="16"/>
  <c r="S55" i="17"/>
  <c r="O12" i="16"/>
  <c r="S19" i="18"/>
  <c r="N57" i="18"/>
  <c r="O29" i="17"/>
  <c r="N66" i="16"/>
  <c r="N46" i="18"/>
  <c r="N45" i="18"/>
  <c r="T27" i="18"/>
  <c r="O36" i="17"/>
  <c r="T51" i="18"/>
  <c r="T40" i="18"/>
  <c r="T54" i="18"/>
  <c r="T21" i="18"/>
  <c r="N47" i="18"/>
  <c r="O27" i="17"/>
  <c r="N42" i="17"/>
  <c r="N30" i="18"/>
  <c r="T37" i="18"/>
  <c r="H57" i="14"/>
  <c r="T27" i="17"/>
  <c r="O64" i="16"/>
  <c r="N64" i="16"/>
  <c r="S78" i="15"/>
  <c r="O51" i="15"/>
  <c r="S51" i="18"/>
  <c r="O50" i="15"/>
  <c r="N78" i="15"/>
  <c r="N19" i="17"/>
  <c r="S41" i="16"/>
  <c r="S52" i="15"/>
  <c r="O21" i="16"/>
  <c r="S42" i="18"/>
  <c r="N40" i="17"/>
  <c r="O41" i="17"/>
  <c r="O44" i="18"/>
  <c r="O55" i="16"/>
  <c r="S13" i="16"/>
  <c r="O71" i="15"/>
  <c r="O15" i="16"/>
  <c r="O37" i="16"/>
  <c r="H61" i="14"/>
  <c r="S54" i="18"/>
  <c r="L41" i="14"/>
  <c r="S66" i="16"/>
  <c r="O24" i="16"/>
  <c r="N76" i="18"/>
  <c r="T36" i="16"/>
  <c r="N62" i="16"/>
  <c r="N58" i="16"/>
  <c r="O23" i="18"/>
  <c r="T29" i="17"/>
  <c r="T52" i="15"/>
  <c r="S43" i="17"/>
  <c r="S18" i="18"/>
  <c r="S53" i="15"/>
  <c r="T38" i="18"/>
  <c r="O18" i="16"/>
  <c r="T67" i="18"/>
  <c r="S20" i="16"/>
  <c r="N32" i="16"/>
  <c r="O40" i="17"/>
  <c r="S23" i="18"/>
  <c r="S58" i="16"/>
  <c r="O66" i="16"/>
  <c r="N43" i="16"/>
  <c r="N7" i="18"/>
  <c r="S36" i="18"/>
  <c r="O50" i="18"/>
  <c r="N37" i="16"/>
  <c r="N41" i="17"/>
  <c r="S9" i="15"/>
  <c r="S65" i="16"/>
  <c r="O38" i="16"/>
  <c r="Q37" i="14"/>
  <c r="N27" i="17"/>
  <c r="T56" i="18"/>
  <c r="O81" i="15"/>
  <c r="T50" i="17"/>
  <c r="N71" i="15"/>
  <c r="S25" i="17"/>
  <c r="N18" i="18"/>
  <c r="N39" i="17"/>
  <c r="N28" i="17"/>
  <c r="S29" i="17"/>
  <c r="N33" i="16"/>
  <c r="T18" i="17"/>
  <c r="T72" i="18"/>
  <c r="T20" i="18"/>
  <c r="O39" i="17"/>
  <c r="S62" i="18"/>
  <c r="O17" i="17"/>
  <c r="O11" i="17"/>
  <c r="J10" i="18"/>
  <c r="N36" i="16"/>
  <c r="T80" i="15"/>
  <c r="P18" i="17"/>
  <c r="O65" i="16"/>
  <c r="N21" i="16"/>
  <c r="S48" i="16"/>
  <c r="J11" i="18"/>
  <c r="S28" i="17"/>
  <c r="S22" i="18"/>
  <c r="T37" i="16"/>
  <c r="N38" i="16"/>
  <c r="S26" i="17"/>
  <c r="T23" i="17"/>
  <c r="S40" i="17"/>
  <c r="O34" i="17"/>
  <c r="N12" i="16"/>
  <c r="N53" i="16"/>
  <c r="O18" i="18"/>
  <c r="T65" i="16"/>
  <c r="O38" i="18"/>
  <c r="S31" i="17"/>
  <c r="T34" i="17"/>
  <c r="T55" i="15"/>
  <c r="S53" i="17"/>
  <c r="T8" i="15"/>
  <c r="T32" i="16"/>
  <c r="N7" i="15"/>
  <c r="T44" i="18"/>
  <c r="O32" i="16"/>
  <c r="S50" i="16"/>
  <c r="T61" i="16"/>
  <c r="O10" i="17"/>
  <c r="T48" i="16"/>
  <c r="O60" i="16"/>
  <c r="N54" i="17"/>
  <c r="T10" i="17"/>
  <c r="N7" i="16"/>
  <c r="T41" i="16"/>
  <c r="S46" i="18"/>
  <c r="S22" i="17"/>
  <c r="O58" i="16"/>
  <c r="S53" i="18"/>
  <c r="P53" i="17"/>
  <c r="N53" i="15"/>
  <c r="O27" i="18"/>
  <c r="S67" i="18"/>
  <c r="O52" i="15"/>
  <c r="T31" i="17"/>
  <c r="O36" i="16"/>
  <c r="N50" i="15"/>
  <c r="N9" i="16"/>
  <c r="H31" i="14"/>
  <c r="S20" i="18"/>
  <c r="N9" i="17"/>
  <c r="M33" i="14"/>
  <c r="N60" i="16"/>
  <c r="T46" i="17"/>
  <c r="T35" i="18"/>
  <c r="T50" i="18"/>
  <c r="S36" i="17"/>
  <c r="S32" i="16"/>
  <c r="J11" i="16"/>
  <c r="O66" i="15"/>
  <c r="N56" i="18"/>
  <c r="T39" i="18"/>
  <c r="N42" i="18"/>
  <c r="T62" i="18"/>
  <c r="S55" i="15"/>
  <c r="T19" i="17"/>
  <c r="S50" i="18"/>
  <c r="S25" i="16"/>
  <c r="O62" i="18"/>
  <c r="S45" i="17"/>
  <c r="T15" i="17"/>
  <c r="R54" i="14"/>
  <c r="P19" i="16"/>
  <c r="H49" i="14"/>
  <c r="L33" i="14"/>
  <c r="T23" i="18"/>
  <c r="T41" i="17"/>
  <c r="N29" i="17"/>
  <c r="N34" i="18"/>
  <c r="S78" i="18"/>
  <c r="N14" i="17"/>
  <c r="O7" i="17"/>
  <c r="O7" i="16"/>
  <c r="O41" i="16"/>
  <c r="T14" i="16"/>
  <c r="O14" i="17"/>
  <c r="N50" i="18"/>
  <c r="N36" i="17"/>
  <c r="N16" i="17"/>
  <c r="T22" i="18"/>
  <c r="N24" i="18"/>
  <c r="O46" i="18"/>
  <c r="N67" i="18"/>
  <c r="N55" i="17"/>
  <c r="S40" i="18"/>
  <c r="N9" i="15"/>
  <c r="I3" i="1"/>
  <c r="AT49" i="14"/>
  <c r="AS23" i="14"/>
  <c r="AT15" i="14"/>
  <c r="AS30" i="14"/>
  <c r="AS47" i="14"/>
  <c r="AS7" i="14"/>
  <c r="AS38" i="14"/>
  <c r="AS22" i="14"/>
  <c r="AS46" i="14"/>
  <c r="AT36" i="14"/>
  <c r="AT9" i="14"/>
  <c r="AT32" i="14"/>
  <c r="AS12" i="14"/>
  <c r="AT13" i="14"/>
  <c r="AT50" i="14"/>
  <c r="AT19" i="14"/>
  <c r="N56" i="15"/>
  <c r="O53" i="16"/>
  <c r="T35" i="17"/>
  <c r="AS27" i="14"/>
  <c r="AS20" i="14"/>
  <c r="AS24" i="14"/>
  <c r="S30" i="17"/>
  <c r="S36" i="16"/>
  <c r="N45" i="17"/>
  <c r="S56" i="15"/>
  <c r="S63" i="16"/>
  <c r="R37" i="14"/>
  <c r="T42" i="18"/>
  <c r="O63" i="16"/>
  <c r="H51" i="14"/>
  <c r="O40" i="18"/>
  <c r="AT11" i="14"/>
  <c r="AS13" i="14"/>
  <c r="AT21" i="14"/>
  <c r="AS32" i="14"/>
  <c r="AS18" i="14"/>
  <c r="AT10" i="14"/>
  <c r="AT35" i="14"/>
  <c r="AS49" i="14"/>
  <c r="AS21" i="14"/>
  <c r="AT6" i="14"/>
  <c r="AT38" i="14"/>
  <c r="AT43" i="14"/>
  <c r="AS29" i="14"/>
  <c r="AS44" i="14"/>
  <c r="AT34" i="14"/>
  <c r="AT42" i="14"/>
  <c r="AT4" i="14"/>
  <c r="AT12" i="14"/>
  <c r="AS10" i="14"/>
  <c r="AT27" i="14"/>
  <c r="AS17" i="14"/>
  <c r="AT26" i="14"/>
  <c r="AS16" i="14"/>
  <c r="AS51" i="14"/>
  <c r="AT45" i="14"/>
  <c r="AS43" i="14"/>
  <c r="AT17" i="14"/>
  <c r="AS45" i="14"/>
  <c r="AT18" i="14"/>
  <c r="AS31" i="14"/>
  <c r="AT33" i="14"/>
  <c r="AT40" i="14"/>
  <c r="AT44" i="14"/>
  <c r="AT28" i="14"/>
  <c r="AS25" i="14"/>
  <c r="AS39" i="14"/>
  <c r="AS14" i="14"/>
  <c r="AS6" i="14"/>
  <c r="AT47" i="14"/>
  <c r="AT25" i="14"/>
  <c r="AS15" i="14"/>
  <c r="AS28" i="14"/>
  <c r="AS5" i="14"/>
  <c r="AT7" i="14"/>
  <c r="AT51" i="14"/>
  <c r="AS41" i="14"/>
  <c r="AS48" i="14"/>
  <c r="AS35" i="14"/>
  <c r="AT30" i="14"/>
  <c r="AS40" i="14"/>
  <c r="AS42" i="14"/>
  <c r="AT41" i="14"/>
  <c r="AT22" i="14"/>
  <c r="AT23" i="14"/>
  <c r="AT37" i="14"/>
  <c r="I9" i="1"/>
  <c r="AT46" i="14"/>
  <c r="AS8" i="14"/>
  <c r="AT48" i="14"/>
  <c r="AT39" i="14"/>
  <c r="AT20" i="14"/>
  <c r="AS19" i="14"/>
  <c r="AT5" i="14"/>
  <c r="AS34" i="14"/>
  <c r="AS33" i="14"/>
  <c r="AT14" i="14"/>
  <c r="AT16" i="14"/>
  <c r="AS37" i="14"/>
  <c r="AT8" i="14"/>
  <c r="AT29" i="14"/>
  <c r="AS11" i="14"/>
  <c r="AS26" i="14"/>
  <c r="AT31" i="14"/>
  <c r="AS36" i="14"/>
  <c r="AS9" i="14"/>
  <c r="AS50" i="14"/>
  <c r="AS4" i="14"/>
  <c r="AT24" i="14"/>
  <c r="AS61" i="14"/>
  <c r="AT92" i="14"/>
  <c r="AS83" i="14"/>
  <c r="AT90" i="14"/>
  <c r="AS60" i="14"/>
  <c r="AS92" i="14"/>
  <c r="AS58" i="14"/>
  <c r="AT91" i="14"/>
  <c r="AT97" i="14"/>
  <c r="AS96" i="14"/>
  <c r="AT53" i="14"/>
  <c r="AS97" i="14"/>
  <c r="AT55" i="14"/>
  <c r="AS67" i="14"/>
  <c r="AT66" i="14"/>
  <c r="AT60" i="14"/>
  <c r="AS82" i="14"/>
  <c r="AS55" i="14"/>
  <c r="AT88" i="14"/>
  <c r="AS69" i="14"/>
  <c r="AT62" i="14"/>
  <c r="AT56" i="14"/>
  <c r="AT59" i="14"/>
  <c r="AS93" i="14"/>
  <c r="AT96" i="14"/>
  <c r="AS59" i="14"/>
  <c r="AS56" i="14"/>
  <c r="AT79" i="14"/>
  <c r="AT72" i="14"/>
  <c r="AT64" i="14"/>
  <c r="AS65" i="14"/>
  <c r="AS70" i="14"/>
  <c r="AS80" i="14"/>
  <c r="AT70" i="14"/>
  <c r="AS74" i="14"/>
  <c r="AS88" i="14"/>
  <c r="AS72" i="14"/>
  <c r="AT76" i="14"/>
  <c r="AS62" i="14"/>
  <c r="AT95" i="14"/>
  <c r="AS87" i="14"/>
  <c r="AT63" i="14"/>
  <c r="AS57" i="14"/>
  <c r="AT71" i="14"/>
  <c r="AT89" i="14"/>
  <c r="AT93" i="14"/>
  <c r="AT54" i="14"/>
  <c r="AS76" i="14"/>
  <c r="AS95" i="14"/>
  <c r="AS68" i="14"/>
  <c r="AS75" i="14"/>
  <c r="AT78" i="14"/>
  <c r="AT84" i="14"/>
  <c r="AS79" i="14"/>
  <c r="AT75" i="14"/>
  <c r="AT81" i="14"/>
  <c r="AT58" i="14"/>
  <c r="AT80" i="14"/>
  <c r="AS89" i="14"/>
  <c r="AS64" i="14"/>
  <c r="AT83" i="14"/>
  <c r="AS71" i="14"/>
  <c r="AT87" i="14"/>
  <c r="AS94" i="14"/>
  <c r="AT67" i="14"/>
  <c r="AT86" i="14"/>
  <c r="AT77" i="14"/>
  <c r="AS73" i="14"/>
  <c r="AT65" i="14"/>
  <c r="AT73" i="14"/>
  <c r="AS53" i="14"/>
  <c r="AS84" i="14"/>
  <c r="AT61" i="14"/>
  <c r="AT82" i="14"/>
  <c r="AT52" i="14"/>
  <c r="AT68" i="14"/>
  <c r="AT69" i="14"/>
  <c r="AT57" i="14"/>
  <c r="AS54" i="14"/>
  <c r="AT85" i="14"/>
  <c r="AS86" i="14"/>
  <c r="AS66" i="14"/>
  <c r="AS91" i="14"/>
  <c r="AS63" i="14"/>
  <c r="AS78" i="14"/>
  <c r="AS85" i="14"/>
  <c r="AS81" i="14"/>
  <c r="AS77" i="14"/>
  <c r="AT74" i="14"/>
  <c r="AS90" i="14"/>
  <c r="AT94" i="14"/>
  <c r="AS52" i="14"/>
  <c r="AT132" i="14"/>
  <c r="AS139" i="14"/>
  <c r="AS137" i="14"/>
  <c r="AT136" i="14"/>
  <c r="AS135" i="14"/>
  <c r="AT134" i="14"/>
  <c r="AS105" i="14"/>
  <c r="AT102" i="14"/>
  <c r="AS136" i="14"/>
  <c r="AS132" i="14"/>
  <c r="AS102" i="14"/>
  <c r="AS100" i="14"/>
  <c r="AS131" i="14"/>
  <c r="AT128" i="14"/>
  <c r="AT126" i="14"/>
  <c r="AS126" i="14"/>
  <c r="AT123" i="14"/>
  <c r="AS121" i="14"/>
  <c r="AT131" i="14"/>
  <c r="AT104" i="14"/>
  <c r="AT100" i="14"/>
  <c r="AT133" i="14"/>
  <c r="AT129" i="14"/>
  <c r="AS99" i="14"/>
  <c r="AS129" i="14"/>
  <c r="AS128" i="14"/>
  <c r="AT125" i="14"/>
  <c r="AS119" i="14"/>
  <c r="AT116" i="14"/>
  <c r="AS118" i="14"/>
  <c r="AS116" i="14"/>
  <c r="AT142" i="14"/>
  <c r="AT140" i="14"/>
  <c r="AT112" i="14"/>
  <c r="AT110" i="14"/>
  <c r="AT108" i="14"/>
  <c r="AS107" i="14"/>
  <c r="AS103" i="14"/>
  <c r="AT99" i="14"/>
  <c r="AS134" i="14"/>
  <c r="AS104" i="14"/>
  <c r="AT101" i="14"/>
  <c r="AS127" i="14"/>
  <c r="AT124" i="14"/>
  <c r="AS124" i="14"/>
  <c r="AT121" i="14"/>
  <c r="AS123" i="14"/>
  <c r="AT120" i="14"/>
  <c r="AT118" i="14"/>
  <c r="AS120" i="14"/>
  <c r="AT117" i="14"/>
  <c r="AT115" i="14"/>
  <c r="AT113" i="14"/>
  <c r="AS115" i="14"/>
  <c r="AS113" i="14"/>
  <c r="AS111" i="14"/>
  <c r="AS142" i="14"/>
  <c r="AT141" i="14"/>
  <c r="AS140" i="14"/>
  <c r="AT139" i="14"/>
  <c r="AT137" i="14"/>
  <c r="AS112" i="14"/>
  <c r="AS110" i="14"/>
  <c r="AT109" i="14"/>
  <c r="AS108" i="14"/>
  <c r="AT107" i="14"/>
  <c r="AT105" i="14"/>
  <c r="AT138" i="14"/>
  <c r="AT130" i="14"/>
  <c r="AS125" i="14"/>
  <c r="AT122" i="14"/>
  <c r="AS117" i="14"/>
  <c r="AT114" i="14"/>
  <c r="AS109" i="14"/>
  <c r="AT106" i="14"/>
  <c r="AS101" i="14"/>
  <c r="AT98" i="14"/>
  <c r="AS141" i="14"/>
  <c r="AS133" i="14"/>
  <c r="AS138" i="14"/>
  <c r="AT135" i="14"/>
  <c r="AS130" i="14"/>
  <c r="AT127" i="14"/>
  <c r="AS122" i="14"/>
  <c r="AT119" i="14"/>
  <c r="AS114" i="14"/>
  <c r="AT111" i="14"/>
  <c r="AS106" i="14"/>
  <c r="AT103" i="14"/>
  <c r="AS98" i="14"/>
  <c r="AX98" i="14" l="1"/>
  <c r="AY103" i="14"/>
  <c r="AZ103" i="14" s="1"/>
  <c r="AX106" i="14"/>
  <c r="AY111" i="14"/>
  <c r="AZ111" i="14" s="1"/>
  <c r="AX114" i="14"/>
  <c r="AY119" i="14"/>
  <c r="AZ119" i="14" s="1"/>
  <c r="AX122" i="14"/>
  <c r="AY127" i="14"/>
  <c r="AZ127" i="14" s="1"/>
  <c r="AX130" i="14"/>
  <c r="AY135" i="14"/>
  <c r="AZ135" i="14" s="1"/>
  <c r="AX138" i="14"/>
  <c r="AX133" i="14"/>
  <c r="AX141" i="14"/>
  <c r="AY98" i="14"/>
  <c r="AZ98" i="14" s="1"/>
  <c r="AX101" i="14"/>
  <c r="AY106" i="14"/>
  <c r="AZ106" i="14" s="1"/>
  <c r="AX109" i="14"/>
  <c r="AY114" i="14"/>
  <c r="AZ114" i="14" s="1"/>
  <c r="AX117" i="14"/>
  <c r="AY122" i="14"/>
  <c r="AZ122" i="14" s="1"/>
  <c r="AX125" i="14"/>
  <c r="AY130" i="14"/>
  <c r="AZ130" i="14" s="1"/>
  <c r="AY138" i="14"/>
  <c r="AZ138" i="14" s="1"/>
  <c r="AY105" i="14"/>
  <c r="AZ105" i="14" s="1"/>
  <c r="AY107" i="14"/>
  <c r="AZ107" i="14" s="1"/>
  <c r="AX108" i="14"/>
  <c r="AY109" i="14"/>
  <c r="AZ109" i="14" s="1"/>
  <c r="AX110" i="14"/>
  <c r="AX112" i="14"/>
  <c r="AY137" i="14"/>
  <c r="AZ137" i="14" s="1"/>
  <c r="AY139" i="14"/>
  <c r="AZ139" i="14" s="1"/>
  <c r="AX140" i="14"/>
  <c r="AY141" i="14"/>
  <c r="AZ141" i="14" s="1"/>
  <c r="AX142" i="14"/>
  <c r="AX111" i="14"/>
  <c r="AX113" i="14"/>
  <c r="AX115" i="14"/>
  <c r="AY113" i="14"/>
  <c r="AZ113" i="14" s="1"/>
  <c r="AY115" i="14"/>
  <c r="AZ115" i="14" s="1"/>
  <c r="AY117" i="14"/>
  <c r="AZ117" i="14" s="1"/>
  <c r="AX120" i="14"/>
  <c r="AY118" i="14"/>
  <c r="AZ118" i="14" s="1"/>
  <c r="AY120" i="14"/>
  <c r="AZ120" i="14" s="1"/>
  <c r="AX123" i="14"/>
  <c r="AY121" i="14"/>
  <c r="AZ121" i="14" s="1"/>
  <c r="AX124" i="14"/>
  <c r="AY124" i="14"/>
  <c r="AZ124" i="14" s="1"/>
  <c r="AX127" i="14"/>
  <c r="AY101" i="14"/>
  <c r="AZ101" i="14" s="1"/>
  <c r="AX104" i="14"/>
  <c r="AX134" i="14"/>
  <c r="AY99" i="14"/>
  <c r="AZ99" i="14" s="1"/>
  <c r="AX103" i="14"/>
  <c r="AX107" i="14"/>
  <c r="AY108" i="14"/>
  <c r="AZ108" i="14" s="1"/>
  <c r="AY110" i="14"/>
  <c r="AZ110" i="14" s="1"/>
  <c r="AY112" i="14"/>
  <c r="AZ112" i="14" s="1"/>
  <c r="AY140" i="14"/>
  <c r="AZ140" i="14" s="1"/>
  <c r="AY142" i="14"/>
  <c r="AZ142" i="14" s="1"/>
  <c r="AX116" i="14"/>
  <c r="AX118" i="14"/>
  <c r="AY116" i="14"/>
  <c r="AZ116" i="14" s="1"/>
  <c r="AX119" i="14"/>
  <c r="AY125" i="14"/>
  <c r="AZ125" i="14" s="1"/>
  <c r="AX128" i="14"/>
  <c r="AX129" i="14"/>
  <c r="AX99" i="14"/>
  <c r="AY129" i="14"/>
  <c r="AZ129" i="14" s="1"/>
  <c r="AY133" i="14"/>
  <c r="AZ133" i="14" s="1"/>
  <c r="AY100" i="14"/>
  <c r="AZ100" i="14" s="1"/>
  <c r="AY104" i="14"/>
  <c r="AZ104" i="14" s="1"/>
  <c r="AY131" i="14"/>
  <c r="AZ131" i="14" s="1"/>
  <c r="AX121" i="14"/>
  <c r="AY123" i="14"/>
  <c r="AZ123" i="14" s="1"/>
  <c r="AX126" i="14"/>
  <c r="AY126" i="14"/>
  <c r="AZ126" i="14" s="1"/>
  <c r="AY128" i="14"/>
  <c r="AZ128" i="14" s="1"/>
  <c r="AX131" i="14"/>
  <c r="AX100" i="14"/>
  <c r="AX102" i="14"/>
  <c r="AX132" i="14"/>
  <c r="AX136" i="14"/>
  <c r="AY102" i="14"/>
  <c r="AZ102" i="14" s="1"/>
  <c r="AX105" i="14"/>
  <c r="AY134" i="14"/>
  <c r="AZ134" i="14" s="1"/>
  <c r="AX135" i="14"/>
  <c r="AY136" i="14"/>
  <c r="AZ136" i="14" s="1"/>
  <c r="AX137" i="14"/>
  <c r="AX139" i="14"/>
  <c r="AY132" i="14"/>
  <c r="AZ132" i="14" s="1"/>
  <c r="AX52" i="14"/>
  <c r="AY94" i="14"/>
  <c r="AZ94" i="14" s="1"/>
  <c r="AX90" i="14"/>
  <c r="AY74" i="14"/>
  <c r="AZ74" i="14" s="1"/>
  <c r="AX77" i="14"/>
  <c r="AX81" i="14"/>
  <c r="AX85" i="14"/>
  <c r="AX78" i="14"/>
  <c r="AX63" i="14"/>
  <c r="AX91" i="14"/>
  <c r="AX66" i="14"/>
  <c r="AX86" i="14"/>
  <c r="AY85" i="14"/>
  <c r="AZ85" i="14" s="1"/>
  <c r="AX54" i="14"/>
  <c r="AY57" i="14"/>
  <c r="AZ57" i="14" s="1"/>
  <c r="AY69" i="14"/>
  <c r="AZ69" i="14" s="1"/>
  <c r="AY68" i="14"/>
  <c r="AZ68" i="14" s="1"/>
  <c r="AY52" i="14"/>
  <c r="AZ52" i="14" s="1"/>
  <c r="AY82" i="14"/>
  <c r="AZ82" i="14" s="1"/>
  <c r="AY61" i="14"/>
  <c r="AZ61" i="14" s="1"/>
  <c r="AX84" i="14"/>
  <c r="AX53" i="14"/>
  <c r="AY73" i="14"/>
  <c r="AZ73" i="14" s="1"/>
  <c r="AY65" i="14"/>
  <c r="AZ65" i="14" s="1"/>
  <c r="AX73" i="14"/>
  <c r="AY77" i="14"/>
  <c r="AZ77" i="14" s="1"/>
  <c r="AY86" i="14"/>
  <c r="AZ86" i="14" s="1"/>
  <c r="AY67" i="14"/>
  <c r="AZ67" i="14" s="1"/>
  <c r="AX94" i="14"/>
  <c r="AY87" i="14"/>
  <c r="AZ87" i="14" s="1"/>
  <c r="AX71" i="14"/>
  <c r="AY83" i="14"/>
  <c r="AZ83" i="14" s="1"/>
  <c r="AX64" i="14"/>
  <c r="AX89" i="14"/>
  <c r="AY80" i="14"/>
  <c r="AZ80" i="14" s="1"/>
  <c r="AY58" i="14"/>
  <c r="AZ58" i="14" s="1"/>
  <c r="AY81" i="14"/>
  <c r="AZ81" i="14" s="1"/>
  <c r="AY75" i="14"/>
  <c r="AZ75" i="14" s="1"/>
  <c r="AX79" i="14"/>
  <c r="AY84" i="14"/>
  <c r="AZ84" i="14" s="1"/>
  <c r="AY78" i="14"/>
  <c r="AZ78" i="14" s="1"/>
  <c r="AX75" i="14"/>
  <c r="AX68" i="14"/>
  <c r="AX95" i="14"/>
  <c r="AX76" i="14"/>
  <c r="AY54" i="14"/>
  <c r="AZ54" i="14" s="1"/>
  <c r="AY93" i="14"/>
  <c r="AZ93" i="14" s="1"/>
  <c r="AY89" i="14"/>
  <c r="AZ89" i="14" s="1"/>
  <c r="AY71" i="14"/>
  <c r="AZ71" i="14" s="1"/>
  <c r="AX57" i="14"/>
  <c r="AY63" i="14"/>
  <c r="AZ63" i="14" s="1"/>
  <c r="AX87" i="14"/>
  <c r="AY95" i="14"/>
  <c r="AZ95" i="14" s="1"/>
  <c r="AX62" i="14"/>
  <c r="AY76" i="14"/>
  <c r="AZ76" i="14" s="1"/>
  <c r="AX72" i="14"/>
  <c r="AX88" i="14"/>
  <c r="AX74" i="14"/>
  <c r="AY70" i="14"/>
  <c r="AZ70" i="14" s="1"/>
  <c r="AX80" i="14"/>
  <c r="AX70" i="14"/>
  <c r="AX65" i="14"/>
  <c r="AY64" i="14"/>
  <c r="AZ64" i="14" s="1"/>
  <c r="AY72" i="14"/>
  <c r="AZ72" i="14" s="1"/>
  <c r="AY79" i="14"/>
  <c r="AZ79" i="14" s="1"/>
  <c r="AX56" i="14"/>
  <c r="AX59" i="14"/>
  <c r="AY96" i="14"/>
  <c r="AZ96" i="14" s="1"/>
  <c r="AX93" i="14"/>
  <c r="AY59" i="14"/>
  <c r="AZ59" i="14" s="1"/>
  <c r="AY56" i="14"/>
  <c r="AZ56" i="14" s="1"/>
  <c r="AY62" i="14"/>
  <c r="AZ62" i="14" s="1"/>
  <c r="AX69" i="14"/>
  <c r="AY88" i="14"/>
  <c r="AZ88" i="14" s="1"/>
  <c r="AX55" i="14"/>
  <c r="AX82" i="14"/>
  <c r="AY60" i="14"/>
  <c r="AZ60" i="14" s="1"/>
  <c r="AY66" i="14"/>
  <c r="AZ66" i="14" s="1"/>
  <c r="AX67" i="14"/>
  <c r="AY55" i="14"/>
  <c r="AZ55" i="14" s="1"/>
  <c r="AX97" i="14"/>
  <c r="AY53" i="14"/>
  <c r="AZ53" i="14" s="1"/>
  <c r="AX96" i="14"/>
  <c r="AY97" i="14"/>
  <c r="AZ97" i="14" s="1"/>
  <c r="AY91" i="14"/>
  <c r="AZ91" i="14" s="1"/>
  <c r="AX58" i="14"/>
  <c r="AX92" i="14"/>
  <c r="AX60" i="14"/>
  <c r="AY90" i="14"/>
  <c r="AZ90" i="14" s="1"/>
  <c r="AX83" i="14"/>
  <c r="AY92" i="14"/>
  <c r="AZ92" i="14" s="1"/>
  <c r="AX61" i="14"/>
  <c r="BH53" i="14"/>
  <c r="BH49" i="14"/>
  <c r="BH45" i="14"/>
  <c r="BH41" i="14"/>
  <c r="BH37" i="14"/>
  <c r="BH33" i="14"/>
  <c r="BH29" i="14"/>
  <c r="BH25" i="14"/>
  <c r="BH21" i="14"/>
  <c r="BH17" i="14"/>
  <c r="BH13" i="14"/>
  <c r="BH9" i="14"/>
  <c r="BH5" i="14"/>
  <c r="BH56" i="14"/>
  <c r="BH52" i="14"/>
  <c r="BH48" i="14"/>
  <c r="BH44" i="14"/>
  <c r="BH40" i="14"/>
  <c r="BH36" i="14"/>
  <c r="BH32" i="14"/>
  <c r="BH28" i="14"/>
  <c r="BH24" i="14"/>
  <c r="BH20" i="14"/>
  <c r="BH16" i="14"/>
  <c r="BH12" i="14"/>
  <c r="BH8" i="14"/>
  <c r="BH4" i="14"/>
  <c r="BH55" i="14"/>
  <c r="BH51" i="14"/>
  <c r="BH47" i="14"/>
  <c r="BH43" i="14"/>
  <c r="BH39" i="14"/>
  <c r="BH35" i="14"/>
  <c r="BH31" i="14"/>
  <c r="BH27" i="14"/>
  <c r="BH23" i="14"/>
  <c r="BH19" i="14"/>
  <c r="BH15" i="14"/>
  <c r="BH11" i="14"/>
  <c r="BH7" i="14"/>
  <c r="BH54" i="14"/>
  <c r="BH50" i="14"/>
  <c r="BH46" i="14"/>
  <c r="BH42" i="14"/>
  <c r="BH38" i="14"/>
  <c r="BH34" i="14"/>
  <c r="BH30" i="14"/>
  <c r="BH26" i="14"/>
  <c r="BH22" i="14"/>
  <c r="BH18" i="14"/>
  <c r="BH14" i="14"/>
  <c r="BH10" i="14"/>
  <c r="BH6" i="14"/>
  <c r="M11" i="18"/>
  <c r="AY40" i="14"/>
  <c r="AZ40" i="14" s="1"/>
  <c r="AY7" i="14"/>
  <c r="AZ7" i="14" s="1"/>
  <c r="AX48" i="14"/>
  <c r="AY34" i="14"/>
  <c r="AZ34" i="14" s="1"/>
  <c r="AX43" i="14"/>
  <c r="AX49" i="14"/>
  <c r="AX34" i="14"/>
  <c r="AX14" i="14"/>
  <c r="AY22" i="14"/>
  <c r="AZ22" i="14" s="1"/>
  <c r="AX46" i="14"/>
  <c r="AY32" i="14"/>
  <c r="AZ32" i="14" s="1"/>
  <c r="AY48" i="14"/>
  <c r="AZ48" i="14" s="1"/>
  <c r="AX47" i="14"/>
  <c r="AX9" i="14"/>
  <c r="AX30" i="14"/>
  <c r="AY5" i="14"/>
  <c r="AZ5" i="14" s="1"/>
  <c r="AY30" i="14"/>
  <c r="AZ30" i="14" s="1"/>
  <c r="AX40" i="14"/>
  <c r="AY16" i="14"/>
  <c r="AZ16" i="14" s="1"/>
  <c r="AX31" i="14"/>
  <c r="AY19" i="14"/>
  <c r="AZ19" i="14" s="1"/>
  <c r="AX26" i="14"/>
  <c r="AY36" i="14"/>
  <c r="AZ36" i="14" s="1"/>
  <c r="AX51" i="14"/>
  <c r="AY9" i="14"/>
  <c r="AZ9" i="14" s="1"/>
  <c r="AY23" i="14"/>
  <c r="AZ23" i="14" s="1"/>
  <c r="AY20" i="14"/>
  <c r="AZ20" i="14" s="1"/>
  <c r="AY51" i="14"/>
  <c r="AZ51" i="14" s="1"/>
  <c r="AX38" i="14"/>
  <c r="AX33" i="14"/>
  <c r="AX22" i="14"/>
  <c r="AX10" i="14"/>
  <c r="AX50" i="14"/>
  <c r="AY26" i="14"/>
  <c r="AZ26" i="14" s="1"/>
  <c r="AX25" i="14"/>
  <c r="AY37" i="14"/>
  <c r="AZ37" i="14" s="1"/>
  <c r="AY17" i="14"/>
  <c r="AZ17" i="14" s="1"/>
  <c r="AY21" i="14"/>
  <c r="AZ21" i="14" s="1"/>
  <c r="AY44" i="14"/>
  <c r="AZ44" i="14" s="1"/>
  <c r="AY47" i="14"/>
  <c r="AZ47" i="14" s="1"/>
  <c r="AY25" i="14"/>
  <c r="AZ25" i="14" s="1"/>
  <c r="AY29" i="14"/>
  <c r="AZ29" i="14" s="1"/>
  <c r="AY39" i="14"/>
  <c r="AZ39" i="14" s="1"/>
  <c r="AY24" i="14"/>
  <c r="AZ24" i="14" s="1"/>
  <c r="AX8" i="14"/>
  <c r="AY27" i="14"/>
  <c r="AZ27" i="14" s="1"/>
  <c r="AY31" i="14"/>
  <c r="AZ31" i="14" s="1"/>
  <c r="AY38" i="14"/>
  <c r="AZ38" i="14" s="1"/>
  <c r="AX37" i="14"/>
  <c r="AX4" i="14"/>
  <c r="AY12" i="14"/>
  <c r="AZ12" i="14" s="1"/>
  <c r="AY49" i="14"/>
  <c r="AZ49" i="14" s="1"/>
  <c r="AX35" i="14"/>
  <c r="AX20" i="14"/>
  <c r="AY8" i="14"/>
  <c r="AZ8" i="14" s="1"/>
  <c r="AY28" i="14"/>
  <c r="AZ28" i="14" s="1"/>
  <c r="AX21" i="14"/>
  <c r="AX23" i="14"/>
  <c r="AX18" i="14"/>
  <c r="AX17" i="14"/>
  <c r="AX24" i="14"/>
  <c r="AX28" i="14"/>
  <c r="AX11" i="14"/>
  <c r="AY18" i="14"/>
  <c r="AZ18" i="14" s="1"/>
  <c r="AY15" i="14"/>
  <c r="AZ15" i="14" s="1"/>
  <c r="AX42" i="14"/>
  <c r="AX13" i="14"/>
  <c r="AY42" i="14"/>
  <c r="AZ42" i="14" s="1"/>
  <c r="AX7" i="14"/>
  <c r="AX45" i="14"/>
  <c r="AX19" i="14"/>
  <c r="AY45" i="14"/>
  <c r="AZ45" i="14" s="1"/>
  <c r="AY13" i="14"/>
  <c r="AZ13" i="14" s="1"/>
  <c r="AY10" i="14"/>
  <c r="AZ10" i="14" s="1"/>
  <c r="AX12" i="14"/>
  <c r="AX27" i="14"/>
  <c r="AX29" i="14"/>
  <c r="AX16" i="14"/>
  <c r="AX44" i="14"/>
  <c r="AY35" i="14"/>
  <c r="AZ35" i="14" s="1"/>
  <c r="AX39" i="14"/>
  <c r="AY4" i="14"/>
  <c r="AZ4" i="14" s="1"/>
  <c r="AY14" i="14"/>
  <c r="AZ14" i="14" s="1"/>
  <c r="AY33" i="14"/>
  <c r="AZ33" i="14" s="1"/>
  <c r="AY6" i="14"/>
  <c r="AZ6" i="14" s="1"/>
  <c r="AY43" i="14"/>
  <c r="AZ43" i="14" s="1"/>
  <c r="AY41" i="14"/>
  <c r="AZ41" i="14" s="1"/>
  <c r="AX5" i="14"/>
  <c r="AY46" i="14"/>
  <c r="AZ46" i="14" s="1"/>
  <c r="AX6" i="14"/>
  <c r="AY50" i="14"/>
  <c r="AZ50" i="14" s="1"/>
  <c r="AX41" i="14"/>
  <c r="AX36" i="14"/>
  <c r="AX32" i="14"/>
  <c r="AX15" i="14"/>
  <c r="AY11" i="14"/>
  <c r="AZ11" i="14" s="1"/>
  <c r="M11" i="16"/>
  <c r="K51" i="14"/>
  <c r="K23" i="14"/>
  <c r="K53" i="14"/>
  <c r="K50" i="14"/>
  <c r="K48" i="14"/>
  <c r="AD6" i="14"/>
  <c r="K47" i="14"/>
  <c r="K40" i="14"/>
  <c r="M15" i="18"/>
  <c r="K29" i="14"/>
  <c r="K57" i="14"/>
  <c r="K52" i="14"/>
  <c r="K26" i="14"/>
  <c r="K49" i="14"/>
  <c r="K55" i="14"/>
  <c r="K59" i="14"/>
  <c r="M10" i="18"/>
  <c r="K45" i="14"/>
  <c r="K44" i="14"/>
  <c r="K36" i="14"/>
  <c r="K46" i="14"/>
  <c r="K32" i="14"/>
  <c r="I10" i="1"/>
  <c r="M82" i="15"/>
  <c r="O11" i="18"/>
  <c r="S11" i="18"/>
  <c r="T11" i="18"/>
  <c r="N11" i="18"/>
  <c r="N10" i="18"/>
  <c r="P80" i="15"/>
  <c r="W3" i="18" a="1"/>
  <c r="T10" i="18"/>
  <c r="P78" i="15"/>
  <c r="S10" i="18"/>
  <c r="O10" i="18"/>
  <c r="M59" i="14"/>
  <c r="N11" i="16"/>
  <c r="R59" i="14"/>
  <c r="T15" i="18"/>
  <c r="T11" i="16"/>
  <c r="P25" i="16"/>
  <c r="L59" i="14"/>
  <c r="O15" i="18"/>
  <c r="Q59" i="14"/>
  <c r="O11" i="16"/>
  <c r="AD7" i="14"/>
  <c r="N15" i="18"/>
  <c r="S15" i="18"/>
  <c r="P22" i="16"/>
  <c r="P54" i="17"/>
  <c r="S11" i="16"/>
  <c r="BC137" i="14" l="1"/>
  <c r="BB137" i="14"/>
  <c r="BC102" i="14"/>
  <c r="BB102" i="14"/>
  <c r="BC127" i="14"/>
  <c r="BB127" i="14"/>
  <c r="BC140" i="14"/>
  <c r="BB140" i="14"/>
  <c r="BC135" i="14"/>
  <c r="BB135" i="14"/>
  <c r="BC131" i="14"/>
  <c r="BB131" i="14"/>
  <c r="BC107" i="14"/>
  <c r="BB107" i="14"/>
  <c r="BC124" i="14"/>
  <c r="BB124" i="14"/>
  <c r="BC118" i="14"/>
  <c r="BB118" i="14"/>
  <c r="BC103" i="14"/>
  <c r="BB103" i="14"/>
  <c r="BC112" i="14"/>
  <c r="BB112" i="14"/>
  <c r="BC141" i="14"/>
  <c r="BB141" i="14"/>
  <c r="BC114" i="14"/>
  <c r="BB114" i="14"/>
  <c r="BC122" i="14"/>
  <c r="BB122" i="14"/>
  <c r="BC119" i="14"/>
  <c r="BB119" i="14"/>
  <c r="BC101" i="14"/>
  <c r="BB101" i="14"/>
  <c r="BC125" i="14"/>
  <c r="BB125" i="14"/>
  <c r="BC105" i="14"/>
  <c r="BB105" i="14"/>
  <c r="BC116" i="14"/>
  <c r="BB116" i="14"/>
  <c r="BC123" i="14"/>
  <c r="BB123" i="14"/>
  <c r="BC110" i="14"/>
  <c r="BB110" i="14"/>
  <c r="BC133" i="14"/>
  <c r="BB133" i="14"/>
  <c r="BC126" i="14"/>
  <c r="BB126" i="14"/>
  <c r="BC99" i="14"/>
  <c r="BB99" i="14"/>
  <c r="BC134" i="14"/>
  <c r="BB134" i="14"/>
  <c r="BC111" i="14"/>
  <c r="BB111" i="14"/>
  <c r="BC138" i="14"/>
  <c r="BB138" i="14"/>
  <c r="BC136" i="14"/>
  <c r="BB136" i="14"/>
  <c r="BC129" i="14"/>
  <c r="BB129" i="14"/>
  <c r="BC104" i="14"/>
  <c r="BB104" i="14"/>
  <c r="BC142" i="14"/>
  <c r="BB142" i="14"/>
  <c r="BC108" i="14"/>
  <c r="BB108" i="14"/>
  <c r="BC100" i="14"/>
  <c r="BB100" i="14"/>
  <c r="BC115" i="14"/>
  <c r="BB115" i="14"/>
  <c r="BC113" i="14"/>
  <c r="BB113" i="14"/>
  <c r="BC117" i="14"/>
  <c r="BB117" i="14"/>
  <c r="BC106" i="14"/>
  <c r="BB106" i="14"/>
  <c r="BC139" i="14"/>
  <c r="BB139" i="14"/>
  <c r="BC132" i="14"/>
  <c r="BB132" i="14"/>
  <c r="BC121" i="14"/>
  <c r="BB121" i="14"/>
  <c r="BC128" i="14"/>
  <c r="BB128" i="14"/>
  <c r="BC120" i="14"/>
  <c r="BB120" i="14"/>
  <c r="BC109" i="14"/>
  <c r="BB109" i="14"/>
  <c r="BC130" i="14"/>
  <c r="BB130" i="14"/>
  <c r="BC98" i="14"/>
  <c r="BB98" i="14"/>
  <c r="BC92" i="14"/>
  <c r="BB92" i="14"/>
  <c r="BC78" i="14"/>
  <c r="BB78" i="14"/>
  <c r="BB71" i="14"/>
  <c r="BC71" i="14"/>
  <c r="BC54" i="14"/>
  <c r="BB54" i="14"/>
  <c r="BB84" i="14"/>
  <c r="BC84" i="14"/>
  <c r="BC80" i="14"/>
  <c r="BB80" i="14"/>
  <c r="BC68" i="14"/>
  <c r="BB68" i="14"/>
  <c r="BB90" i="14"/>
  <c r="BC90" i="14"/>
  <c r="BB79" i="14"/>
  <c r="BC79" i="14"/>
  <c r="BB85" i="14"/>
  <c r="BC85" i="14"/>
  <c r="BC58" i="14"/>
  <c r="BB58" i="14"/>
  <c r="BB65" i="14"/>
  <c r="BC65" i="14"/>
  <c r="BB62" i="14"/>
  <c r="BC62" i="14"/>
  <c r="BB53" i="14"/>
  <c r="BC53" i="14"/>
  <c r="BC93" i="14"/>
  <c r="BB93" i="14"/>
  <c r="BC94" i="14"/>
  <c r="BB94" i="14"/>
  <c r="BC77" i="14"/>
  <c r="BB77" i="14"/>
  <c r="BB95" i="14"/>
  <c r="BC95" i="14"/>
  <c r="BC96" i="14"/>
  <c r="BB96" i="14"/>
  <c r="BC59" i="14"/>
  <c r="BB59" i="14"/>
  <c r="BB83" i="14"/>
  <c r="BC83" i="14"/>
  <c r="BC56" i="14"/>
  <c r="BB56" i="14"/>
  <c r="BB74" i="14"/>
  <c r="BC74" i="14"/>
  <c r="BB57" i="14"/>
  <c r="BC57" i="14"/>
  <c r="BC75" i="14"/>
  <c r="BB75" i="14"/>
  <c r="BC89" i="14"/>
  <c r="BB89" i="14"/>
  <c r="BB91" i="14"/>
  <c r="BC91" i="14"/>
  <c r="BC60" i="14"/>
  <c r="BB60" i="14"/>
  <c r="BC72" i="14"/>
  <c r="BB72" i="14"/>
  <c r="BB67" i="14"/>
  <c r="BC67" i="14"/>
  <c r="BB81" i="14"/>
  <c r="BC81" i="14"/>
  <c r="BC70" i="14"/>
  <c r="BB70" i="14"/>
  <c r="BB76" i="14"/>
  <c r="BC76" i="14"/>
  <c r="BC61" i="14"/>
  <c r="BB61" i="14"/>
  <c r="BB82" i="14"/>
  <c r="BC82" i="14"/>
  <c r="BB87" i="14"/>
  <c r="BC87" i="14"/>
  <c r="BC86" i="14"/>
  <c r="BB86" i="14"/>
  <c r="BC55" i="14"/>
  <c r="BB55" i="14"/>
  <c r="BC66" i="14"/>
  <c r="BB66" i="14"/>
  <c r="BC97" i="14"/>
  <c r="BB97" i="14"/>
  <c r="BC69" i="14"/>
  <c r="BB69" i="14"/>
  <c r="BB88" i="14"/>
  <c r="BC88" i="14"/>
  <c r="BC64" i="14"/>
  <c r="BB64" i="14"/>
  <c r="BC73" i="14"/>
  <c r="BB73" i="14"/>
  <c r="BB63" i="14"/>
  <c r="BC63" i="14"/>
  <c r="BC52" i="14"/>
  <c r="BB52" i="14"/>
  <c r="BC10" i="14"/>
  <c r="BB10" i="14"/>
  <c r="BC11" i="14"/>
  <c r="BB11" i="14"/>
  <c r="BC16" i="14"/>
  <c r="BB16" i="14"/>
  <c r="BB15" i="14"/>
  <c r="BC15" i="14"/>
  <c r="BC19" i="14"/>
  <c r="BB19" i="14"/>
  <c r="BB34" i="14"/>
  <c r="BC34" i="14"/>
  <c r="BB28" i="14"/>
  <c r="BC28" i="14"/>
  <c r="BC33" i="14"/>
  <c r="BB33" i="14"/>
  <c r="BB49" i="14"/>
  <c r="BC49" i="14"/>
  <c r="BC36" i="14"/>
  <c r="BB36" i="14"/>
  <c r="BC29" i="14"/>
  <c r="BB29" i="14"/>
  <c r="BC24" i="14"/>
  <c r="BB24" i="14"/>
  <c r="BC43" i="14"/>
  <c r="BB43" i="14"/>
  <c r="BC41" i="14"/>
  <c r="BB41" i="14"/>
  <c r="BC13" i="14"/>
  <c r="BB13" i="14"/>
  <c r="BC5" i="14"/>
  <c r="BB5" i="14"/>
  <c r="BC51" i="14"/>
  <c r="BB51" i="14"/>
  <c r="BC14" i="14"/>
  <c r="BB14" i="14"/>
  <c r="BC44" i="14"/>
  <c r="BB44" i="14"/>
  <c r="BC22" i="14"/>
  <c r="BB22" i="14"/>
  <c r="BC30" i="14"/>
  <c r="BB30" i="14"/>
  <c r="BC32" i="14"/>
  <c r="BB32" i="14"/>
  <c r="BC45" i="14"/>
  <c r="BB45" i="14"/>
  <c r="BC20" i="14"/>
  <c r="BB20" i="14"/>
  <c r="BC26" i="14"/>
  <c r="BB26" i="14"/>
  <c r="BC9" i="14"/>
  <c r="BB9" i="14"/>
  <c r="BC7" i="14"/>
  <c r="BB7" i="14"/>
  <c r="BC35" i="14"/>
  <c r="BB35" i="14"/>
  <c r="BB8" i="14"/>
  <c r="BC8" i="14"/>
  <c r="BC38" i="14"/>
  <c r="BB38" i="14"/>
  <c r="BC47" i="14"/>
  <c r="BB47" i="14"/>
  <c r="BC27" i="14"/>
  <c r="BB27" i="14"/>
  <c r="BC17" i="14"/>
  <c r="BB17" i="14"/>
  <c r="BC31" i="14"/>
  <c r="BB31" i="14"/>
  <c r="BB12" i="14"/>
  <c r="BC12" i="14"/>
  <c r="BB18" i="14"/>
  <c r="BC18" i="14"/>
  <c r="BC25" i="14"/>
  <c r="BB25" i="14"/>
  <c r="BB48" i="14"/>
  <c r="BC48" i="14"/>
  <c r="BB6" i="14"/>
  <c r="BC6" i="14"/>
  <c r="BC42" i="14"/>
  <c r="BB42" i="14"/>
  <c r="BB23" i="14"/>
  <c r="BC23" i="14"/>
  <c r="BC4" i="14"/>
  <c r="BB4" i="14"/>
  <c r="BC40" i="14"/>
  <c r="BB40" i="14"/>
  <c r="BB46" i="14"/>
  <c r="BC46" i="14"/>
  <c r="BB39" i="14"/>
  <c r="BC39" i="14"/>
  <c r="BC21" i="14"/>
  <c r="BB21" i="14"/>
  <c r="BC37" i="14"/>
  <c r="BB37" i="14"/>
  <c r="BC50" i="14"/>
  <c r="BB50" i="14"/>
  <c r="W40" i="18"/>
  <c r="W3" i="18"/>
  <c r="W16" i="18"/>
  <c r="W39" i="18"/>
  <c r="W9" i="18"/>
  <c r="W71" i="18"/>
  <c r="W6" i="18"/>
  <c r="W13" i="18"/>
  <c r="W67" i="18"/>
  <c r="W59" i="18"/>
  <c r="W12" i="18"/>
  <c r="W50" i="18"/>
  <c r="W49" i="18"/>
  <c r="W60" i="18"/>
  <c r="W5" i="18"/>
  <c r="W15" i="18"/>
  <c r="W30" i="18"/>
  <c r="W7" i="18"/>
  <c r="W78" i="18"/>
  <c r="W66" i="18"/>
  <c r="W11" i="18"/>
  <c r="W10" i="18"/>
  <c r="W75" i="18"/>
  <c r="W69" i="18"/>
  <c r="W43" i="18"/>
  <c r="W19" i="18"/>
  <c r="W63" i="18"/>
  <c r="W77" i="18"/>
  <c r="W46" i="18"/>
  <c r="W42" i="18"/>
  <c r="W70" i="18"/>
  <c r="W62" i="18"/>
  <c r="W48" i="18"/>
  <c r="W21" i="18"/>
  <c r="W51" i="18"/>
  <c r="W22" i="18"/>
  <c r="W73" i="18"/>
  <c r="W36" i="18"/>
  <c r="W28" i="18"/>
  <c r="W65" i="18"/>
  <c r="W72" i="18"/>
  <c r="W8" i="18"/>
  <c r="W58" i="18"/>
  <c r="W24" i="18"/>
  <c r="W56" i="18"/>
  <c r="W45" i="18"/>
  <c r="W14" i="18"/>
  <c r="W17" i="18"/>
  <c r="W47" i="18"/>
  <c r="W44" i="18"/>
  <c r="W34" i="18"/>
  <c r="W29" i="18"/>
  <c r="W18" i="18"/>
  <c r="W76" i="18"/>
  <c r="W33" i="18"/>
  <c r="W37" i="18"/>
  <c r="W27" i="18"/>
  <c r="W23" i="18"/>
  <c r="W26" i="18"/>
  <c r="W31" i="18"/>
  <c r="W74" i="18"/>
  <c r="W61" i="18"/>
  <c r="W35" i="18"/>
  <c r="W52" i="18"/>
  <c r="W4" i="18"/>
  <c r="W38" i="18"/>
  <c r="W57" i="18"/>
  <c r="W25" i="18"/>
  <c r="W68" i="18"/>
  <c r="W53" i="18"/>
  <c r="W32" i="18"/>
  <c r="W41" i="18"/>
  <c r="W54" i="18"/>
  <c r="W20" i="18"/>
  <c r="W55" i="18"/>
  <c r="W64" i="18"/>
  <c r="W3" i="16" a="1"/>
  <c r="Y9" i="18"/>
  <c r="Y59" i="18"/>
  <c r="Q5" i="14"/>
  <c r="X74" i="18"/>
  <c r="X19" i="18"/>
  <c r="AB57" i="18"/>
  <c r="AA55" i="18"/>
  <c r="AB29" i="18"/>
  <c r="Z66" i="18"/>
  <c r="X60" i="18"/>
  <c r="Y41" i="18"/>
  <c r="Y73" i="18"/>
  <c r="X17" i="18"/>
  <c r="AB25" i="18"/>
  <c r="Y76" i="18"/>
  <c r="M45" i="14"/>
  <c r="AA40" i="18"/>
  <c r="AA24" i="18"/>
  <c r="Q44" i="14"/>
  <c r="Y29" i="18"/>
  <c r="Y25" i="18"/>
  <c r="AB24" i="18"/>
  <c r="X11" i="18"/>
  <c r="R26" i="14"/>
  <c r="AA41" i="18"/>
  <c r="Q53" i="14"/>
  <c r="Z55" i="18"/>
  <c r="Q47" i="14"/>
  <c r="AB4" i="18"/>
  <c r="Z37" i="18"/>
  <c r="AB26" i="18"/>
  <c r="Z30" i="18"/>
  <c r="AA58" i="18"/>
  <c r="Y63" i="18"/>
  <c r="M23" i="14"/>
  <c r="Y68" i="18"/>
  <c r="X21" i="18"/>
  <c r="AB12" i="18"/>
  <c r="Z13" i="18"/>
  <c r="M26" i="14"/>
  <c r="H19" i="14"/>
  <c r="Z36" i="18"/>
  <c r="AA6" i="18"/>
  <c r="L5" i="14"/>
  <c r="AB55" i="18"/>
  <c r="AA57" i="18"/>
  <c r="Z31" i="18"/>
  <c r="AA52" i="18"/>
  <c r="M51" i="14"/>
  <c r="Y13" i="18"/>
  <c r="Y65" i="18"/>
  <c r="X20" i="18"/>
  <c r="AA54" i="18"/>
  <c r="X40" i="18"/>
  <c r="R45" i="14"/>
  <c r="Y66" i="18"/>
  <c r="AB67" i="18"/>
  <c r="AB31" i="18"/>
  <c r="M36" i="14"/>
  <c r="X52" i="18"/>
  <c r="Q52" i="14"/>
  <c r="H14" i="14"/>
  <c r="AB14" i="18"/>
  <c r="AA44" i="18"/>
  <c r="Z54" i="18"/>
  <c r="X29" i="18"/>
  <c r="R53" i="14"/>
  <c r="X22" i="18"/>
  <c r="X31" i="18"/>
  <c r="AA50" i="18"/>
  <c r="AB3" i="18"/>
  <c r="AB61" i="18"/>
  <c r="AB15" i="18"/>
  <c r="Z60" i="18"/>
  <c r="Z58" i="18"/>
  <c r="AB41" i="18"/>
  <c r="X38" i="18"/>
  <c r="Z14" i="18"/>
  <c r="AA51" i="18"/>
  <c r="Z12" i="18"/>
  <c r="Z57" i="18"/>
  <c r="X46" i="18"/>
  <c r="Y77" i="18"/>
  <c r="X68" i="18"/>
  <c r="H9" i="14"/>
  <c r="Y26" i="18"/>
  <c r="Z18" i="18"/>
  <c r="AB27" i="18"/>
  <c r="X65" i="18"/>
  <c r="AA60" i="18"/>
  <c r="L32" i="14"/>
  <c r="AA49" i="18"/>
  <c r="R49" i="14"/>
  <c r="Y11" i="18"/>
  <c r="L46" i="14"/>
  <c r="M53" i="14"/>
  <c r="Z39" i="18"/>
  <c r="AA66" i="18"/>
  <c r="Z61" i="18"/>
  <c r="X78" i="18"/>
  <c r="Z19" i="18"/>
  <c r="AB43" i="18"/>
  <c r="Z72" i="18"/>
  <c r="AB45" i="18"/>
  <c r="AA32" i="18"/>
  <c r="AB65" i="18"/>
  <c r="AA74" i="18"/>
  <c r="X24" i="18"/>
  <c r="Y42" i="18"/>
  <c r="Y35" i="18"/>
  <c r="AB74" i="18"/>
  <c r="Z62" i="18"/>
  <c r="Y18" i="18"/>
  <c r="AB68" i="18"/>
  <c r="Y48" i="18"/>
  <c r="R5" i="14"/>
  <c r="Q49" i="14"/>
  <c r="X42" i="18"/>
  <c r="Q4" i="14"/>
  <c r="Q50" i="14"/>
  <c r="AA45" i="18"/>
  <c r="Q46" i="14"/>
  <c r="Y39" i="18"/>
  <c r="Z8" i="18"/>
  <c r="X69" i="18"/>
  <c r="AB76" i="18"/>
  <c r="AA62" i="18"/>
  <c r="Z21" i="18"/>
  <c r="Z53" i="18"/>
  <c r="H8" i="14"/>
  <c r="Z51" i="18"/>
  <c r="X3" i="18"/>
  <c r="X53" i="18"/>
  <c r="Y74" i="18"/>
  <c r="X6" i="18"/>
  <c r="L53" i="14"/>
  <c r="L23" i="14"/>
  <c r="L47" i="14"/>
  <c r="AB10" i="18"/>
  <c r="Z16" i="18"/>
  <c r="AB11" i="18"/>
  <c r="Y61" i="18"/>
  <c r="M4" i="14"/>
  <c r="R50" i="14"/>
  <c r="AB35" i="18"/>
  <c r="Y50" i="18"/>
  <c r="L45" i="14"/>
  <c r="M44" i="14"/>
  <c r="R55" i="14"/>
  <c r="AA76" i="18"/>
  <c r="X48" i="18"/>
  <c r="AB32" i="18"/>
  <c r="AA13" i="18"/>
  <c r="X61" i="18"/>
  <c r="Z29" i="18"/>
  <c r="AB13" i="18"/>
  <c r="AB19" i="18"/>
  <c r="AB70" i="18"/>
  <c r="X13" i="18"/>
  <c r="L26" i="14"/>
  <c r="Y6" i="18"/>
  <c r="AA15" i="18"/>
  <c r="Y15" i="18"/>
  <c r="X41" i="18"/>
  <c r="Y38" i="18"/>
  <c r="AA48" i="18"/>
  <c r="Y69" i="18"/>
  <c r="Y64" i="18"/>
  <c r="H21" i="14"/>
  <c r="AA29" i="18"/>
  <c r="L49" i="14"/>
  <c r="X44" i="18"/>
  <c r="Y5" i="18"/>
  <c r="X70" i="18"/>
  <c r="Z44" i="18"/>
  <c r="Q26" i="14"/>
  <c r="Q29" i="14"/>
  <c r="Y12" i="18"/>
  <c r="AB8" i="18"/>
  <c r="AB66" i="18"/>
  <c r="AB48" i="18"/>
  <c r="Z24" i="18"/>
  <c r="AA63" i="18"/>
  <c r="Z20" i="18"/>
  <c r="AB38" i="18"/>
  <c r="H13" i="14"/>
  <c r="Z26" i="18"/>
  <c r="AB17" i="18"/>
  <c r="L36" i="14"/>
  <c r="Y47" i="18"/>
  <c r="R29" i="14"/>
  <c r="AB77" i="18"/>
  <c r="Z75" i="18"/>
  <c r="Z65" i="18"/>
  <c r="L3" i="14"/>
  <c r="D46" i="1"/>
  <c r="AC2" i="18" s="1" a="1"/>
  <c r="Z11" i="18"/>
  <c r="AA3" i="18"/>
  <c r="Y54" i="18"/>
  <c r="AA4" i="18"/>
  <c r="AA30" i="18"/>
  <c r="AA59" i="18"/>
  <c r="X45" i="18"/>
  <c r="R4" i="14"/>
  <c r="X28" i="18"/>
  <c r="Z22" i="18"/>
  <c r="Z7" i="18"/>
  <c r="M40" i="14"/>
  <c r="AA11" i="18"/>
  <c r="Y56" i="18"/>
  <c r="AB37" i="18"/>
  <c r="AA68" i="18"/>
  <c r="X33" i="18"/>
  <c r="AA47" i="18"/>
  <c r="AA64" i="18"/>
  <c r="Z74" i="18"/>
  <c r="X23" i="18"/>
  <c r="AA35" i="18"/>
  <c r="Z34" i="18"/>
  <c r="AB44" i="18"/>
  <c r="AA43" i="18"/>
  <c r="M57" i="14"/>
  <c r="Y53" i="18"/>
  <c r="AA56" i="18"/>
  <c r="AA17" i="18"/>
  <c r="AA10" i="18"/>
  <c r="Z27" i="18"/>
  <c r="AA33" i="18"/>
  <c r="Z28" i="18"/>
  <c r="X50" i="18"/>
  <c r="Z41" i="18"/>
  <c r="Q32" i="14"/>
  <c r="X57" i="18"/>
  <c r="R32" i="14"/>
  <c r="AB58" i="18"/>
  <c r="AA77" i="18"/>
  <c r="AA25" i="18"/>
  <c r="AB69" i="18"/>
  <c r="AB9" i="18"/>
  <c r="M3" i="14"/>
  <c r="L57" i="14"/>
  <c r="M52" i="14"/>
  <c r="AA18" i="18"/>
  <c r="X72" i="18"/>
  <c r="H15" i="14"/>
  <c r="Z42" i="18"/>
  <c r="AB50" i="18"/>
  <c r="Z33" i="18"/>
  <c r="Z52" i="18"/>
  <c r="AB60" i="18"/>
  <c r="X4" i="18"/>
  <c r="Y20" i="18"/>
  <c r="Y52" i="18"/>
  <c r="X35" i="18"/>
  <c r="AA36" i="18"/>
  <c r="H11" i="14"/>
  <c r="Z68" i="18"/>
  <c r="N82" i="15"/>
  <c r="L40" i="14"/>
  <c r="AA23" i="18"/>
  <c r="AB20" i="18"/>
  <c r="Y36" i="18"/>
  <c r="R23" i="14"/>
  <c r="Z67" i="18"/>
  <c r="X64" i="18"/>
  <c r="C26" i="15"/>
  <c r="X39" i="18"/>
  <c r="X30" i="18"/>
  <c r="AB49" i="18"/>
  <c r="Q55" i="14"/>
  <c r="Q36" i="14"/>
  <c r="Y71" i="18"/>
  <c r="AA26" i="18"/>
  <c r="Y17" i="18"/>
  <c r="AA53" i="18"/>
  <c r="AA72" i="18"/>
  <c r="H12" i="14"/>
  <c r="H17" i="14"/>
  <c r="Z48" i="18"/>
  <c r="AB40" i="18"/>
  <c r="M50" i="14"/>
  <c r="AA19" i="18"/>
  <c r="AA71" i="18"/>
  <c r="X63" i="18"/>
  <c r="Y78" i="18"/>
  <c r="AA78" i="18"/>
  <c r="X36" i="18"/>
  <c r="Y49" i="18"/>
  <c r="AB64" i="18"/>
  <c r="AB53" i="18"/>
  <c r="Y75" i="18"/>
  <c r="H16" i="14"/>
  <c r="Y8" i="18"/>
  <c r="AB51" i="18"/>
  <c r="AB18" i="18"/>
  <c r="AB75" i="18"/>
  <c r="M49" i="14"/>
  <c r="L48" i="14"/>
  <c r="AB71" i="18"/>
  <c r="AB47" i="18"/>
  <c r="Y43" i="18"/>
  <c r="AA34" i="18"/>
  <c r="Z73" i="18"/>
  <c r="Q57" i="14"/>
  <c r="Y67" i="18"/>
  <c r="I4" i="1"/>
  <c r="Z4" i="18"/>
  <c r="X62" i="18"/>
  <c r="AB21" i="18"/>
  <c r="Y72" i="18"/>
  <c r="AA75" i="18"/>
  <c r="X26" i="18"/>
  <c r="AB78" i="18"/>
  <c r="R46" i="14"/>
  <c r="Y14" i="18"/>
  <c r="Z56" i="18"/>
  <c r="X71" i="18"/>
  <c r="Y24" i="18"/>
  <c r="AA38" i="18"/>
  <c r="AA22" i="18"/>
  <c r="X9" i="18"/>
  <c r="X73" i="18"/>
  <c r="M47" i="14"/>
  <c r="AB30" i="18"/>
  <c r="Q40" i="14"/>
  <c r="X66" i="18"/>
  <c r="Z45" i="18"/>
  <c r="AA12" i="18"/>
  <c r="X18" i="18"/>
  <c r="AB39" i="18"/>
  <c r="Z69" i="18"/>
  <c r="X49" i="18"/>
  <c r="Z49" i="18"/>
  <c r="Y46" i="18"/>
  <c r="AA14" i="18"/>
  <c r="Z64" i="18"/>
  <c r="Q51" i="14"/>
  <c r="Y28" i="18"/>
  <c r="Z9" i="18"/>
  <c r="X54" i="18"/>
  <c r="Z17" i="18"/>
  <c r="H18" i="14"/>
  <c r="X15" i="18"/>
  <c r="AA31" i="18"/>
  <c r="AB22" i="18"/>
  <c r="Q45" i="14"/>
  <c r="AA70" i="18"/>
  <c r="AB73" i="18"/>
  <c r="Q48" i="14"/>
  <c r="Y31" i="18"/>
  <c r="Y58" i="18"/>
  <c r="L50" i="14"/>
  <c r="X76" i="18"/>
  <c r="Y4" i="18"/>
  <c r="Q23" i="14"/>
  <c r="Z15" i="18"/>
  <c r="AB54" i="18"/>
  <c r="AB6" i="18"/>
  <c r="X75" i="18"/>
  <c r="Y33" i="18"/>
  <c r="AA20" i="18"/>
  <c r="W3" i="17" a="1"/>
  <c r="Q3" i="14"/>
  <c r="AB72" i="18"/>
  <c r="Y51" i="18"/>
  <c r="Y57" i="18"/>
  <c r="L29" i="14"/>
  <c r="R52" i="14"/>
  <c r="AA21" i="18"/>
  <c r="AA28" i="18"/>
  <c r="AB62" i="18"/>
  <c r="Y45" i="18"/>
  <c r="Y30" i="18"/>
  <c r="D47" i="1"/>
  <c r="C54" i="1"/>
  <c r="Z71" i="18"/>
  <c r="Z59" i="18"/>
  <c r="Y32" i="18"/>
  <c r="T82" i="15"/>
  <c r="L44" i="14"/>
  <c r="AA16" i="18"/>
  <c r="AB59" i="18"/>
  <c r="AB52" i="18"/>
  <c r="R47" i="14"/>
  <c r="AA7" i="18"/>
  <c r="R40" i="14"/>
  <c r="Z76" i="18"/>
  <c r="AB56" i="18"/>
  <c r="R44" i="14"/>
  <c r="M5" i="14"/>
  <c r="AA37" i="18"/>
  <c r="H10" i="14"/>
  <c r="R3" i="14"/>
  <c r="AA46" i="18"/>
  <c r="Z32" i="18"/>
  <c r="L51" i="14"/>
  <c r="X58" i="18"/>
  <c r="AA73" i="18"/>
  <c r="AA27" i="18"/>
  <c r="Z35" i="18"/>
  <c r="H20" i="14"/>
  <c r="Z46" i="18"/>
  <c r="X7" i="18"/>
  <c r="Z47" i="18"/>
  <c r="AB63" i="18"/>
  <c r="X55" i="18"/>
  <c r="Y7" i="18"/>
  <c r="AA9" i="18"/>
  <c r="X51" i="18"/>
  <c r="Y40" i="18"/>
  <c r="AB33" i="18"/>
  <c r="Y37" i="18"/>
  <c r="AB5" i="18"/>
  <c r="X56" i="18"/>
  <c r="X77" i="18"/>
  <c r="AA65" i="18"/>
  <c r="X16" i="18"/>
  <c r="L4" i="14"/>
  <c r="Z3" i="18"/>
  <c r="AB23" i="18"/>
  <c r="X32" i="18"/>
  <c r="Y27" i="18"/>
  <c r="X27" i="18"/>
  <c r="Y3" i="18"/>
  <c r="X10" i="18"/>
  <c r="AA61" i="18"/>
  <c r="AB42" i="18"/>
  <c r="M46" i="14"/>
  <c r="Y22" i="18"/>
  <c r="Z70" i="18"/>
  <c r="R57" i="14"/>
  <c r="Y23" i="18"/>
  <c r="Z5" i="18"/>
  <c r="AB46" i="18"/>
  <c r="M55" i="14"/>
  <c r="X34" i="18"/>
  <c r="X43" i="18"/>
  <c r="Y44" i="18"/>
  <c r="AB16" i="18"/>
  <c r="L55" i="14"/>
  <c r="X37" i="18"/>
  <c r="AA39" i="18"/>
  <c r="L52" i="14"/>
  <c r="X5" i="18"/>
  <c r="Y70" i="18"/>
  <c r="Z6" i="18"/>
  <c r="X59" i="18"/>
  <c r="R48" i="14"/>
  <c r="Z63" i="18"/>
  <c r="Y62" i="18"/>
  <c r="AA67" i="18"/>
  <c r="X8" i="18"/>
  <c r="Z78" i="18"/>
  <c r="Y10" i="18"/>
  <c r="H22" i="14"/>
  <c r="Z77" i="18"/>
  <c r="AB36" i="18"/>
  <c r="R51" i="14"/>
  <c r="Z40" i="18"/>
  <c r="O82" i="15"/>
  <c r="AA8" i="18"/>
  <c r="X25" i="18"/>
  <c r="Z23" i="18"/>
  <c r="Y55" i="18"/>
  <c r="Y16" i="18"/>
  <c r="AA5" i="18"/>
  <c r="S82" i="15"/>
  <c r="AB7" i="18"/>
  <c r="AB28" i="18"/>
  <c r="Z10" i="18"/>
  <c r="Z38" i="18"/>
  <c r="X14" i="18"/>
  <c r="Y21" i="18"/>
  <c r="AA42" i="18"/>
  <c r="Z25" i="18"/>
  <c r="AA69" i="18"/>
  <c r="Z43" i="18"/>
  <c r="M48" i="14"/>
  <c r="X47" i="18"/>
  <c r="Y34" i="18"/>
  <c r="R36" i="14"/>
  <c r="Z50" i="18"/>
  <c r="AB34" i="18"/>
  <c r="M32" i="14"/>
  <c r="X67" i="18"/>
  <c r="M29" i="14"/>
  <c r="X12" i="18"/>
  <c r="Y60" i="18"/>
  <c r="Y19" i="18"/>
  <c r="BI63" i="14" l="1"/>
  <c r="W17" i="16"/>
  <c r="W47" i="16"/>
  <c r="W50" i="16"/>
  <c r="W26" i="16"/>
  <c r="W44" i="16"/>
  <c r="W60" i="16"/>
  <c r="W31" i="16"/>
  <c r="W8" i="16"/>
  <c r="W25" i="16"/>
  <c r="W4" i="16"/>
  <c r="W16" i="16"/>
  <c r="W34" i="16"/>
  <c r="W21" i="16"/>
  <c r="W52" i="16"/>
  <c r="W13" i="16"/>
  <c r="W41" i="16"/>
  <c r="W33" i="16"/>
  <c r="W48" i="16"/>
  <c r="W32" i="16"/>
  <c r="W51" i="16"/>
  <c r="W5" i="16"/>
  <c r="W19" i="16"/>
  <c r="W20" i="16"/>
  <c r="W38" i="16"/>
  <c r="W39" i="16"/>
  <c r="W62" i="16"/>
  <c r="W55" i="16"/>
  <c r="W57" i="16"/>
  <c r="W28" i="16"/>
  <c r="W59" i="16"/>
  <c r="W42" i="16"/>
  <c r="W37" i="16"/>
  <c r="W56" i="16"/>
  <c r="W12" i="16"/>
  <c r="W14" i="16"/>
  <c r="W66" i="16"/>
  <c r="W15" i="16"/>
  <c r="W11" i="16"/>
  <c r="W36" i="16"/>
  <c r="W63" i="16"/>
  <c r="W65" i="16"/>
  <c r="W53" i="16"/>
  <c r="W30" i="16"/>
  <c r="W10" i="16"/>
  <c r="W43" i="16"/>
  <c r="W29" i="16"/>
  <c r="W22" i="16"/>
  <c r="W23" i="16"/>
  <c r="W9" i="16"/>
  <c r="W3" i="16"/>
  <c r="W54" i="16"/>
  <c r="W18" i="16"/>
  <c r="W24" i="16"/>
  <c r="W35" i="16"/>
  <c r="W7" i="16"/>
  <c r="W49" i="16"/>
  <c r="W40" i="16"/>
  <c r="W61" i="16"/>
  <c r="W27" i="16"/>
  <c r="W64" i="16"/>
  <c r="W6" i="16"/>
  <c r="W58" i="16"/>
  <c r="W45" i="16"/>
  <c r="W46" i="16"/>
  <c r="AC33" i="18"/>
  <c r="AC45" i="18"/>
  <c r="AC20" i="18"/>
  <c r="AC27" i="18"/>
  <c r="AC16" i="18"/>
  <c r="AC46" i="18"/>
  <c r="AC15" i="18"/>
  <c r="AC34" i="18"/>
  <c r="AC36" i="18"/>
  <c r="AC19" i="18"/>
  <c r="AC4" i="18"/>
  <c r="AC53" i="18"/>
  <c r="AC78" i="18"/>
  <c r="AC54" i="18"/>
  <c r="AC30" i="18"/>
  <c r="AC52" i="18"/>
  <c r="AC58" i="18"/>
  <c r="AC41" i="18"/>
  <c r="AC3" i="18"/>
  <c r="AC35" i="18"/>
  <c r="AC37" i="18"/>
  <c r="AC69" i="18"/>
  <c r="AC71" i="18"/>
  <c r="AC11" i="18"/>
  <c r="AC7" i="18"/>
  <c r="AC21" i="18"/>
  <c r="AC63" i="18"/>
  <c r="AC47" i="18"/>
  <c r="AC6" i="18"/>
  <c r="AC28" i="18"/>
  <c r="AC44" i="18"/>
  <c r="AC56" i="18"/>
  <c r="AC40" i="18"/>
  <c r="AC55" i="18"/>
  <c r="AC23" i="18"/>
  <c r="AC60" i="18"/>
  <c r="AC9" i="18"/>
  <c r="AC59" i="18"/>
  <c r="AC75" i="18"/>
  <c r="AC39" i="18"/>
  <c r="AC12" i="18"/>
  <c r="AC76" i="18"/>
  <c r="AC8" i="18"/>
  <c r="AC57" i="18"/>
  <c r="AC74" i="18"/>
  <c r="AC38" i="18"/>
  <c r="AC67" i="18"/>
  <c r="AC70" i="18"/>
  <c r="AC65" i="18"/>
  <c r="AC31" i="18"/>
  <c r="AC77" i="18"/>
  <c r="AC50" i="18"/>
  <c r="AC32" i="18"/>
  <c r="AC25" i="18"/>
  <c r="AC66" i="18"/>
  <c r="AC73" i="18"/>
  <c r="AC14" i="18"/>
  <c r="AC72" i="18"/>
  <c r="AC51" i="18"/>
  <c r="AC2" i="18"/>
  <c r="AC17" i="18"/>
  <c r="AC10" i="18"/>
  <c r="AC18" i="18"/>
  <c r="AC22" i="18"/>
  <c r="AC64" i="18"/>
  <c r="AC26" i="18"/>
  <c r="AC24" i="18"/>
  <c r="AC13" i="18"/>
  <c r="AC61" i="18"/>
  <c r="AC48" i="18"/>
  <c r="AC43" i="18"/>
  <c r="AC29" i="18"/>
  <c r="AC62" i="18"/>
  <c r="AC5" i="18"/>
  <c r="AC49" i="18"/>
  <c r="AC68" i="18"/>
  <c r="AC42" i="18"/>
  <c r="K9" i="14"/>
  <c r="V73" i="18"/>
  <c r="K14" i="14"/>
  <c r="V70" i="18"/>
  <c r="K17" i="14"/>
  <c r="V23" i="18"/>
  <c r="V40" i="18"/>
  <c r="K20" i="14"/>
  <c r="V29" i="18"/>
  <c r="V21" i="18"/>
  <c r="V44" i="18"/>
  <c r="V51" i="18"/>
  <c r="V50" i="18"/>
  <c r="V58" i="18"/>
  <c r="V10" i="18"/>
  <c r="V54" i="18"/>
  <c r="V68" i="18"/>
  <c r="V3" i="18"/>
  <c r="V31" i="18"/>
  <c r="V8" i="18"/>
  <c r="V61" i="18"/>
  <c r="V7" i="18"/>
  <c r="V57" i="18"/>
  <c r="V62" i="18"/>
  <c r="K6" i="14"/>
  <c r="V18" i="18"/>
  <c r="V28" i="18"/>
  <c r="V17" i="18"/>
  <c r="V60" i="18"/>
  <c r="V9" i="18"/>
  <c r="V77" i="18"/>
  <c r="V78" i="18"/>
  <c r="V13" i="18"/>
  <c r="V65" i="18"/>
  <c r="V16" i="18"/>
  <c r="K15" i="14"/>
  <c r="K11" i="14"/>
  <c r="V74" i="18"/>
  <c r="V76" i="18"/>
  <c r="V63" i="18"/>
  <c r="K13" i="14"/>
  <c r="V49" i="18"/>
  <c r="K7" i="14"/>
  <c r="V20" i="18"/>
  <c r="V38" i="18"/>
  <c r="V24" i="18"/>
  <c r="V66" i="18"/>
  <c r="V64" i="18"/>
  <c r="V69" i="18"/>
  <c r="V59" i="18"/>
  <c r="W18" i="17"/>
  <c r="W44" i="17"/>
  <c r="W15" i="17"/>
  <c r="W49" i="17"/>
  <c r="W21" i="17"/>
  <c r="W17" i="17"/>
  <c r="W26" i="17"/>
  <c r="W35" i="17"/>
  <c r="W6" i="17"/>
  <c r="W32" i="17"/>
  <c r="W12" i="17"/>
  <c r="W47" i="17"/>
  <c r="W51" i="17"/>
  <c r="W33" i="17"/>
  <c r="W52" i="17"/>
  <c r="W23" i="17"/>
  <c r="W3" i="17"/>
  <c r="W38" i="17"/>
  <c r="W46" i="17"/>
  <c r="W9" i="17"/>
  <c r="W34" i="17"/>
  <c r="W55" i="17"/>
  <c r="W14" i="17"/>
  <c r="W40" i="17"/>
  <c r="W29" i="17"/>
  <c r="W37" i="17"/>
  <c r="W43" i="17"/>
  <c r="W8" i="17"/>
  <c r="W22" i="17"/>
  <c r="W16" i="17"/>
  <c r="W31" i="17"/>
  <c r="W20" i="17"/>
  <c r="W28" i="17"/>
  <c r="W54" i="17"/>
  <c r="W39" i="17"/>
  <c r="W5" i="17"/>
  <c r="W30" i="17"/>
  <c r="W25" i="17"/>
  <c r="W27" i="17"/>
  <c r="W53" i="17"/>
  <c r="W24" i="17"/>
  <c r="W50" i="17"/>
  <c r="W48" i="17"/>
  <c r="W4" i="17"/>
  <c r="W11" i="17"/>
  <c r="W13" i="17"/>
  <c r="W41" i="17"/>
  <c r="W10" i="17"/>
  <c r="W7" i="17"/>
  <c r="W19" i="17"/>
  <c r="W36" i="17"/>
  <c r="W45" i="17"/>
  <c r="W42" i="17"/>
  <c r="V53" i="18"/>
  <c r="V34" i="18"/>
  <c r="V72" i="18"/>
  <c r="K18" i="14"/>
  <c r="V19" i="18"/>
  <c r="V43" i="18"/>
  <c r="K19" i="14"/>
  <c r="V26" i="18"/>
  <c r="V35" i="18"/>
  <c r="V39" i="18"/>
  <c r="V37" i="18"/>
  <c r="V14" i="18"/>
  <c r="V75" i="18"/>
  <c r="V71" i="18"/>
  <c r="V33" i="18"/>
  <c r="V4" i="18"/>
  <c r="V6" i="18"/>
  <c r="V30" i="18"/>
  <c r="V56" i="18"/>
  <c r="H26" i="15"/>
  <c r="I26" i="15"/>
  <c r="V15" i="18"/>
  <c r="V55" i="18"/>
  <c r="V52" i="18"/>
  <c r="V36" i="18"/>
  <c r="V22" i="18"/>
  <c r="V27" i="18"/>
  <c r="V48" i="18"/>
  <c r="V5" i="18"/>
  <c r="K8" i="14"/>
  <c r="V41" i="18"/>
  <c r="K12" i="14"/>
  <c r="V32" i="18"/>
  <c r="V47" i="18"/>
  <c r="V45" i="18"/>
  <c r="V42" i="18"/>
  <c r="V25" i="18"/>
  <c r="V67" i="18"/>
  <c r="K10" i="14"/>
  <c r="V12" i="18"/>
  <c r="V46" i="18"/>
  <c r="K16" i="14"/>
  <c r="V11" i="18"/>
  <c r="Z17" i="16"/>
  <c r="X17" i="16"/>
  <c r="AB17" i="16"/>
  <c r="AA17" i="16"/>
  <c r="Y17" i="16"/>
  <c r="Z25" i="16"/>
  <c r="AA25" i="16"/>
  <c r="AB25" i="16"/>
  <c r="Y25" i="16"/>
  <c r="X25" i="16"/>
  <c r="AB33" i="16"/>
  <c r="X33" i="16"/>
  <c r="AA33" i="16"/>
  <c r="Y33" i="16"/>
  <c r="Z33" i="16"/>
  <c r="Z39" i="16"/>
  <c r="AB39" i="16"/>
  <c r="Y39" i="16"/>
  <c r="AA39" i="16"/>
  <c r="X39" i="16"/>
  <c r="X56" i="16"/>
  <c r="AA56" i="16"/>
  <c r="AB56" i="16"/>
  <c r="Y56" i="16"/>
  <c r="Z56" i="16"/>
  <c r="Z65" i="16"/>
  <c r="X65" i="16"/>
  <c r="Y65" i="16"/>
  <c r="AA65" i="16"/>
  <c r="AB65" i="16"/>
  <c r="X9" i="16"/>
  <c r="AA9" i="16"/>
  <c r="AB9" i="16"/>
  <c r="Z9" i="16"/>
  <c r="Y9" i="16"/>
  <c r="AA40" i="16"/>
  <c r="AB40" i="16"/>
  <c r="Z40" i="16"/>
  <c r="X40" i="16"/>
  <c r="Y40" i="16"/>
  <c r="X23" i="17"/>
  <c r="Y12" i="17"/>
  <c r="Z50" i="17"/>
  <c r="X31" i="17"/>
  <c r="L7" i="14"/>
  <c r="X47" i="17"/>
  <c r="R11" i="14"/>
  <c r="AB6" i="17"/>
  <c r="Z51" i="17"/>
  <c r="AB13" i="17"/>
  <c r="Y7" i="17"/>
  <c r="Q20" i="14"/>
  <c r="Y27" i="17"/>
  <c r="Y37" i="17"/>
  <c r="Z30" i="17"/>
  <c r="Z21" i="17"/>
  <c r="AA35" i="17"/>
  <c r="AA31" i="17"/>
  <c r="L12" i="14"/>
  <c r="X13" i="17"/>
  <c r="Y14" i="17"/>
  <c r="R16" i="14"/>
  <c r="Y36" i="17"/>
  <c r="Y32" i="17"/>
  <c r="R12" i="14"/>
  <c r="AB16" i="17"/>
  <c r="AB41" i="17"/>
  <c r="AA45" i="17"/>
  <c r="Z41" i="17"/>
  <c r="X27" i="17"/>
  <c r="Q14" i="14"/>
  <c r="Q10" i="14"/>
  <c r="AB3" i="17"/>
  <c r="AB20" i="17"/>
  <c r="AA25" i="17"/>
  <c r="AA42" i="17"/>
  <c r="Z48" i="17"/>
  <c r="X41" i="17"/>
  <c r="Z38" i="17"/>
  <c r="Y19" i="17"/>
  <c r="M17" i="14"/>
  <c r="Z4" i="17"/>
  <c r="X49" i="17"/>
  <c r="Y29" i="17"/>
  <c r="AB25" i="17"/>
  <c r="AA10" i="17"/>
  <c r="R15" i="14"/>
  <c r="Z18" i="17"/>
  <c r="AB37" i="17"/>
  <c r="AB42" i="17"/>
  <c r="X46" i="17"/>
  <c r="Z39" i="17"/>
  <c r="L10" i="14"/>
  <c r="AB9" i="17"/>
  <c r="Y38" i="17"/>
  <c r="R6" i="14"/>
  <c r="X33" i="17"/>
  <c r="Q19" i="14"/>
  <c r="Y10" i="17"/>
  <c r="X55" i="17"/>
  <c r="Y17" i="17"/>
  <c r="X14" i="17"/>
  <c r="AB55" i="17"/>
  <c r="Y6" i="17"/>
  <c r="X39" i="17"/>
  <c r="R8" i="14"/>
  <c r="Y28" i="17"/>
  <c r="AB43" i="17"/>
  <c r="Z33" i="17"/>
  <c r="L17" i="14"/>
  <c r="AB45" i="17"/>
  <c r="X9" i="17"/>
  <c r="X19" i="16"/>
  <c r="Y19" i="16"/>
  <c r="AA19" i="16"/>
  <c r="AB19" i="16"/>
  <c r="Z19" i="16"/>
  <c r="M6" i="14"/>
  <c r="AB11" i="17"/>
  <c r="AA44" i="17"/>
  <c r="Y16" i="17"/>
  <c r="AA8" i="17"/>
  <c r="L15" i="14"/>
  <c r="Y40" i="17"/>
  <c r="Q18" i="14"/>
  <c r="AA13" i="16"/>
  <c r="AB13" i="16"/>
  <c r="Z13" i="16"/>
  <c r="Y13" i="16"/>
  <c r="X13" i="16"/>
  <c r="Z45" i="16"/>
  <c r="AB45" i="16"/>
  <c r="Y45" i="16"/>
  <c r="AA45" i="16"/>
  <c r="X45" i="16"/>
  <c r="X54" i="17"/>
  <c r="X37" i="17"/>
  <c r="AB47" i="17"/>
  <c r="AA48" i="17"/>
  <c r="X47" i="16"/>
  <c r="Y47" i="16"/>
  <c r="AB47" i="16"/>
  <c r="Z47" i="16"/>
  <c r="AA47" i="16"/>
  <c r="AA4" i="16"/>
  <c r="Y4" i="16"/>
  <c r="X4" i="16"/>
  <c r="AB4" i="16"/>
  <c r="Z4" i="16"/>
  <c r="AA48" i="16"/>
  <c r="X48" i="16"/>
  <c r="Z48" i="16"/>
  <c r="AB48" i="16"/>
  <c r="Y48" i="16"/>
  <c r="AB62" i="16"/>
  <c r="Y62" i="16"/>
  <c r="X62" i="16"/>
  <c r="AA62" i="16"/>
  <c r="Z62" i="16"/>
  <c r="X12" i="16"/>
  <c r="AB12" i="16"/>
  <c r="AA12" i="16"/>
  <c r="Z12" i="16"/>
  <c r="Y12" i="16"/>
  <c r="Y53" i="16"/>
  <c r="Z53" i="16"/>
  <c r="X53" i="16"/>
  <c r="AB53" i="16"/>
  <c r="AA53" i="16"/>
  <c r="Z3" i="16"/>
  <c r="X3" i="16"/>
  <c r="Y3" i="16"/>
  <c r="AB3" i="16"/>
  <c r="AA3" i="16"/>
  <c r="AA61" i="16"/>
  <c r="Y61" i="16"/>
  <c r="Z61" i="16"/>
  <c r="AB61" i="16"/>
  <c r="X61" i="16"/>
  <c r="Z49" i="17"/>
  <c r="Y9" i="17"/>
  <c r="R18" i="14"/>
  <c r="R20" i="14"/>
  <c r="Y8" i="17"/>
  <c r="L18" i="14"/>
  <c r="Y44" i="17"/>
  <c r="Y41" i="17"/>
  <c r="AB39" i="17"/>
  <c r="Y31" i="17"/>
  <c r="C27" i="15"/>
  <c r="Y13" i="17"/>
  <c r="Y26" i="17"/>
  <c r="AB23" i="17"/>
  <c r="Z44" i="17"/>
  <c r="AA16" i="17"/>
  <c r="Z19" i="17"/>
  <c r="M20" i="14"/>
  <c r="Z28" i="17"/>
  <c r="X50" i="17"/>
  <c r="Z36" i="17"/>
  <c r="Y49" i="17"/>
  <c r="AB36" i="17"/>
  <c r="AA47" i="17"/>
  <c r="AA53" i="17"/>
  <c r="L13" i="14"/>
  <c r="AA37" i="17"/>
  <c r="AB33" i="17"/>
  <c r="Z10" i="17"/>
  <c r="Q7" i="14"/>
  <c r="Q16" i="14"/>
  <c r="Z29" i="17"/>
  <c r="AB53" i="17"/>
  <c r="Z34" i="17"/>
  <c r="Z9" i="17"/>
  <c r="AB19" i="17"/>
  <c r="AA26" i="17"/>
  <c r="AA30" i="17"/>
  <c r="Z3" i="17"/>
  <c r="X32" i="17"/>
  <c r="AA46" i="17"/>
  <c r="M18" i="14"/>
  <c r="AA4" i="17"/>
  <c r="X21" i="17"/>
  <c r="Z45" i="17"/>
  <c r="AA36" i="17"/>
  <c r="Y25" i="17"/>
  <c r="X26" i="17"/>
  <c r="AB18" i="17"/>
  <c r="Y35" i="17"/>
  <c r="X38" i="17"/>
  <c r="AA39" i="17"/>
  <c r="X34" i="17"/>
  <c r="Y5" i="17"/>
  <c r="AA49" i="17"/>
  <c r="AB27" i="17"/>
  <c r="AA20" i="17"/>
  <c r="AA17" i="17"/>
  <c r="AA54" i="17"/>
  <c r="Z25" i="17"/>
  <c r="Z23" i="17"/>
  <c r="AA13" i="17"/>
  <c r="AA15" i="17"/>
  <c r="Q8" i="14"/>
  <c r="X18" i="17"/>
  <c r="AB24" i="17"/>
  <c r="Y39" i="17"/>
  <c r="Z52" i="16"/>
  <c r="X52" i="16"/>
  <c r="Y52" i="16"/>
  <c r="AA52" i="16"/>
  <c r="AB52" i="16"/>
  <c r="Y4" i="17"/>
  <c r="AA7" i="17"/>
  <c r="AA50" i="17"/>
  <c r="Z52" i="17"/>
  <c r="X29" i="17"/>
  <c r="AB28" i="17"/>
  <c r="AA21" i="17"/>
  <c r="X20" i="17"/>
  <c r="U3" i="14" a="1"/>
  <c r="Y55" i="17"/>
  <c r="AB31" i="17"/>
  <c r="AB20" i="16"/>
  <c r="Z20" i="16"/>
  <c r="Y20" i="16"/>
  <c r="X20" i="16"/>
  <c r="AA20" i="16"/>
  <c r="Y22" i="16"/>
  <c r="AA22" i="16"/>
  <c r="X22" i="16"/>
  <c r="AB22" i="16"/>
  <c r="Z22" i="16"/>
  <c r="R17" i="14"/>
  <c r="Y45" i="17"/>
  <c r="Y11" i="17"/>
  <c r="AA50" i="16"/>
  <c r="AB50" i="16"/>
  <c r="Z50" i="16"/>
  <c r="X50" i="16"/>
  <c r="Y50" i="16"/>
  <c r="Y16" i="16"/>
  <c r="X16" i="16"/>
  <c r="AB16" i="16"/>
  <c r="AA16" i="16"/>
  <c r="Z16" i="16"/>
  <c r="Y32" i="16"/>
  <c r="AA32" i="16"/>
  <c r="X32" i="16"/>
  <c r="AB32" i="16"/>
  <c r="Z32" i="16"/>
  <c r="X55" i="16"/>
  <c r="AA55" i="16"/>
  <c r="Y55" i="16"/>
  <c r="Z55" i="16"/>
  <c r="AB55" i="16"/>
  <c r="Z14" i="16"/>
  <c r="AA14" i="16"/>
  <c r="AB14" i="16"/>
  <c r="X14" i="16"/>
  <c r="Y14" i="16"/>
  <c r="X30" i="16"/>
  <c r="AB30" i="16"/>
  <c r="Z30" i="16"/>
  <c r="AA30" i="16"/>
  <c r="Y30" i="16"/>
  <c r="X54" i="16"/>
  <c r="AA54" i="16"/>
  <c r="AB54" i="16"/>
  <c r="Z54" i="16"/>
  <c r="Y54" i="16"/>
  <c r="Y27" i="16"/>
  <c r="Z27" i="16"/>
  <c r="X27" i="16"/>
  <c r="AA27" i="16"/>
  <c r="AB27" i="16"/>
  <c r="X36" i="17"/>
  <c r="AA43" i="17"/>
  <c r="AB35" i="17"/>
  <c r="Z7" i="17"/>
  <c r="AB50" i="17"/>
  <c r="X30" i="17"/>
  <c r="X43" i="17"/>
  <c r="Z20" i="17"/>
  <c r="X6" i="17"/>
  <c r="Y46" i="17"/>
  <c r="Z42" i="17"/>
  <c r="AB46" i="17"/>
  <c r="AA38" i="17"/>
  <c r="AA29" i="17"/>
  <c r="AA18" i="17"/>
  <c r="Z14" i="17"/>
  <c r="X52" i="17"/>
  <c r="Z32" i="17"/>
  <c r="AB44" i="17"/>
  <c r="AB21" i="17"/>
  <c r="Y23" i="17"/>
  <c r="X19" i="17"/>
  <c r="Y24" i="17"/>
  <c r="R19" i="14"/>
  <c r="M10" i="14"/>
  <c r="Y34" i="17"/>
  <c r="AA22" i="17"/>
  <c r="Y33" i="17"/>
  <c r="AB32" i="17"/>
  <c r="X40" i="17"/>
  <c r="Z26" i="17"/>
  <c r="AB29" i="17"/>
  <c r="Z37" i="17"/>
  <c r="AA34" i="17"/>
  <c r="Z13" i="17"/>
  <c r="X35" i="17"/>
  <c r="AA32" i="17"/>
  <c r="X4" i="17"/>
  <c r="Z6" i="17"/>
  <c r="L8" i="14"/>
  <c r="Z53" i="17"/>
  <c r="AA55" i="17"/>
  <c r="X51" i="17"/>
  <c r="D54" i="1"/>
  <c r="X28" i="17"/>
  <c r="X17" i="17"/>
  <c r="X7" i="17"/>
  <c r="M8" i="14"/>
  <c r="X22" i="17"/>
  <c r="AA14" i="17"/>
  <c r="X5" i="17"/>
  <c r="Y53" i="17"/>
  <c r="AB14" i="17"/>
  <c r="Z35" i="17"/>
  <c r="Y20" i="17"/>
  <c r="L11" i="14"/>
  <c r="Y54" i="17"/>
  <c r="Z27" i="17"/>
  <c r="Z54" i="17"/>
  <c r="AA19" i="17"/>
  <c r="L20" i="14"/>
  <c r="Z60" i="16"/>
  <c r="X60" i="16"/>
  <c r="AB60" i="16"/>
  <c r="Y60" i="16"/>
  <c r="AA60" i="16"/>
  <c r="Y52" i="17"/>
  <c r="Z55" i="17"/>
  <c r="AA6" i="17"/>
  <c r="M19" i="14"/>
  <c r="Y50" i="17"/>
  <c r="R7" i="14"/>
  <c r="AA41" i="17"/>
  <c r="M15" i="14"/>
  <c r="AA12" i="17"/>
  <c r="Y3" i="17"/>
  <c r="L19" i="14"/>
  <c r="AA27" i="17"/>
  <c r="Z22" i="17"/>
  <c r="AB31" i="16"/>
  <c r="X31" i="16"/>
  <c r="Y31" i="16"/>
  <c r="Z31" i="16"/>
  <c r="AA31" i="16"/>
  <c r="X7" i="16"/>
  <c r="AA7" i="16"/>
  <c r="Y7" i="16"/>
  <c r="Z7" i="16"/>
  <c r="AB7" i="16"/>
  <c r="Z31" i="17"/>
  <c r="AB38" i="17"/>
  <c r="Q17" i="14"/>
  <c r="AA33" i="17"/>
  <c r="AB8" i="17"/>
  <c r="C55" i="1"/>
  <c r="X45" i="17"/>
  <c r="AA28" i="17"/>
  <c r="Y26" i="16"/>
  <c r="Z26" i="16"/>
  <c r="AB26" i="16"/>
  <c r="AA26" i="16"/>
  <c r="X26" i="16"/>
  <c r="Z34" i="16"/>
  <c r="AB34" i="16"/>
  <c r="X34" i="16"/>
  <c r="AA34" i="16"/>
  <c r="Y34" i="16"/>
  <c r="AA51" i="16"/>
  <c r="Z51" i="16"/>
  <c r="Y51" i="16"/>
  <c r="AB51" i="16"/>
  <c r="X51" i="16"/>
  <c r="Z57" i="16"/>
  <c r="AA57" i="16"/>
  <c r="AB57" i="16"/>
  <c r="X57" i="16"/>
  <c r="Y57" i="16"/>
  <c r="X66" i="16"/>
  <c r="Z66" i="16"/>
  <c r="AB66" i="16"/>
  <c r="Y66" i="16"/>
  <c r="AA66" i="16"/>
  <c r="Y10" i="16"/>
  <c r="X10" i="16"/>
  <c r="AA10" i="16"/>
  <c r="AB10" i="16"/>
  <c r="Z10" i="16"/>
  <c r="Z18" i="16"/>
  <c r="X18" i="16"/>
  <c r="AA18" i="16"/>
  <c r="AB18" i="16"/>
  <c r="Y18" i="16"/>
  <c r="AA64" i="16"/>
  <c r="Z64" i="16"/>
  <c r="AB64" i="16"/>
  <c r="X64" i="16"/>
  <c r="Y64" i="16"/>
  <c r="L6" i="14"/>
  <c r="M12" i="14"/>
  <c r="X24" i="17"/>
  <c r="AB48" i="17"/>
  <c r="L16" i="14"/>
  <c r="R10" i="14"/>
  <c r="Y42" i="17"/>
  <c r="AA59" i="16"/>
  <c r="Z59" i="16"/>
  <c r="X59" i="16"/>
  <c r="Y59" i="16"/>
  <c r="AB59" i="16"/>
  <c r="X29" i="16"/>
  <c r="AA29" i="16"/>
  <c r="Y29" i="16"/>
  <c r="Z29" i="16"/>
  <c r="AB29" i="16"/>
  <c r="AB58" i="16"/>
  <c r="Z58" i="16"/>
  <c r="AA58" i="16"/>
  <c r="X58" i="16"/>
  <c r="Y58" i="16"/>
  <c r="Q11" i="14"/>
  <c r="AB34" i="17"/>
  <c r="Z15" i="17"/>
  <c r="Z42" i="16"/>
  <c r="Y42" i="16"/>
  <c r="AB42" i="16"/>
  <c r="X42" i="16"/>
  <c r="AA42" i="16"/>
  <c r="AA5" i="17"/>
  <c r="AA51" i="17"/>
  <c r="Z46" i="17"/>
  <c r="Z11" i="17"/>
  <c r="Y44" i="16"/>
  <c r="Z44" i="16"/>
  <c r="X44" i="16"/>
  <c r="AB44" i="16"/>
  <c r="AA44" i="16"/>
  <c r="Y21" i="16"/>
  <c r="AA21" i="16"/>
  <c r="X21" i="16"/>
  <c r="AB21" i="16"/>
  <c r="Z21" i="16"/>
  <c r="AB5" i="16"/>
  <c r="X5" i="16"/>
  <c r="AA5" i="16"/>
  <c r="Y5" i="16"/>
  <c r="Z5" i="16"/>
  <c r="AA28" i="16"/>
  <c r="Z28" i="16"/>
  <c r="AB28" i="16"/>
  <c r="X28" i="16"/>
  <c r="Y28" i="16"/>
  <c r="AA15" i="16"/>
  <c r="AB15" i="16"/>
  <c r="X15" i="16"/>
  <c r="Y15" i="16"/>
  <c r="Z15" i="16"/>
  <c r="Y43" i="16"/>
  <c r="AA43" i="16"/>
  <c r="AB43" i="16"/>
  <c r="Z43" i="16"/>
  <c r="X43" i="16"/>
  <c r="X24" i="16"/>
  <c r="Y24" i="16"/>
  <c r="AB24" i="16"/>
  <c r="AA24" i="16"/>
  <c r="Z24" i="16"/>
  <c r="X6" i="16"/>
  <c r="AA6" i="16"/>
  <c r="Y6" i="16"/>
  <c r="Z6" i="16"/>
  <c r="AB6" i="16"/>
  <c r="AB12" i="17"/>
  <c r="AA11" i="16"/>
  <c r="AB11" i="16"/>
  <c r="Y11" i="16"/>
  <c r="Z11" i="16"/>
  <c r="X11" i="16"/>
  <c r="AB35" i="16"/>
  <c r="X35" i="16"/>
  <c r="AA35" i="16"/>
  <c r="Y35" i="16"/>
  <c r="Z35" i="16"/>
  <c r="X25" i="17"/>
  <c r="M11" i="14"/>
  <c r="X8" i="17"/>
  <c r="Q6" i="14"/>
  <c r="X44" i="17"/>
  <c r="Z36" i="16"/>
  <c r="Y36" i="16"/>
  <c r="X36" i="16"/>
  <c r="AB36" i="16"/>
  <c r="AA36" i="16"/>
  <c r="AB49" i="17"/>
  <c r="AB51" i="17"/>
  <c r="X10" i="17"/>
  <c r="M9" i="14"/>
  <c r="X53" i="17"/>
  <c r="X8" i="16"/>
  <c r="AB8" i="16"/>
  <c r="Y8" i="16"/>
  <c r="AA8" i="16"/>
  <c r="Z8" i="16"/>
  <c r="Z41" i="16"/>
  <c r="X41" i="16"/>
  <c r="AB41" i="16"/>
  <c r="Y41" i="16"/>
  <c r="AA41" i="16"/>
  <c r="X38" i="16"/>
  <c r="AB38" i="16"/>
  <c r="Y38" i="16"/>
  <c r="Z38" i="16"/>
  <c r="AA38" i="16"/>
  <c r="Y37" i="16"/>
  <c r="AB37" i="16"/>
  <c r="X37" i="16"/>
  <c r="AA37" i="16"/>
  <c r="Z37" i="16"/>
  <c r="AB63" i="16"/>
  <c r="X63" i="16"/>
  <c r="AA63" i="16"/>
  <c r="Y63" i="16"/>
  <c r="Z63" i="16"/>
  <c r="AB23" i="16"/>
  <c r="AA23" i="16"/>
  <c r="Z23" i="16"/>
  <c r="X23" i="16"/>
  <c r="Y23" i="16"/>
  <c r="AA49" i="16"/>
  <c r="AB49" i="16"/>
  <c r="Z49" i="16"/>
  <c r="X49" i="16"/>
  <c r="Y49" i="16"/>
  <c r="X46" i="16"/>
  <c r="AA46" i="16"/>
  <c r="Y46" i="16"/>
  <c r="Z46" i="16"/>
  <c r="AB46" i="16"/>
  <c r="AA52" i="17"/>
  <c r="Y47" i="17"/>
  <c r="X48" i="17"/>
  <c r="Z16" i="17"/>
  <c r="R13" i="14"/>
  <c r="AB54" i="17"/>
  <c r="AB7" i="17"/>
  <c r="R14" i="14"/>
  <c r="Z12" i="17"/>
  <c r="L14" i="14"/>
  <c r="Q13" i="14"/>
  <c r="Y22" i="17"/>
  <c r="R9" i="14"/>
  <c r="AB52" i="17"/>
  <c r="X16" i="17"/>
  <c r="AB15" i="17"/>
  <c r="Y43" i="17"/>
  <c r="AB40" i="17"/>
  <c r="M14" i="14"/>
  <c r="AA11" i="17"/>
  <c r="AA24" i="17"/>
  <c r="Q9" i="14"/>
  <c r="X11" i="17"/>
  <c r="Z5" i="17"/>
  <c r="M13" i="14"/>
  <c r="Z24" i="17"/>
  <c r="Y18" i="17"/>
  <c r="Y21" i="17"/>
  <c r="AA9" i="17"/>
  <c r="X15" i="17"/>
  <c r="Z8" i="17"/>
  <c r="AB22" i="17"/>
  <c r="Z43" i="17"/>
  <c r="Y48" i="17"/>
  <c r="J26" i="15"/>
  <c r="AA40" i="17"/>
  <c r="AB26" i="17"/>
  <c r="Q15" i="14"/>
  <c r="Z47" i="17"/>
  <c r="AB10" i="17"/>
  <c r="AB4" i="17"/>
  <c r="X12" i="17"/>
  <c r="Z40" i="17"/>
  <c r="Y51" i="17"/>
  <c r="AB17" i="17"/>
  <c r="M16" i="14"/>
  <c r="M7" i="14"/>
  <c r="L9" i="14"/>
  <c r="Q12" i="14"/>
  <c r="AA3" i="17"/>
  <c r="X3" i="17"/>
  <c r="AB5" i="17"/>
  <c r="AB30" i="17"/>
  <c r="Y30" i="17"/>
  <c r="Y15" i="17"/>
  <c r="AA23" i="17"/>
  <c r="X42" i="17"/>
  <c r="Z17" i="17"/>
  <c r="V46" i="16" l="1"/>
  <c r="V49" i="16"/>
  <c r="V23" i="16"/>
  <c r="V63" i="16"/>
  <c r="V37" i="16"/>
  <c r="V38" i="16"/>
  <c r="V41" i="16"/>
  <c r="V8" i="16"/>
  <c r="V36" i="16"/>
  <c r="V35" i="16"/>
  <c r="V11" i="16"/>
  <c r="V6" i="16"/>
  <c r="V24" i="16"/>
  <c r="V43" i="16"/>
  <c r="V15" i="16"/>
  <c r="V28" i="16"/>
  <c r="V5" i="16"/>
  <c r="V21" i="16"/>
  <c r="V44" i="16"/>
  <c r="V42" i="16"/>
  <c r="V58" i="16"/>
  <c r="V29" i="16"/>
  <c r="V59" i="16"/>
  <c r="V64" i="16"/>
  <c r="V18" i="16"/>
  <c r="V10" i="16"/>
  <c r="V66" i="16"/>
  <c r="V57" i="16"/>
  <c r="V51" i="16"/>
  <c r="V34" i="16"/>
  <c r="V26" i="16"/>
  <c r="V7" i="16"/>
  <c r="V31" i="16"/>
  <c r="V60" i="16"/>
  <c r="V27" i="16"/>
  <c r="V54" i="16"/>
  <c r="V30" i="16"/>
  <c r="V14" i="16"/>
  <c r="V55" i="16"/>
  <c r="V32" i="16"/>
  <c r="V16" i="16"/>
  <c r="V50" i="16"/>
  <c r="V22" i="16"/>
  <c r="V20" i="16"/>
  <c r="V52" i="16"/>
  <c r="V61" i="16"/>
  <c r="V3" i="16"/>
  <c r="V53" i="16"/>
  <c r="V12" i="16"/>
  <c r="V62" i="16"/>
  <c r="V48" i="16"/>
  <c r="V4" i="16"/>
  <c r="V47" i="16"/>
  <c r="V45" i="16"/>
  <c r="V13" i="16"/>
  <c r="V19" i="16"/>
  <c r="V40" i="16"/>
  <c r="V9" i="16"/>
  <c r="V65" i="16"/>
  <c r="V56" i="16"/>
  <c r="V39" i="16"/>
  <c r="V33" i="16"/>
  <c r="V25" i="16"/>
  <c r="V17" i="16"/>
  <c r="H27" i="15"/>
  <c r="I27" i="15"/>
  <c r="V43" i="17"/>
  <c r="V45" i="17"/>
  <c r="V4" i="17"/>
  <c r="V5" i="17"/>
  <c r="V8" i="17"/>
  <c r="V9" i="17"/>
  <c r="V47" i="17"/>
  <c r="V49" i="17"/>
  <c r="V36" i="17"/>
  <c r="V46" i="17"/>
  <c r="V15" i="17"/>
  <c r="V50" i="17"/>
  <c r="V38" i="17"/>
  <c r="V39" i="17"/>
  <c r="V19" i="17"/>
  <c r="V7" i="17"/>
  <c r="V24" i="17"/>
  <c r="V28" i="17"/>
  <c r="V29" i="17"/>
  <c r="V3" i="17"/>
  <c r="V6" i="17"/>
  <c r="V18" i="17"/>
  <c r="V37" i="17"/>
  <c r="M22" i="15"/>
  <c r="V53" i="17"/>
  <c r="V20" i="17"/>
  <c r="V40" i="17"/>
  <c r="V23" i="17"/>
  <c r="V35" i="17"/>
  <c r="V48" i="17"/>
  <c r="V12" i="17"/>
  <c r="V32" i="17"/>
  <c r="V27" i="17"/>
  <c r="V31" i="17"/>
  <c r="V14" i="17"/>
  <c r="V52" i="17"/>
  <c r="V44" i="17"/>
  <c r="U26" i="14"/>
  <c r="U7" i="14"/>
  <c r="U75" i="14"/>
  <c r="U32" i="14"/>
  <c r="U100" i="14"/>
  <c r="U90" i="14"/>
  <c r="U14" i="14"/>
  <c r="U58" i="14"/>
  <c r="U39" i="14"/>
  <c r="U60" i="14"/>
  <c r="U81" i="14"/>
  <c r="U46" i="14"/>
  <c r="U107" i="14"/>
  <c r="U110" i="14"/>
  <c r="U37" i="14"/>
  <c r="U3" i="14"/>
  <c r="U71" i="14"/>
  <c r="U28" i="14"/>
  <c r="U96" i="14"/>
  <c r="U53" i="14"/>
  <c r="U106" i="14"/>
  <c r="U78" i="14"/>
  <c r="U35" i="14"/>
  <c r="U103" i="14"/>
  <c r="U93" i="14"/>
  <c r="U43" i="14"/>
  <c r="U8" i="14"/>
  <c r="U29" i="14"/>
  <c r="U72" i="14"/>
  <c r="U105" i="14"/>
  <c r="U67" i="14"/>
  <c r="U24" i="14"/>
  <c r="U92" i="14"/>
  <c r="U33" i="14"/>
  <c r="U6" i="14"/>
  <c r="U50" i="14"/>
  <c r="U31" i="14"/>
  <c r="U99" i="14"/>
  <c r="U56" i="14"/>
  <c r="U55" i="14"/>
  <c r="U76" i="14"/>
  <c r="U49" i="14"/>
  <c r="U102" i="14"/>
  <c r="U18" i="14"/>
  <c r="U87" i="14"/>
  <c r="U69" i="14"/>
  <c r="U94" i="14"/>
  <c r="U20" i="14"/>
  <c r="U88" i="14"/>
  <c r="U45" i="14"/>
  <c r="U65" i="14"/>
  <c r="U70" i="14"/>
  <c r="U27" i="14"/>
  <c r="U95" i="14"/>
  <c r="U52" i="14"/>
  <c r="U9" i="14"/>
  <c r="U17" i="14"/>
  <c r="U38" i="14"/>
  <c r="U59" i="14"/>
  <c r="U64" i="14"/>
  <c r="U12" i="14"/>
  <c r="U44" i="14"/>
  <c r="U112" i="14"/>
  <c r="U68" i="14"/>
  <c r="U10" i="14"/>
  <c r="U84" i="14"/>
  <c r="U89" i="14"/>
  <c r="U109" i="14"/>
  <c r="U42" i="14"/>
  <c r="U23" i="14"/>
  <c r="U91" i="14"/>
  <c r="U48" i="14"/>
  <c r="U5" i="14"/>
  <c r="U97" i="14"/>
  <c r="U82" i="14"/>
  <c r="U111" i="14"/>
  <c r="U21" i="14"/>
  <c r="U57" i="14"/>
  <c r="U85" i="14"/>
  <c r="U19" i="14"/>
  <c r="U113" i="14"/>
  <c r="U25" i="14"/>
  <c r="U47" i="14"/>
  <c r="U54" i="14"/>
  <c r="U11" i="14"/>
  <c r="U79" i="14"/>
  <c r="U36" i="14"/>
  <c r="U104" i="14"/>
  <c r="U61" i="14"/>
  <c r="U73" i="14"/>
  <c r="U86" i="14"/>
  <c r="U74" i="14"/>
  <c r="U63" i="14"/>
  <c r="U13" i="14"/>
  <c r="U98" i="14"/>
  <c r="U77" i="14"/>
  <c r="U62" i="14"/>
  <c r="U101" i="14"/>
  <c r="U66" i="14"/>
  <c r="U80" i="14"/>
  <c r="U34" i="14"/>
  <c r="U30" i="14"/>
  <c r="U108" i="14"/>
  <c r="U15" i="14"/>
  <c r="U51" i="14"/>
  <c r="U83" i="14"/>
  <c r="U16" i="14"/>
  <c r="U40" i="14"/>
  <c r="U4" i="14"/>
  <c r="U41" i="14"/>
  <c r="U22" i="14"/>
  <c r="V54" i="17"/>
  <c r="V10" i="17"/>
  <c r="V41" i="17"/>
  <c r="V26" i="17"/>
  <c r="V13" i="17"/>
  <c r="V25" i="17"/>
  <c r="V16" i="17"/>
  <c r="V55" i="17"/>
  <c r="V33" i="17"/>
  <c r="V17" i="17"/>
  <c r="V42" i="17"/>
  <c r="V11" i="17"/>
  <c r="V30" i="17"/>
  <c r="V22" i="17"/>
  <c r="V34" i="17"/>
  <c r="V51" i="17"/>
  <c r="V21" i="17"/>
  <c r="X19" i="14"/>
  <c r="W69" i="14"/>
  <c r="Y49" i="14"/>
  <c r="Y78" i="14"/>
  <c r="V65" i="14"/>
  <c r="V68" i="14"/>
  <c r="X94" i="14"/>
  <c r="X43" i="14"/>
  <c r="Z16" i="14"/>
  <c r="Y5" i="14"/>
  <c r="X101" i="14"/>
  <c r="W6" i="14"/>
  <c r="V57" i="14"/>
  <c r="X25" i="14"/>
  <c r="V54" i="14"/>
  <c r="X24" i="14"/>
  <c r="X35" i="14"/>
  <c r="Y56" i="14"/>
  <c r="X51" i="14"/>
  <c r="Y106" i="14"/>
  <c r="Z4" i="14"/>
  <c r="W36" i="14"/>
  <c r="V8" i="14"/>
  <c r="Y55" i="14"/>
  <c r="Y81" i="14"/>
  <c r="X73" i="14"/>
  <c r="W52" i="14"/>
  <c r="W4" i="14"/>
  <c r="V106" i="14"/>
  <c r="V16" i="14"/>
  <c r="V107" i="14"/>
  <c r="N22" i="15"/>
  <c r="Z15" i="14"/>
  <c r="W12" i="14"/>
  <c r="X80" i="14"/>
  <c r="V84" i="14"/>
  <c r="V61" i="14"/>
  <c r="Y90" i="14"/>
  <c r="Y86" i="14"/>
  <c r="Y99" i="14"/>
  <c r="V12" i="14"/>
  <c r="W3" i="14"/>
  <c r="Y11" i="14"/>
  <c r="W18" i="14"/>
  <c r="Z28" i="14"/>
  <c r="Z49" i="14"/>
  <c r="Z9" i="14"/>
  <c r="Y65" i="14"/>
  <c r="X89" i="14"/>
  <c r="Y48" i="14"/>
  <c r="W32" i="14"/>
  <c r="X45" i="14"/>
  <c r="X33" i="14"/>
  <c r="Z44" i="14"/>
  <c r="W35" i="14"/>
  <c r="X41" i="14"/>
  <c r="Y92" i="14"/>
  <c r="Z76" i="14"/>
  <c r="W96" i="14"/>
  <c r="X107" i="14"/>
  <c r="V67" i="14"/>
  <c r="Z66" i="14"/>
  <c r="Z17" i="14"/>
  <c r="V99" i="14"/>
  <c r="W101" i="14"/>
  <c r="Y41" i="14"/>
  <c r="X40" i="14"/>
  <c r="X42" i="14"/>
  <c r="Y60" i="14"/>
  <c r="X103" i="14"/>
  <c r="V32" i="14"/>
  <c r="W85" i="14"/>
  <c r="W33" i="14"/>
  <c r="W50" i="14"/>
  <c r="X27" i="14"/>
  <c r="W53" i="14"/>
  <c r="Z92" i="14"/>
  <c r="W44" i="14"/>
  <c r="W31" i="14"/>
  <c r="Y25" i="14"/>
  <c r="V29" i="14"/>
  <c r="Y83" i="14"/>
  <c r="V18" i="14"/>
  <c r="X30" i="14"/>
  <c r="V9" i="14"/>
  <c r="V48" i="14"/>
  <c r="Z93" i="14"/>
  <c r="X28" i="14"/>
  <c r="W30" i="14"/>
  <c r="W106" i="14"/>
  <c r="W14" i="14"/>
  <c r="X50" i="14"/>
  <c r="W89" i="14"/>
  <c r="V101" i="14"/>
  <c r="W9" i="14"/>
  <c r="Z73" i="14"/>
  <c r="X29" i="14"/>
  <c r="W27" i="14"/>
  <c r="V98" i="14"/>
  <c r="Y37" i="14"/>
  <c r="W81" i="14"/>
  <c r="Z59" i="14"/>
  <c r="Y23" i="14"/>
  <c r="Y95" i="14"/>
  <c r="Z101" i="14"/>
  <c r="Z8" i="14"/>
  <c r="Y12" i="14"/>
  <c r="V36" i="14"/>
  <c r="W82" i="14"/>
  <c r="V108" i="14"/>
  <c r="W17" i="14"/>
  <c r="T22" i="15"/>
  <c r="W110" i="14"/>
  <c r="Y27" i="14"/>
  <c r="X49" i="14"/>
  <c r="Z105" i="14"/>
  <c r="W48" i="14"/>
  <c r="Z95" i="14"/>
  <c r="X68" i="14"/>
  <c r="V89" i="14"/>
  <c r="X22" i="14"/>
  <c r="V30" i="14"/>
  <c r="X92" i="14"/>
  <c r="X48" i="14"/>
  <c r="X53" i="14"/>
  <c r="X17" i="14"/>
  <c r="Y52" i="14"/>
  <c r="Y63" i="14"/>
  <c r="X20" i="14"/>
  <c r="Y15" i="14"/>
  <c r="V39" i="14"/>
  <c r="W75" i="14"/>
  <c r="Z18" i="14"/>
  <c r="W62" i="14"/>
  <c r="W51" i="14"/>
  <c r="X113" i="14"/>
  <c r="Z56" i="14"/>
  <c r="W100" i="14"/>
  <c r="V59" i="14"/>
  <c r="V60" i="14"/>
  <c r="W15" i="14"/>
  <c r="X64" i="14"/>
  <c r="V85" i="14"/>
  <c r="Z89" i="14"/>
  <c r="Y101" i="14"/>
  <c r="X104" i="14"/>
  <c r="Y34" i="14"/>
  <c r="V69" i="14"/>
  <c r="X87" i="14"/>
  <c r="Y84" i="14"/>
  <c r="V17" i="14"/>
  <c r="X47" i="14"/>
  <c r="V112" i="14"/>
  <c r="X75" i="14"/>
  <c r="X70" i="14"/>
  <c r="V31" i="14"/>
  <c r="Z94" i="14"/>
  <c r="Z97" i="14"/>
  <c r="Y59" i="14"/>
  <c r="W38" i="14"/>
  <c r="X112" i="14"/>
  <c r="Z41" i="14"/>
  <c r="W79" i="14"/>
  <c r="Y82" i="14"/>
  <c r="W90" i="14"/>
  <c r="X83" i="14"/>
  <c r="X26" i="14"/>
  <c r="W59" i="14"/>
  <c r="Y26" i="14"/>
  <c r="Z34" i="14"/>
  <c r="Y57" i="14"/>
  <c r="Y3" i="14"/>
  <c r="Z7" i="14"/>
  <c r="V4" i="14"/>
  <c r="Z83" i="14"/>
  <c r="Z55" i="14"/>
  <c r="W23" i="14"/>
  <c r="W97" i="14"/>
  <c r="V93" i="14"/>
  <c r="X52" i="14"/>
  <c r="X44" i="14"/>
  <c r="V23" i="14"/>
  <c r="Z27" i="14"/>
  <c r="V27" i="14"/>
  <c r="Z20" i="14"/>
  <c r="V51" i="14"/>
  <c r="Z48" i="14"/>
  <c r="W92" i="14"/>
  <c r="V73" i="14"/>
  <c r="W112" i="14"/>
  <c r="W77" i="14"/>
  <c r="V81" i="14"/>
  <c r="V14" i="14"/>
  <c r="X5" i="14"/>
  <c r="Y105" i="14"/>
  <c r="V20" i="14"/>
  <c r="Z51" i="14"/>
  <c r="V44" i="14"/>
  <c r="Z99" i="14"/>
  <c r="X31" i="14"/>
  <c r="V82" i="14"/>
  <c r="V49" i="14"/>
  <c r="X98" i="14"/>
  <c r="Y45" i="14"/>
  <c r="Z88" i="14"/>
  <c r="Y17" i="14"/>
  <c r="X110" i="14"/>
  <c r="W39" i="14"/>
  <c r="Y66" i="14"/>
  <c r="V45" i="14"/>
  <c r="Z40" i="14"/>
  <c r="Y80" i="14"/>
  <c r="X21" i="14"/>
  <c r="V11" i="14"/>
  <c r="W46" i="14"/>
  <c r="W108" i="14"/>
  <c r="Z29" i="14"/>
  <c r="Z23" i="14"/>
  <c r="Z72" i="14"/>
  <c r="W20" i="14"/>
  <c r="W43" i="14"/>
  <c r="X96" i="14"/>
  <c r="Z108" i="14"/>
  <c r="Z54" i="14"/>
  <c r="X76" i="14"/>
  <c r="Z111" i="14"/>
  <c r="X95" i="14"/>
  <c r="V25" i="14"/>
  <c r="W11" i="14"/>
  <c r="Y4" i="14"/>
  <c r="V113" i="14"/>
  <c r="Y42" i="14"/>
  <c r="Y71" i="14"/>
  <c r="X102" i="14"/>
  <c r="X23" i="14"/>
  <c r="Z14" i="14"/>
  <c r="X84" i="14"/>
  <c r="W42" i="14"/>
  <c r="Y51" i="14"/>
  <c r="Y58" i="14"/>
  <c r="Z21" i="14"/>
  <c r="X106" i="14"/>
  <c r="Z3" i="14"/>
  <c r="V78" i="14"/>
  <c r="J27" i="15"/>
  <c r="W64" i="14"/>
  <c r="W78" i="14"/>
  <c r="W66" i="14"/>
  <c r="Z110" i="14"/>
  <c r="X99" i="14"/>
  <c r="X108" i="14"/>
  <c r="X74" i="14"/>
  <c r="Z109" i="14"/>
  <c r="X11" i="14"/>
  <c r="Z85" i="14"/>
  <c r="Z60" i="14"/>
  <c r="Y14" i="14"/>
  <c r="W104" i="14"/>
  <c r="X97" i="14"/>
  <c r="W87" i="14"/>
  <c r="V103" i="14"/>
  <c r="W103" i="14"/>
  <c r="Z36" i="14"/>
  <c r="Y50" i="14"/>
  <c r="Y21" i="14"/>
  <c r="W57" i="14"/>
  <c r="Z11" i="14"/>
  <c r="Z57" i="14"/>
  <c r="V109" i="14"/>
  <c r="V102" i="14"/>
  <c r="X91" i="14"/>
  <c r="V110" i="14"/>
  <c r="Z81" i="14"/>
  <c r="X67" i="14"/>
  <c r="W21" i="14"/>
  <c r="Z12" i="14"/>
  <c r="W68" i="14"/>
  <c r="X34" i="14"/>
  <c r="W80" i="14"/>
  <c r="X14" i="14"/>
  <c r="X38" i="14"/>
  <c r="W10" i="14"/>
  <c r="Y6" i="14"/>
  <c r="Y88" i="14"/>
  <c r="Y72" i="14"/>
  <c r="Z112" i="14"/>
  <c r="X57" i="14"/>
  <c r="Z106" i="14"/>
  <c r="Y79" i="14"/>
  <c r="W88" i="14"/>
  <c r="Y103" i="14"/>
  <c r="X81" i="14"/>
  <c r="Y47" i="14"/>
  <c r="W109" i="14"/>
  <c r="W111" i="14"/>
  <c r="W40" i="14"/>
  <c r="V94" i="14"/>
  <c r="W47" i="14"/>
  <c r="X6" i="14"/>
  <c r="V7" i="14"/>
  <c r="X72" i="14"/>
  <c r="Z19" i="14"/>
  <c r="Z80" i="14"/>
  <c r="V97" i="14"/>
  <c r="V83" i="14"/>
  <c r="W105" i="14"/>
  <c r="W102" i="14"/>
  <c r="Z87" i="14"/>
  <c r="Z35" i="14"/>
  <c r="Y96" i="14"/>
  <c r="X88" i="14"/>
  <c r="W37" i="14"/>
  <c r="X13" i="14"/>
  <c r="V62" i="14"/>
  <c r="Y22" i="14"/>
  <c r="V100" i="14"/>
  <c r="X58" i="14"/>
  <c r="Z10" i="14"/>
  <c r="X4" i="14"/>
  <c r="W61" i="14"/>
  <c r="X66" i="14"/>
  <c r="V13" i="14"/>
  <c r="Y8" i="14"/>
  <c r="W56" i="14"/>
  <c r="Z37" i="14"/>
  <c r="W93" i="14"/>
  <c r="W70" i="14"/>
  <c r="V86" i="14"/>
  <c r="Y32" i="14"/>
  <c r="X55" i="14"/>
  <c r="W98" i="14"/>
  <c r="Z30" i="14"/>
  <c r="X71" i="14"/>
  <c r="Z107" i="14"/>
  <c r="Y85" i="14"/>
  <c r="Y30" i="14"/>
  <c r="V95" i="14"/>
  <c r="Y31" i="14"/>
  <c r="W83" i="14"/>
  <c r="X3" i="14"/>
  <c r="V92" i="14"/>
  <c r="V22" i="14"/>
  <c r="Y113" i="14"/>
  <c r="W41" i="14"/>
  <c r="V91" i="14"/>
  <c r="Z100" i="14"/>
  <c r="W63" i="14"/>
  <c r="Y67" i="14"/>
  <c r="V53" i="14"/>
  <c r="Z25" i="14"/>
  <c r="X39" i="14"/>
  <c r="Y44" i="14"/>
  <c r="Y70" i="14"/>
  <c r="Y36" i="14"/>
  <c r="X56" i="14"/>
  <c r="W60" i="14"/>
  <c r="Y54" i="14"/>
  <c r="V75" i="14"/>
  <c r="X46" i="14"/>
  <c r="Y38" i="14"/>
  <c r="Z74" i="14"/>
  <c r="Z47" i="14"/>
  <c r="V90" i="14"/>
  <c r="Y9" i="14"/>
  <c r="V72" i="14"/>
  <c r="Z90" i="14"/>
  <c r="Y75" i="14"/>
  <c r="X90" i="14"/>
  <c r="Y107" i="14"/>
  <c r="X9" i="14"/>
  <c r="Y39" i="14"/>
  <c r="W94" i="14"/>
  <c r="X7" i="14"/>
  <c r="Z24" i="14"/>
  <c r="W8" i="14"/>
  <c r="Y111" i="14"/>
  <c r="V80" i="14"/>
  <c r="W71" i="14"/>
  <c r="V104" i="14"/>
  <c r="Z33" i="14"/>
  <c r="Z98" i="14"/>
  <c r="W73" i="14"/>
  <c r="Z50" i="14"/>
  <c r="Y46" i="14"/>
  <c r="O22" i="15"/>
  <c r="Z26" i="14"/>
  <c r="Y13" i="14"/>
  <c r="W24" i="14"/>
  <c r="Z69" i="14"/>
  <c r="X78" i="14"/>
  <c r="X10" i="14"/>
  <c r="V28" i="14"/>
  <c r="Z82" i="14"/>
  <c r="W29" i="14"/>
  <c r="Y19" i="14"/>
  <c r="V40" i="14"/>
  <c r="Y24" i="14"/>
  <c r="X60" i="14"/>
  <c r="Y100" i="14"/>
  <c r="Y16" i="14"/>
  <c r="S22" i="15"/>
  <c r="X37" i="14"/>
  <c r="Z43" i="14"/>
  <c r="V5" i="14"/>
  <c r="V52" i="14"/>
  <c r="Z102" i="14"/>
  <c r="W91" i="14"/>
  <c r="Y110" i="14"/>
  <c r="Z38" i="14"/>
  <c r="W22" i="14"/>
  <c r="X32" i="14"/>
  <c r="X12" i="14"/>
  <c r="Z113" i="14"/>
  <c r="Z91" i="14"/>
  <c r="Z42" i="14"/>
  <c r="Y87" i="14"/>
  <c r="Y89" i="14"/>
  <c r="V88" i="14"/>
  <c r="X79" i="14"/>
  <c r="V34" i="14"/>
  <c r="W72" i="14"/>
  <c r="W34" i="14"/>
  <c r="W16" i="14"/>
  <c r="Y109" i="14"/>
  <c r="V55" i="14"/>
  <c r="Y20" i="14"/>
  <c r="X86" i="14"/>
  <c r="Y53" i="14"/>
  <c r="Y73" i="14"/>
  <c r="Y97" i="14"/>
  <c r="V105" i="14"/>
  <c r="Y43" i="14"/>
  <c r="X111" i="14"/>
  <c r="V63" i="14"/>
  <c r="Y68" i="14"/>
  <c r="V71" i="14"/>
  <c r="Y10" i="14"/>
  <c r="V37" i="14"/>
  <c r="Y62" i="14"/>
  <c r="V79" i="14"/>
  <c r="Y102" i="14"/>
  <c r="Y40" i="14"/>
  <c r="Z70" i="14"/>
  <c r="W107" i="14"/>
  <c r="Y91" i="14"/>
  <c r="Y35" i="14"/>
  <c r="W7" i="14"/>
  <c r="Z64" i="14"/>
  <c r="X16" i="14"/>
  <c r="Y69" i="14"/>
  <c r="X85" i="14"/>
  <c r="Y28" i="14"/>
  <c r="V70" i="14"/>
  <c r="W55" i="14"/>
  <c r="Z63" i="14"/>
  <c r="Y94" i="14"/>
  <c r="V74" i="14"/>
  <c r="Z13" i="14"/>
  <c r="Y112" i="14"/>
  <c r="Z46" i="14"/>
  <c r="Z75" i="14"/>
  <c r="Y61" i="14"/>
  <c r="V41" i="14"/>
  <c r="Z65" i="14"/>
  <c r="Z71" i="14"/>
  <c r="Y7" i="14"/>
  <c r="V19" i="14"/>
  <c r="V35" i="14"/>
  <c r="X59" i="14"/>
  <c r="Z104" i="14"/>
  <c r="Z58" i="14"/>
  <c r="V96" i="14"/>
  <c r="W13" i="14"/>
  <c r="X100" i="14"/>
  <c r="W74" i="14"/>
  <c r="Y74" i="14"/>
  <c r="W67" i="14"/>
  <c r="Y93" i="14"/>
  <c r="X61" i="14"/>
  <c r="V26" i="14"/>
  <c r="C28" i="15"/>
  <c r="X109" i="14"/>
  <c r="Z103" i="14"/>
  <c r="Z78" i="14"/>
  <c r="V47" i="14"/>
  <c r="W95" i="14"/>
  <c r="Y108" i="14"/>
  <c r="Z86" i="14"/>
  <c r="W99" i="14"/>
  <c r="W76" i="14"/>
  <c r="D55" i="1"/>
  <c r="W45" i="14"/>
  <c r="Y76" i="14"/>
  <c r="X65" i="14"/>
  <c r="V76" i="14"/>
  <c r="X15" i="14"/>
  <c r="Y18" i="14"/>
  <c r="Z32" i="14"/>
  <c r="V66" i="14"/>
  <c r="W54" i="14"/>
  <c r="X36" i="14"/>
  <c r="V50" i="14"/>
  <c r="V43" i="14"/>
  <c r="Z5" i="14"/>
  <c r="W58" i="14"/>
  <c r="Z62" i="14"/>
  <c r="X93" i="14"/>
  <c r="V10" i="14"/>
  <c r="Z77" i="14"/>
  <c r="Z52" i="14"/>
  <c r="Z61" i="14"/>
  <c r="W25" i="14"/>
  <c r="X62" i="14"/>
  <c r="W49" i="14"/>
  <c r="W19" i="14"/>
  <c r="Y104" i="14"/>
  <c r="Z45" i="14"/>
  <c r="V33" i="14"/>
  <c r="X69" i="14"/>
  <c r="V46" i="14"/>
  <c r="Y29" i="14"/>
  <c r="V15" i="14"/>
  <c r="W26" i="14"/>
  <c r="V64" i="14"/>
  <c r="Z22" i="14"/>
  <c r="X8" i="14"/>
  <c r="W113" i="14"/>
  <c r="V42" i="14"/>
  <c r="W84" i="14"/>
  <c r="V77" i="14"/>
  <c r="C29" i="15"/>
  <c r="Z31" i="14"/>
  <c r="X82" i="14"/>
  <c r="V38" i="14"/>
  <c r="V3" i="14"/>
  <c r="X63" i="14"/>
  <c r="Z39" i="14"/>
  <c r="Z96" i="14"/>
  <c r="V6" i="14"/>
  <c r="X54" i="14"/>
  <c r="Z6" i="14"/>
  <c r="V87" i="14"/>
  <c r="Z68" i="14"/>
  <c r="V24" i="14"/>
  <c r="W65" i="14"/>
  <c r="Z79" i="14"/>
  <c r="X18" i="14"/>
  <c r="Z84" i="14"/>
  <c r="Z67" i="14"/>
  <c r="V111" i="14"/>
  <c r="Y33" i="14"/>
  <c r="X105" i="14"/>
  <c r="W5" i="14"/>
  <c r="V58" i="14"/>
  <c r="V21" i="14"/>
  <c r="Y98" i="14"/>
  <c r="W28" i="14"/>
  <c r="Y77" i="14"/>
  <c r="Y64" i="14"/>
  <c r="V56" i="14"/>
  <c r="W86" i="14"/>
  <c r="X77" i="14"/>
  <c r="Z53" i="14"/>
  <c r="I28" i="15" l="1"/>
  <c r="H28" i="15"/>
  <c r="M23" i="15"/>
  <c r="H29" i="15"/>
  <c r="I29" i="15"/>
  <c r="T41" i="14"/>
  <c r="T30" i="14"/>
  <c r="T13" i="14"/>
  <c r="T79" i="14"/>
  <c r="T57" i="14"/>
  <c r="T23" i="14"/>
  <c r="T44" i="14"/>
  <c r="T95" i="14"/>
  <c r="T69" i="14"/>
  <c r="T99" i="14"/>
  <c r="T105" i="14"/>
  <c r="T78" i="14"/>
  <c r="T110" i="14"/>
  <c r="T90" i="14"/>
  <c r="T4" i="14"/>
  <c r="T34" i="14"/>
  <c r="T63" i="14"/>
  <c r="T11" i="14"/>
  <c r="T21" i="14"/>
  <c r="T42" i="14"/>
  <c r="T12" i="14"/>
  <c r="T27" i="14"/>
  <c r="T87" i="14"/>
  <c r="T31" i="14"/>
  <c r="T72" i="14"/>
  <c r="T106" i="14"/>
  <c r="T107" i="14"/>
  <c r="T100" i="14"/>
  <c r="T70" i="14"/>
  <c r="T89" i="14"/>
  <c r="T111" i="14"/>
  <c r="T16" i="14"/>
  <c r="T82" i="14"/>
  <c r="T102" i="14"/>
  <c r="T83" i="14"/>
  <c r="T101" i="14"/>
  <c r="T73" i="14"/>
  <c r="T25" i="14"/>
  <c r="T97" i="14"/>
  <c r="T84" i="14"/>
  <c r="T38" i="14"/>
  <c r="T45" i="14"/>
  <c r="T49" i="14"/>
  <c r="T33" i="14"/>
  <c r="T43" i="14"/>
  <c r="T28" i="14"/>
  <c r="T60" i="14"/>
  <c r="T7" i="14"/>
  <c r="T51" i="14"/>
  <c r="T62" i="14"/>
  <c r="T61" i="14"/>
  <c r="T113" i="14"/>
  <c r="T5" i="14"/>
  <c r="T10" i="14"/>
  <c r="T17" i="14"/>
  <c r="T88" i="14"/>
  <c r="T76" i="14"/>
  <c r="T92" i="14"/>
  <c r="T93" i="14"/>
  <c r="T71" i="14"/>
  <c r="T39" i="14"/>
  <c r="T26" i="14"/>
  <c r="T80" i="14"/>
  <c r="T86" i="14"/>
  <c r="T65" i="14"/>
  <c r="T8" i="14"/>
  <c r="T75" i="14"/>
  <c r="T40" i="14"/>
  <c r="T74" i="14"/>
  <c r="T54" i="14"/>
  <c r="T109" i="14"/>
  <c r="T64" i="14"/>
  <c r="T18" i="14"/>
  <c r="T50" i="14"/>
  <c r="T29" i="14"/>
  <c r="T53" i="14"/>
  <c r="T46" i="14"/>
  <c r="T32" i="14"/>
  <c r="T66" i="14"/>
  <c r="T47" i="14"/>
  <c r="T59" i="14"/>
  <c r="T6" i="14"/>
  <c r="T96" i="14"/>
  <c r="T81" i="14"/>
  <c r="T15" i="14"/>
  <c r="T77" i="14"/>
  <c r="T104" i="14"/>
  <c r="T19" i="14"/>
  <c r="T48" i="14"/>
  <c r="T68" i="14"/>
  <c r="T9" i="14"/>
  <c r="T20" i="14"/>
  <c r="T55" i="14"/>
  <c r="T24" i="14"/>
  <c r="T103" i="14"/>
  <c r="T3" i="14"/>
  <c r="T58" i="14"/>
  <c r="T22" i="14"/>
  <c r="T108" i="14"/>
  <c r="T98" i="14"/>
  <c r="T36" i="14"/>
  <c r="T85" i="14"/>
  <c r="T91" i="14"/>
  <c r="T112" i="14"/>
  <c r="T52" i="14"/>
  <c r="T94" i="14"/>
  <c r="T56" i="14"/>
  <c r="T67" i="14"/>
  <c r="T35" i="14"/>
  <c r="T37" i="14"/>
  <c r="T14" i="14"/>
  <c r="J28" i="15"/>
  <c r="S23" i="15"/>
  <c r="T23" i="15"/>
  <c r="J29" i="15"/>
  <c r="C30" i="15"/>
  <c r="O23" i="15"/>
  <c r="N23" i="15"/>
  <c r="C31" i="15"/>
  <c r="M24" i="15" l="1"/>
  <c r="I30" i="15"/>
  <c r="H30" i="15"/>
  <c r="M25" i="15"/>
  <c r="I31" i="15"/>
  <c r="H31" i="15"/>
  <c r="N24" i="15"/>
  <c r="O25" i="15"/>
  <c r="T24" i="15"/>
  <c r="C32" i="15"/>
  <c r="J30" i="15"/>
  <c r="T25" i="15"/>
  <c r="J31" i="15"/>
  <c r="S24" i="15"/>
  <c r="S25" i="15"/>
  <c r="O24" i="15"/>
  <c r="N25" i="15"/>
  <c r="M26" i="15" l="1"/>
  <c r="I32" i="15"/>
  <c r="H32" i="15"/>
  <c r="M27" i="15"/>
  <c r="J32" i="15"/>
  <c r="N27" i="15"/>
  <c r="O27" i="15"/>
  <c r="S27" i="15"/>
  <c r="T26" i="15"/>
  <c r="T27" i="15"/>
  <c r="O26" i="15"/>
  <c r="C33" i="15"/>
  <c r="N26" i="15"/>
  <c r="S26" i="15"/>
  <c r="M28" i="15" l="1"/>
  <c r="H33" i="15"/>
  <c r="I33" i="15"/>
  <c r="J33" i="15"/>
  <c r="O28" i="15"/>
  <c r="S28" i="15"/>
  <c r="T28" i="15"/>
  <c r="C34" i="15"/>
  <c r="N28" i="15"/>
  <c r="H34" i="15" l="1"/>
  <c r="I34" i="15"/>
  <c r="M29" i="15"/>
  <c r="C35" i="15"/>
  <c r="J34" i="15"/>
  <c r="D14" i="1"/>
  <c r="D15" i="1"/>
  <c r="D27" i="1"/>
  <c r="O29" i="15"/>
  <c r="C36" i="15"/>
  <c r="C25" i="1"/>
  <c r="AA2" i="14" a="1"/>
  <c r="S29" i="15"/>
  <c r="N29" i="15"/>
  <c r="C24" i="1"/>
  <c r="T29" i="15"/>
  <c r="I31" i="1"/>
  <c r="H40" i="1"/>
  <c r="I32" i="1"/>
  <c r="I42" i="1"/>
  <c r="AC2" i="17" a="1"/>
  <c r="H39" i="1"/>
  <c r="H35" i="15" l="1"/>
  <c r="I35" i="15"/>
  <c r="M30" i="15"/>
  <c r="H36" i="15"/>
  <c r="I36" i="15"/>
  <c r="AA103" i="14"/>
  <c r="AA48" i="14"/>
  <c r="AA74" i="14"/>
  <c r="AA105" i="14"/>
  <c r="AA70" i="14"/>
  <c r="AA24" i="14"/>
  <c r="AA106" i="14"/>
  <c r="AA49" i="14"/>
  <c r="AA78" i="14"/>
  <c r="AA23" i="14"/>
  <c r="AA40" i="14"/>
  <c r="AA6" i="14"/>
  <c r="AA59" i="14"/>
  <c r="AA62" i="14"/>
  <c r="AA102" i="14"/>
  <c r="AA20" i="14"/>
  <c r="AA85" i="14"/>
  <c r="AA19" i="14"/>
  <c r="AA88" i="14"/>
  <c r="AA94" i="14"/>
  <c r="AA7" i="14"/>
  <c r="AA52" i="14"/>
  <c r="AA66" i="14"/>
  <c r="AA35" i="14"/>
  <c r="AA81" i="14"/>
  <c r="AA104" i="14"/>
  <c r="AA46" i="14"/>
  <c r="AA11" i="14"/>
  <c r="AA111" i="14"/>
  <c r="AA54" i="14"/>
  <c r="AA71" i="14"/>
  <c r="AA96" i="14"/>
  <c r="AA95" i="14"/>
  <c r="AA109" i="14"/>
  <c r="AA18" i="14"/>
  <c r="AA92" i="14"/>
  <c r="AA4" i="14"/>
  <c r="AA15" i="14"/>
  <c r="AA101" i="14"/>
  <c r="AA68" i="14"/>
  <c r="AA65" i="14"/>
  <c r="AA67" i="14"/>
  <c r="AA42" i="14"/>
  <c r="AA73" i="14"/>
  <c r="AA21" i="14"/>
  <c r="AA51" i="14"/>
  <c r="AA75" i="14"/>
  <c r="AA17" i="14"/>
  <c r="AA79" i="14"/>
  <c r="AA16" i="14"/>
  <c r="AA98" i="14"/>
  <c r="AA82" i="14"/>
  <c r="AA9" i="14"/>
  <c r="AA45" i="14"/>
  <c r="AA76" i="14"/>
  <c r="AA27" i="14"/>
  <c r="AA61" i="14"/>
  <c r="AA53" i="14"/>
  <c r="AA10" i="14"/>
  <c r="AA91" i="14"/>
  <c r="AA86" i="14"/>
  <c r="AA57" i="14"/>
  <c r="AA31" i="14"/>
  <c r="AA28" i="14"/>
  <c r="AA58" i="14"/>
  <c r="AA99" i="14"/>
  <c r="AA72" i="14"/>
  <c r="AA112" i="14"/>
  <c r="AA30" i="14"/>
  <c r="AA90" i="14"/>
  <c r="AA97" i="14"/>
  <c r="AA80" i="14"/>
  <c r="AA55" i="14"/>
  <c r="AA77" i="14"/>
  <c r="AA56" i="14"/>
  <c r="AA60" i="14"/>
  <c r="AA12" i="14"/>
  <c r="AA8" i="14"/>
  <c r="AA69" i="14"/>
  <c r="AA93" i="14"/>
  <c r="AA37" i="14"/>
  <c r="AA3" i="14"/>
  <c r="AA87" i="14"/>
  <c r="AA110" i="14"/>
  <c r="AA83" i="14"/>
  <c r="AA44" i="14"/>
  <c r="AA43" i="14"/>
  <c r="AA64" i="14"/>
  <c r="AA29" i="14"/>
  <c r="AA32" i="14"/>
  <c r="AA39" i="14"/>
  <c r="AA13" i="14"/>
  <c r="AA84" i="14"/>
  <c r="AA63" i="14"/>
  <c r="AA33" i="14"/>
  <c r="AA108" i="14"/>
  <c r="AA47" i="14"/>
  <c r="AA100" i="14"/>
  <c r="AA36" i="14"/>
  <c r="AA14" i="14"/>
  <c r="AA34" i="14"/>
  <c r="AA2" i="14"/>
  <c r="AA38" i="14"/>
  <c r="AA5" i="14"/>
  <c r="AA25" i="14"/>
  <c r="AA41" i="14"/>
  <c r="AA113" i="14"/>
  <c r="AA89" i="14"/>
  <c r="AA107" i="14"/>
  <c r="AA22" i="14"/>
  <c r="AA26" i="14"/>
  <c r="AA50" i="14"/>
  <c r="AC34" i="17"/>
  <c r="AC20" i="17"/>
  <c r="AC16" i="17"/>
  <c r="AC43" i="17"/>
  <c r="AC46" i="17"/>
  <c r="AC13" i="17"/>
  <c r="AC21" i="17"/>
  <c r="AC26" i="17"/>
  <c r="AC23" i="17"/>
  <c r="AC27" i="17"/>
  <c r="AC35" i="17"/>
  <c r="AC54" i="17"/>
  <c r="AC22" i="17"/>
  <c r="AC3" i="17"/>
  <c r="AC28" i="17"/>
  <c r="AC15" i="17"/>
  <c r="AC12" i="17"/>
  <c r="AC37" i="17"/>
  <c r="AC11" i="17"/>
  <c r="AC50" i="17"/>
  <c r="AC19" i="17"/>
  <c r="AC36" i="17"/>
  <c r="AC17" i="17"/>
  <c r="AC38" i="17"/>
  <c r="AC45" i="17"/>
  <c r="AC14" i="17"/>
  <c r="AC10" i="17"/>
  <c r="AC18" i="17"/>
  <c r="AC6" i="17"/>
  <c r="AC31" i="17"/>
  <c r="AC49" i="17"/>
  <c r="AC2" i="17"/>
  <c r="AC7" i="17"/>
  <c r="AC51" i="17"/>
  <c r="AC53" i="17"/>
  <c r="AC29" i="17"/>
  <c r="AC41" i="17"/>
  <c r="AC5" i="17"/>
  <c r="AC48" i="17"/>
  <c r="AC9" i="17"/>
  <c r="AC39" i="17"/>
  <c r="AC55" i="17"/>
  <c r="AC32" i="17"/>
  <c r="AC33" i="17"/>
  <c r="AC52" i="17"/>
  <c r="AC47" i="17"/>
  <c r="AC40" i="17"/>
  <c r="AC42" i="17"/>
  <c r="AC8" i="17"/>
  <c r="AC24" i="17"/>
  <c r="AC25" i="17"/>
  <c r="AC44" i="17"/>
  <c r="AC4" i="17"/>
  <c r="AC30" i="17"/>
  <c r="J35" i="15"/>
  <c r="I39" i="1"/>
  <c r="S30" i="15"/>
  <c r="T30" i="15"/>
  <c r="O30" i="15"/>
  <c r="J36" i="15"/>
  <c r="C37" i="15"/>
  <c r="N30" i="15"/>
  <c r="D25" i="1"/>
  <c r="I40" i="1"/>
  <c r="C38" i="15"/>
  <c r="D24" i="1"/>
  <c r="M31" i="15" l="1"/>
  <c r="I37" i="15"/>
  <c r="H37" i="15"/>
  <c r="M32" i="15"/>
  <c r="I38" i="15"/>
  <c r="H38" i="15"/>
  <c r="S31" i="15"/>
  <c r="O31" i="15"/>
  <c r="T31" i="15"/>
  <c r="N31" i="15"/>
  <c r="O32" i="15"/>
  <c r="C39" i="15"/>
  <c r="J37" i="15"/>
  <c r="S32" i="15"/>
  <c r="T32" i="15"/>
  <c r="N32" i="15"/>
  <c r="J38" i="15"/>
  <c r="M33" i="15" l="1"/>
  <c r="M34" i="15"/>
  <c r="H39" i="15"/>
  <c r="I39" i="15"/>
  <c r="S34" i="15"/>
  <c r="N34" i="15"/>
  <c r="J39" i="15"/>
  <c r="N33" i="15"/>
  <c r="O34" i="15"/>
  <c r="C40" i="15"/>
  <c r="S33" i="15"/>
  <c r="T33" i="15"/>
  <c r="T34" i="15"/>
  <c r="O33" i="15"/>
  <c r="M35" i="15" l="1"/>
  <c r="H40" i="15"/>
  <c r="I40" i="15"/>
  <c r="J40" i="15"/>
  <c r="T35" i="15"/>
  <c r="S35" i="15"/>
  <c r="N35" i="15"/>
  <c r="O35" i="15"/>
  <c r="C41" i="15"/>
  <c r="M36" i="15" l="1"/>
  <c r="I41" i="15"/>
  <c r="H41" i="15"/>
  <c r="O36" i="15"/>
  <c r="N36" i="15"/>
  <c r="J41" i="15"/>
  <c r="C42" i="15"/>
  <c r="S36" i="15"/>
  <c r="T36" i="15"/>
  <c r="H42" i="15" l="1"/>
  <c r="I42" i="15"/>
  <c r="M37" i="15"/>
  <c r="S37" i="15"/>
  <c r="T37" i="15"/>
  <c r="O37" i="15"/>
  <c r="N37" i="15"/>
  <c r="J42" i="15"/>
  <c r="C43" i="15"/>
  <c r="M38" i="15" l="1"/>
  <c r="H43" i="15"/>
  <c r="I43" i="15"/>
  <c r="S38" i="15"/>
  <c r="T38" i="15"/>
  <c r="N38" i="15"/>
  <c r="O38" i="15"/>
  <c r="J43" i="15"/>
  <c r="C44" i="15"/>
  <c r="C45" i="15" s="1"/>
  <c r="H44" i="15" l="1"/>
  <c r="I44" i="15"/>
  <c r="M39" i="15"/>
  <c r="I45" i="15"/>
  <c r="H45" i="15"/>
  <c r="C46" i="15"/>
  <c r="S39" i="15"/>
  <c r="J45" i="15"/>
  <c r="O39" i="15"/>
  <c r="T39" i="15"/>
  <c r="J44" i="15"/>
  <c r="N39" i="15"/>
  <c r="M40" i="15" l="1"/>
  <c r="M41" i="15"/>
  <c r="I46" i="15"/>
  <c r="H46" i="15"/>
  <c r="O41" i="15"/>
  <c r="O40" i="15"/>
  <c r="C47" i="15"/>
  <c r="T40" i="15"/>
  <c r="N40" i="15"/>
  <c r="J46" i="15"/>
  <c r="T41" i="15"/>
  <c r="N41" i="15"/>
  <c r="S40" i="15"/>
  <c r="S41" i="15"/>
  <c r="M42" i="15" l="1"/>
  <c r="I47" i="15"/>
  <c r="H47" i="15"/>
  <c r="T42" i="15"/>
  <c r="N42" i="15"/>
  <c r="S42" i="15"/>
  <c r="O42" i="15"/>
  <c r="J47" i="15"/>
  <c r="M43" i="15" l="1"/>
  <c r="W3" i="15" a="1"/>
  <c r="T43" i="15"/>
  <c r="N43" i="15"/>
  <c r="O43" i="15"/>
  <c r="S43" i="15"/>
  <c r="W79" i="15" l="1"/>
  <c r="W51" i="15"/>
  <c r="W3" i="15"/>
  <c r="W7" i="15"/>
  <c r="W25" i="15"/>
  <c r="W77" i="15"/>
  <c r="W20" i="15"/>
  <c r="W18" i="15"/>
  <c r="W85" i="15"/>
  <c r="W28" i="15"/>
  <c r="W69" i="15"/>
  <c r="W17" i="15"/>
  <c r="W13" i="15"/>
  <c r="W26" i="15"/>
  <c r="W43" i="15"/>
  <c r="W40" i="15"/>
  <c r="W83" i="15"/>
  <c r="W76" i="15"/>
  <c r="W54" i="15"/>
  <c r="W57" i="15"/>
  <c r="W66" i="15"/>
  <c r="W14" i="15"/>
  <c r="W31" i="15"/>
  <c r="W73" i="15"/>
  <c r="W62" i="15"/>
  <c r="W72" i="15"/>
  <c r="W87" i="15"/>
  <c r="W48" i="15"/>
  <c r="W82" i="15"/>
  <c r="W4" i="15"/>
  <c r="W47" i="15"/>
  <c r="W46" i="15"/>
  <c r="W86" i="15"/>
  <c r="W63" i="15"/>
  <c r="W33" i="15"/>
  <c r="W42" i="15"/>
  <c r="W38" i="15"/>
  <c r="W71" i="15"/>
  <c r="W44" i="15"/>
  <c r="W23" i="15"/>
  <c r="W59" i="15"/>
  <c r="W24" i="15"/>
  <c r="W67" i="15"/>
  <c r="W64" i="15"/>
  <c r="W8" i="15"/>
  <c r="W41" i="15"/>
  <c r="W15" i="15"/>
  <c r="W55" i="15"/>
  <c r="W21" i="15"/>
  <c r="W32" i="15"/>
  <c r="W70" i="15"/>
  <c r="W53" i="15"/>
  <c r="W78" i="15"/>
  <c r="W74" i="15"/>
  <c r="W50" i="15"/>
  <c r="W61" i="15"/>
  <c r="W10" i="15"/>
  <c r="W60" i="15"/>
  <c r="W5" i="15"/>
  <c r="W80" i="15"/>
  <c r="W19" i="15"/>
  <c r="W88" i="15"/>
  <c r="W75" i="15"/>
  <c r="W34" i="15"/>
  <c r="W16" i="15"/>
  <c r="W9" i="15"/>
  <c r="W52" i="15"/>
  <c r="W6" i="15"/>
  <c r="W37" i="15"/>
  <c r="W39" i="15"/>
  <c r="W22" i="15"/>
  <c r="W29" i="15"/>
  <c r="W49" i="15"/>
  <c r="W81" i="15"/>
  <c r="W84" i="15"/>
  <c r="W65" i="15"/>
  <c r="W68" i="15"/>
  <c r="W35" i="15"/>
  <c r="W12" i="15"/>
  <c r="W27" i="15"/>
  <c r="W45" i="15"/>
  <c r="W36" i="15"/>
  <c r="W56" i="15"/>
  <c r="W30" i="15"/>
  <c r="W58" i="15"/>
  <c r="W11" i="15"/>
  <c r="X46" i="15"/>
  <c r="AA46" i="15"/>
  <c r="AA48" i="15"/>
  <c r="Z86" i="15"/>
  <c r="Z36" i="15"/>
  <c r="Y61" i="15"/>
  <c r="Z71" i="15"/>
  <c r="Y50" i="15"/>
  <c r="X26" i="15"/>
  <c r="Z52" i="15"/>
  <c r="X49" i="15"/>
  <c r="AB76" i="15"/>
  <c r="X31" i="15"/>
  <c r="AB38" i="15"/>
  <c r="AB59" i="15"/>
  <c r="AA88" i="15"/>
  <c r="Z23" i="15"/>
  <c r="AB41" i="15"/>
  <c r="AA5" i="15"/>
  <c r="X39" i="15"/>
  <c r="Y44" i="15"/>
  <c r="X5" i="15"/>
  <c r="Y76" i="15"/>
  <c r="AA80" i="15"/>
  <c r="Z30" i="15"/>
  <c r="Y45" i="15"/>
  <c r="AB79" i="15"/>
  <c r="AB8" i="15"/>
  <c r="AB84" i="15"/>
  <c r="Z55" i="15"/>
  <c r="AB33" i="15"/>
  <c r="AA14" i="15"/>
  <c r="Z15" i="15"/>
  <c r="Z31" i="15"/>
  <c r="Z81" i="15"/>
  <c r="AA19" i="15"/>
  <c r="X12" i="15"/>
  <c r="AB58" i="15"/>
  <c r="X87" i="15"/>
  <c r="AB16" i="15"/>
  <c r="AA62" i="15"/>
  <c r="AB86" i="15"/>
  <c r="AB46" i="15"/>
  <c r="AA20" i="15"/>
  <c r="X68" i="15"/>
  <c r="AB63" i="15"/>
  <c r="Y69" i="15"/>
  <c r="Z69" i="15"/>
  <c r="AA78" i="15"/>
  <c r="Y37" i="15"/>
  <c r="AB55" i="15"/>
  <c r="AB66" i="15"/>
  <c r="AB9" i="15"/>
  <c r="AB28" i="15"/>
  <c r="AA25" i="15"/>
  <c r="Y73" i="15"/>
  <c r="AB65" i="15"/>
  <c r="X22" i="15"/>
  <c r="Z66" i="15"/>
  <c r="Z75" i="15"/>
  <c r="X51" i="15"/>
  <c r="Z29" i="15"/>
  <c r="X74" i="15"/>
  <c r="AB14" i="15"/>
  <c r="X72" i="15"/>
  <c r="AA43" i="15"/>
  <c r="AB11" i="15"/>
  <c r="AA38" i="15"/>
  <c r="Y19" i="15"/>
  <c r="AA63" i="15"/>
  <c r="AB5" i="15"/>
  <c r="AB67" i="15"/>
  <c r="Z61" i="15"/>
  <c r="AB39" i="15"/>
  <c r="AB13" i="15"/>
  <c r="Z38" i="15"/>
  <c r="X21" i="15"/>
  <c r="X18" i="15"/>
  <c r="X54" i="15"/>
  <c r="AA57" i="15"/>
  <c r="AB19" i="15"/>
  <c r="Z78" i="15"/>
  <c r="Z82" i="15"/>
  <c r="X83" i="15"/>
  <c r="AA33" i="15"/>
  <c r="Y41" i="15"/>
  <c r="AB25" i="15"/>
  <c r="AB51" i="15"/>
  <c r="AB32" i="15"/>
  <c r="X63" i="15"/>
  <c r="AA18" i="15"/>
  <c r="Y23" i="15"/>
  <c r="Y14" i="15"/>
  <c r="X16" i="15"/>
  <c r="AA50" i="15"/>
  <c r="AB22" i="15"/>
  <c r="X59" i="15"/>
  <c r="Z28" i="15"/>
  <c r="AA22" i="15"/>
  <c r="AA10" i="15"/>
  <c r="AA64" i="15"/>
  <c r="X67" i="15"/>
  <c r="AB3" i="15"/>
  <c r="Z42" i="15"/>
  <c r="Z17" i="15"/>
  <c r="Y79" i="15"/>
  <c r="Z24" i="15"/>
  <c r="AA27" i="15"/>
  <c r="Z79" i="15"/>
  <c r="Y4" i="15"/>
  <c r="Z13" i="15"/>
  <c r="Y38" i="15"/>
  <c r="X61" i="15"/>
  <c r="AA68" i="15"/>
  <c r="AB26" i="15"/>
  <c r="X45" i="15"/>
  <c r="AB88" i="15"/>
  <c r="X38" i="15"/>
  <c r="Z46" i="15"/>
  <c r="AA7" i="15"/>
  <c r="AA36" i="15"/>
  <c r="AB30" i="15"/>
  <c r="AB73" i="15"/>
  <c r="AB17" i="15"/>
  <c r="AB37" i="15"/>
  <c r="Y42" i="15"/>
  <c r="AB36" i="15"/>
  <c r="X88" i="15"/>
  <c r="Y39" i="15"/>
  <c r="Y21" i="15"/>
  <c r="Z21" i="15"/>
  <c r="AB82" i="15"/>
  <c r="AB31" i="15"/>
  <c r="Z84" i="15"/>
  <c r="Y3" i="15"/>
  <c r="Y57" i="15"/>
  <c r="X75" i="15"/>
  <c r="AA77" i="15"/>
  <c r="Z48" i="15"/>
  <c r="X80" i="15"/>
  <c r="AB87" i="15"/>
  <c r="Y67" i="15"/>
  <c r="AA79" i="15"/>
  <c r="Y87" i="15"/>
  <c r="Z54" i="15"/>
  <c r="AB21" i="15"/>
  <c r="AB35" i="15"/>
  <c r="Z57" i="15"/>
  <c r="AA24" i="15"/>
  <c r="AA23" i="15"/>
  <c r="Z35" i="15"/>
  <c r="Y58" i="15"/>
  <c r="Z37" i="15"/>
  <c r="X77" i="15"/>
  <c r="AB61" i="15"/>
  <c r="AB4" i="15"/>
  <c r="X44" i="15"/>
  <c r="Y9" i="15"/>
  <c r="AB12" i="15"/>
  <c r="Y15" i="15"/>
  <c r="AA83" i="15"/>
  <c r="AB10" i="15"/>
  <c r="AB54" i="15"/>
  <c r="X40" i="15"/>
  <c r="X57" i="15"/>
  <c r="AA35" i="15"/>
  <c r="X37" i="15"/>
  <c r="X84" i="15"/>
  <c r="X15" i="15"/>
  <c r="Z7" i="15"/>
  <c r="X34" i="15"/>
  <c r="Y51" i="15"/>
  <c r="AB75" i="15"/>
  <c r="Z76" i="15"/>
  <c r="Y54" i="15"/>
  <c r="Z10" i="15"/>
  <c r="Y13" i="15"/>
  <c r="X43" i="15"/>
  <c r="X19" i="15"/>
  <c r="AA16" i="15"/>
  <c r="X32" i="15"/>
  <c r="AB47" i="15"/>
  <c r="AB15" i="15"/>
  <c r="X62" i="15"/>
  <c r="Y20" i="15"/>
  <c r="X71" i="15"/>
  <c r="AA59" i="15"/>
  <c r="AA74" i="15"/>
  <c r="Y56" i="15"/>
  <c r="Y74" i="15"/>
  <c r="X36" i="15"/>
  <c r="X23" i="15"/>
  <c r="AB45" i="15"/>
  <c r="AA66" i="15"/>
  <c r="X78" i="15"/>
  <c r="X48" i="15"/>
  <c r="Y31" i="15"/>
  <c r="Y78" i="15"/>
  <c r="AB34" i="15"/>
  <c r="Y59" i="15"/>
  <c r="Z83" i="15"/>
  <c r="Z53" i="15"/>
  <c r="AB57" i="15"/>
  <c r="Y5" i="15"/>
  <c r="Y18" i="15"/>
  <c r="AA30" i="15"/>
  <c r="Z39" i="15"/>
  <c r="AB48" i="15"/>
  <c r="Y27" i="15"/>
  <c r="Z47" i="15"/>
  <c r="AB77" i="15"/>
  <c r="Z9" i="15"/>
  <c r="AA76" i="15"/>
  <c r="X30" i="15"/>
  <c r="Y65" i="15"/>
  <c r="AB20" i="15"/>
  <c r="Y64" i="15"/>
  <c r="X79" i="15"/>
  <c r="X4" i="15"/>
  <c r="AA4" i="15"/>
  <c r="AA54" i="15"/>
  <c r="Y26" i="15"/>
  <c r="Y17" i="15"/>
  <c r="Y40" i="15"/>
  <c r="Z56" i="15"/>
  <c r="X50" i="15"/>
  <c r="AA85" i="15"/>
  <c r="X10" i="15"/>
  <c r="Z8" i="15"/>
  <c r="AB62" i="15"/>
  <c r="Y49" i="15"/>
  <c r="X8" i="15"/>
  <c r="Z63" i="15"/>
  <c r="X47" i="15"/>
  <c r="X11" i="15"/>
  <c r="Y16" i="15"/>
  <c r="AA11" i="15"/>
  <c r="AB40" i="15"/>
  <c r="Z64" i="15"/>
  <c r="Z19" i="15"/>
  <c r="AB71" i="15"/>
  <c r="Z11" i="15"/>
  <c r="Y75" i="15"/>
  <c r="AA53" i="15"/>
  <c r="Z18" i="15"/>
  <c r="Y35" i="15"/>
  <c r="Y52" i="15"/>
  <c r="AB29" i="15"/>
  <c r="AB6" i="15"/>
  <c r="Z65" i="15"/>
  <c r="AA70" i="15"/>
  <c r="X28" i="15"/>
  <c r="X69" i="15"/>
  <c r="AB42" i="15"/>
  <c r="Z50" i="15"/>
  <c r="Y77" i="15"/>
  <c r="X27" i="15"/>
  <c r="Y32" i="15"/>
  <c r="AA31" i="15"/>
  <c r="X55" i="15"/>
  <c r="AB43" i="15"/>
  <c r="AA51" i="15"/>
  <c r="Z22" i="15"/>
  <c r="Z26" i="15"/>
  <c r="Y6" i="15"/>
  <c r="AA15" i="15"/>
  <c r="AB70" i="15"/>
  <c r="Z59" i="15"/>
  <c r="Z68" i="15"/>
  <c r="X53" i="15"/>
  <c r="Z73" i="15"/>
  <c r="AB23" i="15"/>
  <c r="Y80" i="15"/>
  <c r="AB85" i="15"/>
  <c r="Y22" i="15"/>
  <c r="Z12" i="15"/>
  <c r="Z77" i="15"/>
  <c r="X58" i="15"/>
  <c r="Y68" i="15"/>
  <c r="Y46" i="15"/>
  <c r="AB60" i="15"/>
  <c r="X25" i="15"/>
  <c r="AA67" i="15"/>
  <c r="AA52" i="15"/>
  <c r="AA17" i="15"/>
  <c r="AB78" i="15"/>
  <c r="AA73" i="15"/>
  <c r="Y55" i="15"/>
  <c r="AA60" i="15"/>
  <c r="Z62" i="15"/>
  <c r="X65" i="15"/>
  <c r="X86" i="15"/>
  <c r="AA87" i="15"/>
  <c r="AB74" i="15"/>
  <c r="AA69" i="15"/>
  <c r="Y53" i="15"/>
  <c r="AB18" i="15"/>
  <c r="Y48" i="15"/>
  <c r="Y34" i="15"/>
  <c r="AA58" i="15"/>
  <c r="X24" i="15"/>
  <c r="X52" i="15"/>
  <c r="Y82" i="15"/>
  <c r="AA47" i="15"/>
  <c r="AB7" i="15"/>
  <c r="Y71" i="15"/>
  <c r="Y85" i="15"/>
  <c r="AA41" i="15"/>
  <c r="AB64" i="15"/>
  <c r="AA71" i="15"/>
  <c r="X64" i="15"/>
  <c r="AA34" i="15"/>
  <c r="X82" i="15"/>
  <c r="AA61" i="15"/>
  <c r="AB72" i="15"/>
  <c r="Y70" i="15"/>
  <c r="Z33" i="15"/>
  <c r="Y43" i="15"/>
  <c r="X41" i="15"/>
  <c r="Z49" i="15"/>
  <c r="AA55" i="15"/>
  <c r="Z70" i="15"/>
  <c r="Z25" i="15"/>
  <c r="Y24" i="15"/>
  <c r="X6" i="15"/>
  <c r="Y86" i="15"/>
  <c r="AB44" i="15"/>
  <c r="AA42" i="15"/>
  <c r="X35" i="15"/>
  <c r="AA12" i="15"/>
  <c r="AB52" i="15"/>
  <c r="Z5" i="15"/>
  <c r="X76" i="15"/>
  <c r="AA8" i="15"/>
  <c r="AA40" i="15"/>
  <c r="AA26" i="15"/>
  <c r="AB69" i="15"/>
  <c r="AA86" i="15"/>
  <c r="AA44" i="15"/>
  <c r="Y72" i="15"/>
  <c r="Z60" i="15"/>
  <c r="Y10" i="15"/>
  <c r="Z27" i="15"/>
  <c r="AA65" i="15"/>
  <c r="Z20" i="15"/>
  <c r="AA32" i="15"/>
  <c r="Z45" i="15"/>
  <c r="Z41" i="15"/>
  <c r="X33" i="15"/>
  <c r="X14" i="15"/>
  <c r="Z51" i="15"/>
  <c r="X9" i="15"/>
  <c r="AB53" i="15"/>
  <c r="Y36" i="15"/>
  <c r="AA13" i="15"/>
  <c r="AB49" i="15"/>
  <c r="Z34" i="15"/>
  <c r="AA72" i="15"/>
  <c r="AA56" i="15"/>
  <c r="Z16" i="15"/>
  <c r="X60" i="15"/>
  <c r="Y11" i="15"/>
  <c r="AB81" i="15"/>
  <c r="Y88" i="15"/>
  <c r="Z85" i="15"/>
  <c r="Z72" i="15"/>
  <c r="AB27" i="15"/>
  <c r="Y84" i="15"/>
  <c r="AA75" i="15"/>
  <c r="X42" i="15"/>
  <c r="AA84" i="15"/>
  <c r="Z58" i="15"/>
  <c r="AA28" i="15"/>
  <c r="X3" i="15"/>
  <c r="Y60" i="15"/>
  <c r="AA21" i="15"/>
  <c r="X7" i="15"/>
  <c r="Z32" i="15"/>
  <c r="Z44" i="15"/>
  <c r="AA45" i="15"/>
  <c r="Y33" i="15"/>
  <c r="X29" i="15"/>
  <c r="Y30" i="15"/>
  <c r="AA29" i="15"/>
  <c r="AB56" i="15"/>
  <c r="X85" i="15"/>
  <c r="Y63" i="15"/>
  <c r="AA49" i="15"/>
  <c r="Z14" i="15"/>
  <c r="Y62" i="15"/>
  <c r="AA9" i="15"/>
  <c r="Y66" i="15"/>
  <c r="AB80" i="15"/>
  <c r="Z88" i="15"/>
  <c r="Z3" i="15"/>
  <c r="Y25" i="15"/>
  <c r="Z43" i="15"/>
  <c r="AA39" i="15"/>
  <c r="Z6" i="15"/>
  <c r="AB83" i="15"/>
  <c r="AB68" i="15"/>
  <c r="Y12" i="15"/>
  <c r="Z4" i="15"/>
  <c r="X13" i="15"/>
  <c r="Z40" i="15"/>
  <c r="AA81" i="15"/>
  <c r="Y81" i="15"/>
  <c r="X17" i="15"/>
  <c r="AA3" i="15"/>
  <c r="AB24" i="15"/>
  <c r="Z87" i="15"/>
  <c r="Y28" i="15"/>
  <c r="AA82" i="15"/>
  <c r="X66" i="15"/>
  <c r="Y83" i="15"/>
  <c r="X20" i="15"/>
  <c r="Z74" i="15"/>
  <c r="AA6" i="15"/>
  <c r="AB50" i="15"/>
  <c r="Z80" i="15"/>
  <c r="Z67" i="15"/>
  <c r="X81" i="15"/>
  <c r="X56" i="15"/>
  <c r="X70" i="15"/>
  <c r="X73" i="15"/>
  <c r="Y7" i="15"/>
  <c r="AA37" i="15"/>
  <c r="Y29" i="15"/>
  <c r="Y47" i="15"/>
  <c r="Y8" i="15"/>
  <c r="V61" i="15" l="1"/>
  <c r="V40" i="15"/>
  <c r="V75" i="15"/>
  <c r="V15" i="15"/>
  <c r="V44" i="15"/>
  <c r="V47" i="15"/>
  <c r="V31" i="15"/>
  <c r="V43" i="15"/>
  <c r="V20" i="15"/>
  <c r="V11" i="15"/>
  <c r="V35" i="15"/>
  <c r="V39" i="15"/>
  <c r="V88" i="15"/>
  <c r="V74" i="15"/>
  <c r="V41" i="15"/>
  <c r="V71" i="15"/>
  <c r="V4" i="15"/>
  <c r="V14" i="15"/>
  <c r="V26" i="15"/>
  <c r="V77" i="15"/>
  <c r="V27" i="15"/>
  <c r="V46" i="15"/>
  <c r="V50" i="15"/>
  <c r="V58" i="15"/>
  <c r="V68" i="15"/>
  <c r="V37" i="15"/>
  <c r="V19" i="15"/>
  <c r="V78" i="15"/>
  <c r="V8" i="15"/>
  <c r="V38" i="15"/>
  <c r="V82" i="15"/>
  <c r="V66" i="15"/>
  <c r="V13" i="15"/>
  <c r="V25" i="15"/>
  <c r="V29" i="15"/>
  <c r="V23" i="15"/>
  <c r="V6" i="15"/>
  <c r="V57" i="15"/>
  <c r="V84" i="15"/>
  <c r="V52" i="15"/>
  <c r="V5" i="15"/>
  <c r="V70" i="15"/>
  <c r="V67" i="15"/>
  <c r="V33" i="15"/>
  <c r="V87" i="15"/>
  <c r="V54" i="15"/>
  <c r="V69" i="15"/>
  <c r="V3" i="15"/>
  <c r="V34" i="15"/>
  <c r="V18" i="15"/>
  <c r="V12" i="15"/>
  <c r="V30" i="15"/>
  <c r="V53" i="15"/>
  <c r="V42" i="15"/>
  <c r="V17" i="15"/>
  <c r="V56" i="15"/>
  <c r="V36" i="15"/>
  <c r="V81" i="15"/>
  <c r="V9" i="15"/>
  <c r="V60" i="15"/>
  <c r="V32" i="15"/>
  <c r="V24" i="15"/>
  <c r="V63" i="15"/>
  <c r="V72" i="15"/>
  <c r="V76" i="15"/>
  <c r="V28" i="15"/>
  <c r="V51" i="15"/>
  <c r="V55" i="15"/>
  <c r="V73" i="15"/>
  <c r="V22" i="15"/>
  <c r="V65" i="15"/>
  <c r="V80" i="15"/>
  <c r="V64" i="15"/>
  <c r="V48" i="15"/>
  <c r="V7" i="15"/>
  <c r="V45" i="15"/>
  <c r="V49" i="15"/>
  <c r="V16" i="15"/>
  <c r="V10" i="15"/>
  <c r="V21" i="15"/>
  <c r="V59" i="15"/>
  <c r="V86" i="15"/>
  <c r="V62" i="15"/>
  <c r="V83" i="15"/>
  <c r="V85" i="15"/>
  <c r="V79" i="15"/>
  <c r="I14" i="1"/>
  <c r="H24" i="1"/>
  <c r="H25" i="1"/>
  <c r="I27" i="1"/>
  <c r="I15" i="1"/>
  <c r="AC2" i="15" a="1"/>
  <c r="AC40" i="15" l="1"/>
  <c r="AC60" i="15"/>
  <c r="AC61" i="15"/>
  <c r="AC32" i="15"/>
  <c r="AC10" i="15"/>
  <c r="AC59" i="15"/>
  <c r="AC49" i="15"/>
  <c r="AC4" i="15"/>
  <c r="AC12" i="15"/>
  <c r="AC73" i="15"/>
  <c r="AC47" i="15"/>
  <c r="AC29" i="15"/>
  <c r="AC22" i="15"/>
  <c r="AC78" i="15"/>
  <c r="AC43" i="15"/>
  <c r="AC33" i="15"/>
  <c r="AC86" i="15"/>
  <c r="AC17" i="15"/>
  <c r="AC6" i="15"/>
  <c r="AC19" i="15"/>
  <c r="AC81" i="15"/>
  <c r="AC83" i="15"/>
  <c r="AC35" i="15"/>
  <c r="AC54" i="15"/>
  <c r="AC5" i="15"/>
  <c r="AC85" i="15"/>
  <c r="AC30" i="15"/>
  <c r="AC3" i="15"/>
  <c r="AC13" i="15"/>
  <c r="AC77" i="15"/>
  <c r="AC39" i="15"/>
  <c r="AC18" i="15"/>
  <c r="AC63" i="15"/>
  <c r="AC55" i="15"/>
  <c r="AC20" i="15"/>
  <c r="AC7" i="15"/>
  <c r="AC64" i="15"/>
  <c r="AC52" i="15"/>
  <c r="AC58" i="15"/>
  <c r="AC51" i="15"/>
  <c r="AC9" i="15"/>
  <c r="AC66" i="15"/>
  <c r="AC37" i="15"/>
  <c r="AC88" i="15"/>
  <c r="AC46" i="15"/>
  <c r="AC2" i="15"/>
  <c r="AC11" i="15"/>
  <c r="AC62" i="15"/>
  <c r="AC16" i="15"/>
  <c r="AC14" i="15"/>
  <c r="AC24" i="15"/>
  <c r="AC25" i="15"/>
  <c r="AC74" i="15"/>
  <c r="AC87" i="15"/>
  <c r="AC42" i="15"/>
  <c r="AC70" i="15"/>
  <c r="AC72" i="15"/>
  <c r="AC8" i="15"/>
  <c r="AC34" i="15"/>
  <c r="AC44" i="15"/>
  <c r="AC57" i="15"/>
  <c r="AC27" i="15"/>
  <c r="AC84" i="15"/>
  <c r="AC28" i="15"/>
  <c r="AC31" i="15"/>
  <c r="AC75" i="15"/>
  <c r="AC68" i="15"/>
  <c r="AC82" i="15"/>
  <c r="AC65" i="15"/>
  <c r="AC45" i="15"/>
  <c r="AC15" i="15"/>
  <c r="AC26" i="15"/>
  <c r="AC50" i="15"/>
  <c r="AC56" i="15"/>
  <c r="AC80" i="15"/>
  <c r="AC76" i="15"/>
  <c r="AC48" i="15"/>
  <c r="AC21" i="15"/>
  <c r="AC38" i="15"/>
  <c r="AC79" i="15"/>
  <c r="AC53" i="15"/>
  <c r="AC71" i="15"/>
  <c r="AC23" i="15"/>
  <c r="AC69" i="15"/>
  <c r="AC36" i="15"/>
  <c r="AC41" i="15"/>
  <c r="AC67" i="15"/>
  <c r="I24" i="1"/>
  <c r="I25" i="1"/>
  <c r="C56" i="1" l="1"/>
  <c r="C41" i="1"/>
  <c r="H41" i="1"/>
  <c r="H26" i="1"/>
  <c r="C26" i="1"/>
  <c r="I41" i="1"/>
  <c r="I26" i="1"/>
  <c r="D26" i="1"/>
  <c r="D56" i="1"/>
  <c r="D31" i="1" l="1"/>
  <c r="D32" i="1"/>
  <c r="AC2" i="16" a="1"/>
  <c r="AC40" i="16"/>
  <c r="AC46" i="16"/>
  <c r="AC9" i="16"/>
  <c r="AC7" i="16"/>
  <c r="AC61" i="16"/>
  <c r="AC54" i="16"/>
  <c r="AC42" i="16"/>
  <c r="AC52" i="16"/>
  <c r="AC5" i="16"/>
  <c r="AC56" i="16"/>
  <c r="AC44" i="16"/>
  <c r="AC12" i="16"/>
  <c r="AC39" i="16"/>
  <c r="AC13" i="16"/>
  <c r="AC66" i="16"/>
  <c r="AC60" i="16"/>
  <c r="AC20" i="16"/>
  <c r="AC11" i="16"/>
  <c r="AC19" i="16"/>
  <c r="AC18" i="16"/>
  <c r="AC64" i="16"/>
  <c r="AC8" i="16"/>
  <c r="AC16" i="16"/>
  <c r="AC41" i="16"/>
  <c r="AC31" i="16"/>
  <c r="AC23" i="16"/>
  <c r="AC55" i="16"/>
  <c r="AC50" i="16"/>
  <c r="AC38" i="16"/>
  <c r="AC65" i="16"/>
  <c r="AC51" i="16"/>
  <c r="AC45" i="16"/>
  <c r="AC10" i="16"/>
  <c r="AC62" i="16"/>
  <c r="AC22" i="16"/>
  <c r="AC27" i="16"/>
  <c r="AC36" i="16"/>
  <c r="AC15" i="16"/>
  <c r="AC24" i="16"/>
  <c r="AC49" i="16"/>
  <c r="AC32" i="16"/>
  <c r="AC48" i="16"/>
  <c r="AC43" i="16"/>
  <c r="AC33" i="16"/>
  <c r="AC25" i="16"/>
  <c r="AC26" i="16"/>
  <c r="AC53" i="16"/>
  <c r="AC4" i="16"/>
  <c r="AC34" i="16"/>
  <c r="AC35" i="16"/>
  <c r="AC17" i="16"/>
  <c r="AC57" i="16"/>
  <c r="AC37" i="16"/>
  <c r="AC59" i="16"/>
  <c r="AC58" i="16"/>
  <c r="AC30" i="16"/>
  <c r="AC21" i="16"/>
  <c r="AC47" i="16"/>
  <c r="AC63" i="16"/>
  <c r="AC6" i="16"/>
  <c r="AC14" i="16"/>
  <c r="AC29" i="16"/>
  <c r="AC3" i="16"/>
  <c r="AC28" i="16"/>
  <c r="AC2" i="16"/>
  <c r="C39" i="1"/>
  <c r="D39" i="1"/>
  <c r="C40" i="1"/>
  <c r="D40" i="1"/>
  <c r="D41" i="1"/>
  <c r="BJ65" i="14" l="1"/>
  <c r="BI65" i="14"/>
  <c r="BJ60" i="14"/>
  <c r="BI60" i="14"/>
  <c r="BI61" i="14"/>
  <c r="BI64" i="14" s="1"/>
  <c r="BJ61" i="14"/>
  <c r="BJ64" i="14" s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6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6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7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7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9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5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<sst xmlns="http://schemas.openxmlformats.org/spreadsheetml/2006/main" count="2000" uniqueCount="221">
  <si>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</si>
  <si>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</si>
  <si>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</si>
  <si>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</si>
  <si>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</si>
  <si>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</si>
  <si>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</si>
  <si>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</si>
  <si>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</si>
  <si>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</si>
  <si>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</si>
  <si>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</si>
  <si>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</si>
  <si>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</si>
  <si>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</si>
  <si>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</si>
  <si>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</si>
  <si>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</si>
  <si>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</si>
  <si>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</si>
  <si>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</si>
  <si>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</si>
  <si>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</si>
  <si>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</si>
  <si>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</si>
  <si>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</si>
  <si>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</si>
  <si>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</si>
  <si>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</si>
  <si>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</si>
  <si>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</si>
  <si>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</si>
  <si>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</si>
  <si>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</si>
  <si>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</si>
  <si>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</si>
  <si>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USD</t>
  </si>
  <si>
    <t>JoinCalendar Rule</t>
  </si>
  <si>
    <t>JoinHolidays</t>
  </si>
  <si>
    <t>GB Calendar</t>
  </si>
  <si>
    <t>US Calendar</t>
  </si>
  <si>
    <t>UnitedStates::Settlement</t>
  </si>
  <si>
    <t>JoinCalendar</t>
  </si>
  <si>
    <t>Family Name</t>
  </si>
  <si>
    <t>Libor</t>
  </si>
  <si>
    <t>UnitedKingdom::Exchange</t>
  </si>
  <si>
    <t>HolidayCheck</t>
  </si>
  <si>
    <t xml:space="preserve"> </t>
  </si>
  <si>
    <t>MonotonicLogCubicNaturalSpline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</si>
  <si>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</si>
  <si>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</si>
  <si>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</si>
  <si>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</si>
  <si>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</si>
  <si>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</si>
  <si>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</si>
  <si>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</si>
  <si>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</si>
  <si>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</si>
  <si>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</si>
  <si>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</si>
  <si>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</si>
  <si>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</si>
  <si>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</si>
  <si>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</si>
  <si>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</si>
  <si>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</si>
  <si>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</si>
  <si>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</si>
  <si>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</si>
  <si>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</si>
  <si>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</si>
  <si>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2Y</t>
  </si>
  <si>
    <t>27M</t>
  </si>
  <si>
    <t>30M</t>
  </si>
  <si>
    <t>33M</t>
  </si>
  <si>
    <t>3Y</t>
  </si>
  <si>
    <t>39M</t>
  </si>
  <si>
    <t>42M</t>
  </si>
  <si>
    <t>45M</t>
  </si>
  <si>
    <t>4Y</t>
  </si>
  <si>
    <t>51M</t>
  </si>
  <si>
    <t>54M</t>
  </si>
  <si>
    <t>57M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</si>
  <si>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</si>
  <si>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</si>
  <si>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</si>
  <si>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</si>
  <si>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</si>
  <si>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</si>
  <si>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</si>
  <si>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</si>
  <si>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</si>
  <si>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</si>
  <si>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</si>
  <si>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</si>
  <si>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</si>
  <si>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</si>
  <si>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45Y</t>
  </si>
  <si>
    <t>50Y</t>
  </si>
  <si>
    <t>OIS</t>
  </si>
  <si>
    <t>QuoteSuffix</t>
  </si>
  <si>
    <t>_Quote</t>
  </si>
  <si>
    <t>TN</t>
  </si>
  <si>
    <t>SN</t>
  </si>
  <si>
    <t>FedFunds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</si>
  <si>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</si>
  <si>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</si>
  <si>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</si>
  <si>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</si>
  <si>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</si>
  <si>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</si>
  <si>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</si>
  <si>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</si>
  <si>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</si>
  <si>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</si>
  <si>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</si>
  <si>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</si>
  <si>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</si>
  <si>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</si>
  <si>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</si>
  <si>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</si>
  <si>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</si>
  <si>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</si>
  <si>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</si>
  <si>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</si>
  <si>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</si>
  <si>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</si>
  <si>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</si>
  <si>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</si>
  <si>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</si>
  <si>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</si>
  <si>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</si>
  <si>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</si>
  <si>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</si>
  <si>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</si>
  <si>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</si>
  <si>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</si>
  <si>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</si>
  <si>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</si>
  <si>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</si>
  <si>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</si>
  <si>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</si>
  <si>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</si>
  <si>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</si>
  <si>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</si>
  <si>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</si>
  <si>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</si>
  <si>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</si>
  <si>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AM</t>
  </si>
  <si>
    <t>3L</t>
  </si>
  <si>
    <t>fwd</t>
  </si>
  <si>
    <t>Day Count</t>
  </si>
  <si>
    <t>qlFraRateHelper(,H12,B12&amp;"M",G12,PillarDate,,Permanent,Trigger,ObjectOverwrite)</t>
  </si>
  <si>
    <t>qlSwapRateHelper2(,H90,,B90&amp;"M",JoinCalendar,USD3M!D90,USD3M!E90,USD3M!F90,USD3M!G90,USD3M!I90,USD3M!C90,Discounting,PillarDate,,Permanent,Trigger,ObjectOverwrite)</t>
  </si>
  <si>
    <t>55Y</t>
  </si>
  <si>
    <t>6L</t>
  </si>
  <si>
    <t>12M</t>
  </si>
  <si>
    <t>X1S</t>
  </si>
  <si>
    <t>1L</t>
  </si>
  <si>
    <t>BasSw</t>
  </si>
  <si>
    <t>12L</t>
  </si>
  <si>
    <t>Extrapolation</t>
  </si>
  <si>
    <t>USDFedFunds</t>
  </si>
  <si>
    <t>BasOIS</t>
  </si>
  <si>
    <t>FF</t>
  </si>
  <si>
    <t>Quarterly</t>
  </si>
  <si>
    <t>Payer/Receiver</t>
  </si>
  <si>
    <t>Nominal</t>
  </si>
  <si>
    <t>FixedRate</t>
  </si>
  <si>
    <t>FixDayCount</t>
  </si>
  <si>
    <t>OvernightIndex</t>
  </si>
  <si>
    <t>ArithemticAverage</t>
  </si>
  <si>
    <t>MeanReversion</t>
  </si>
  <si>
    <t>Volatility</t>
  </si>
  <si>
    <t>EffectiveDate</t>
  </si>
  <si>
    <t>Payer</t>
  </si>
  <si>
    <t>PaymentFrequency</t>
  </si>
  <si>
    <t>PricingEngine</t>
  </si>
  <si>
    <t>FairRate</t>
  </si>
  <si>
    <t>FairSpread</t>
  </si>
  <si>
    <t>PaymentPeriod</t>
  </si>
  <si>
    <t>Ts</t>
  </si>
  <si>
    <t>Te</t>
  </si>
  <si>
    <t>Convexity1_3M</t>
  </si>
  <si>
    <t>Convexity2_3M</t>
  </si>
  <si>
    <t>Convexity1_10Y</t>
  </si>
  <si>
    <t>Convexity2_10Y</t>
  </si>
  <si>
    <t>LI</t>
  </si>
  <si>
    <t>Tau</t>
  </si>
  <si>
    <t>D(Ts)</t>
  </si>
  <si>
    <t>D(Te)</t>
  </si>
  <si>
    <t>Convx1</t>
  </si>
  <si>
    <t>Convx2</t>
  </si>
  <si>
    <t>Include</t>
  </si>
  <si>
    <t>Geometric</t>
  </si>
  <si>
    <t>test1</t>
  </si>
  <si>
    <t>test2</t>
  </si>
  <si>
    <t>tot</t>
  </si>
  <si>
    <t>tot bps</t>
  </si>
  <si>
    <t>MeanReversion(years)</t>
  </si>
  <si>
    <t>ON Curve</t>
  </si>
  <si>
    <t>Instrument</t>
  </si>
  <si>
    <t>Fixing Date</t>
  </si>
  <si>
    <t>Value Date</t>
  </si>
  <si>
    <t>Maturity Date</t>
  </si>
  <si>
    <t>Pricing</t>
  </si>
  <si>
    <t>Instrument Object</t>
  </si>
  <si>
    <t>Fwd start</t>
  </si>
  <si>
    <t>Day Count Conv</t>
  </si>
  <si>
    <t>convx1</t>
  </si>
  <si>
    <t>convx2</t>
  </si>
  <si>
    <t>apprx</t>
  </si>
  <si>
    <t>delay</t>
  </si>
  <si>
    <t>MeanRev</t>
  </si>
  <si>
    <t>Vol</t>
  </si>
  <si>
    <t>Err</t>
  </si>
  <si>
    <t>mean adj</t>
  </si>
  <si>
    <t>max adj</t>
  </si>
  <si>
    <t>x coupon</t>
  </si>
  <si>
    <t>ohTrigger(USDON!BM59)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</si>
</sst>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43" formatCode="_-* #,##0.00_-;\-* #,##0.00_-;_-* &quot;-&quot;??_-;_-@_-"/>
    <numFmt numFmtId="164" formatCode="_-* #,##0.00_-;\-* #,##0.00_-;_-* &quot;-&quot;??_-;_-@_-"/>
    <numFmt numFmtId="165" formatCode="&quot;£&quot;#,##0;[Red]\-&quot;£&quot;#,##0"/>
    <numFmt numFmtId="166" formatCode="mm/dd/yy;@"/>
    <numFmt numFmtId="167" formatCode="0.0000%"/>
    <numFmt numFmtId="168" formatCode="0.00000%"/>
    <numFmt numFmtId="169" formatCode="ddd\,\ dd\-mmm\-yyyy"/>
    <numFmt numFmtId="170" formatCode="ddd\,\ dd\-mmm\-yyyy\,\ hh:mm:ss"/>
    <numFmt numFmtId="171" formatCode="ddd\,\ d\-mmm\-yy"/>
    <numFmt numFmtId="172" formatCode="ddd\,\ d\-mmm\-yyyy"/>
    <numFmt numFmtId="173" formatCode="0.000000000"/>
    <numFmt numFmtId="174" formatCode="ddd\,\ d\-mmm\-yyyy\,\ hh:mm:ss"/>
    <numFmt numFmtId="175" formatCode="0.000000"/>
    <numFmt numFmtId="176" formatCode="_([$€-2]* #,##0.00_);_([$€-2]* \(#,##0.00\);_([$€-2]* &quot;-&quot;??_)"/>
    <numFmt numFmtId="177" formatCode="General_)"/>
    <numFmt numFmtId="178" formatCode="#,##0.0;#,##0.0"/>
    <numFmt numFmtId="179" formatCode="0.0000"/>
    <numFmt numFmtId="180" formatCode="dd\-mmm\-yy"/>
    <numFmt numFmtId="181" formatCode="_-* #,##0.0000_-;\-* #,##0.0000_-;_-* &quot;-&quot;??_-;_-@_-"/>
    <numFmt numFmtId="182" formatCode="_-* #,##0.000_-;\-* #,##0.000_-;_-* &quot;-&quot;??_-;_-@_-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6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7" fontId="7" fillId="0" borderId="0"/>
    <xf numFmtId="178" fontId="8" fillId="5" borderId="0">
      <alignment horizontal="center" vertical="center"/>
    </xf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265">
    <xf numFmtId="0" fontId="0" fillId="0" borderId="0" xfId="0"/>
    <xf numFmtId="166" fontId="3" fillId="2" borderId="1" xfId="1" applyNumberFormat="1" applyFont="1" applyFill="1" applyBorder="1" applyAlignment="1"/>
    <xf numFmtId="168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9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6" fontId="3" fillId="2" borderId="1" xfId="1" applyNumberFormat="1" applyFont="1" applyFill="1" applyBorder="1" applyAlignment="1">
      <alignment horizontal="right"/>
    </xf>
    <xf numFmtId="166" fontId="3" fillId="2" borderId="1" xfId="1" applyNumberFormat="1" applyFont="1" applyFill="1" applyBorder="1" applyAlignment="1">
      <alignment horizontal="right" vertical="center"/>
    </xf>
    <xf numFmtId="166" fontId="3" fillId="2" borderId="1" xfId="1" applyNumberFormat="1" applyFont="1" applyFill="1" applyBorder="1" applyAlignment="1">
      <alignment horizontal="center" vertical="center"/>
    </xf>
    <xf numFmtId="166" fontId="5" fillId="0" borderId="6" xfId="0" applyNumberFormat="1" applyFont="1" applyBorder="1"/>
    <xf numFmtId="166" fontId="5" fillId="0" borderId="1" xfId="0" applyNumberFormat="1" applyFont="1" applyBorder="1"/>
    <xf numFmtId="169" fontId="5" fillId="0" borderId="1" xfId="0" applyNumberFormat="1" applyFont="1" applyBorder="1"/>
    <xf numFmtId="0" fontId="3" fillId="7" borderId="8" xfId="1" applyFont="1" applyFill="1" applyBorder="1"/>
    <xf numFmtId="169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9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4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4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71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70" fontId="3" fillId="2" borderId="0" xfId="3" applyNumberFormat="1" applyFont="1" applyFill="1" applyBorder="1" applyAlignment="1">
      <alignment horizontal="center"/>
    </xf>
    <xf numFmtId="172" fontId="3" fillId="2" borderId="8" xfId="1" applyNumberFormat="1" applyFont="1" applyFill="1" applyBorder="1" applyAlignment="1">
      <alignment horizontal="right"/>
    </xf>
    <xf numFmtId="173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right"/>
    </xf>
    <xf numFmtId="173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70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6" fontId="3" fillId="2" borderId="8" xfId="1" applyNumberFormat="1" applyFont="1" applyFill="1" applyBorder="1" applyAlignment="1"/>
    <xf numFmtId="166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6" fontId="3" fillId="2" borderId="8" xfId="1" applyNumberFormat="1" applyFont="1" applyFill="1" applyBorder="1" applyAlignment="1">
      <alignment horizontal="center" vertical="center"/>
    </xf>
    <xf numFmtId="168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6" fontId="3" fillId="2" borderId="6" xfId="1" applyNumberFormat="1" applyFont="1" applyFill="1" applyBorder="1" applyAlignment="1"/>
    <xf numFmtId="166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6" fontId="3" fillId="2" borderId="6" xfId="1" applyNumberFormat="1" applyFont="1" applyFill="1" applyBorder="1" applyAlignment="1">
      <alignment horizontal="right"/>
    </xf>
    <xf numFmtId="166" fontId="3" fillId="2" borderId="6" xfId="1" applyNumberFormat="1" applyFont="1" applyFill="1" applyBorder="1" applyAlignment="1">
      <alignment horizontal="center" vertical="center"/>
    </xf>
    <xf numFmtId="168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6" fontId="5" fillId="0" borderId="8" xfId="0" applyNumberFormat="1" applyFont="1" applyBorder="1"/>
    <xf numFmtId="175" fontId="3" fillId="7" borderId="12" xfId="0" applyNumberFormat="1" applyFont="1" applyFill="1" applyBorder="1" applyAlignment="1">
      <alignment horizontal="centerContinuous" vertical="center"/>
    </xf>
    <xf numFmtId="167" fontId="5" fillId="0" borderId="6" xfId="0" applyNumberFormat="1" applyFont="1" applyBorder="1"/>
    <xf numFmtId="166" fontId="5" fillId="3" borderId="6" xfId="0" applyNumberFormat="1" applyFont="1" applyFill="1" applyBorder="1"/>
    <xf numFmtId="166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5" fontId="3" fillId="7" borderId="2" xfId="0" applyNumberFormat="1" applyFont="1" applyFill="1" applyBorder="1" applyAlignment="1">
      <alignment horizontal="center" vertical="center" wrapText="1"/>
    </xf>
    <xf numFmtId="173" fontId="5" fillId="0" borderId="8" xfId="0" applyNumberFormat="1" applyFont="1" applyBorder="1"/>
    <xf numFmtId="173" fontId="5" fillId="0" borderId="6" xfId="0" applyNumberFormat="1" applyFont="1" applyBorder="1"/>
    <xf numFmtId="173" fontId="5" fillId="0" borderId="1" xfId="0" applyNumberFormat="1" applyFont="1" applyBorder="1"/>
    <xf numFmtId="167" fontId="5" fillId="0" borderId="1" xfId="0" applyNumberFormat="1" applyFont="1" applyBorder="1"/>
    <xf numFmtId="173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169" fontId="3" fillId="2" borderId="3" xfId="1" applyNumberFormat="1" applyFont="1" applyFill="1" applyBorder="1" applyAlignment="1">
      <alignment horizontal="center"/>
    </xf>
    <xf numFmtId="169" fontId="3" fillId="2" borderId="10" xfId="1" applyNumberFormat="1" applyFont="1" applyFill="1" applyBorder="1" applyAlignment="1">
      <alignment vertic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4" fontId="3" fillId="3" borderId="4" xfId="1" applyNumberFormat="1" applyFont="1" applyFill="1" applyBorder="1" applyAlignment="1">
      <alignment horizontal="center"/>
    </xf>
    <xf numFmtId="0" fontId="5" fillId="3" borderId="5" xfId="0" applyFont="1" applyFill="1" applyBorder="1"/>
    <xf numFmtId="169" fontId="3" fillId="3" borderId="4" xfId="1" applyNumberFormat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7" fontId="5" fillId="0" borderId="6" xfId="0" applyNumberFormat="1" applyFont="1" applyBorder="1" applyAlignment="1">
      <alignment horizontal="center"/>
    </xf>
    <xf numFmtId="15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7" fontId="5" fillId="0" borderId="1" xfId="0" applyNumberFormat="1" applyFont="1" applyBorder="1" applyAlignment="1">
      <alignment horizontal="center"/>
    </xf>
    <xf numFmtId="15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7" fontId="5" fillId="0" borderId="6" xfId="0" applyNumberFormat="1" applyFont="1" applyBorder="1" applyAlignment="1">
      <alignment horizontal="center" vertical="center"/>
    </xf>
    <xf numFmtId="167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6" fontId="3" fillId="2" borderId="2" xfId="1" applyNumberFormat="1" applyFont="1" applyFill="1" applyBorder="1" applyAlignment="1"/>
    <xf numFmtId="166" fontId="3" fillId="2" borderId="2" xfId="1" applyNumberFormat="1" applyFont="1" applyFill="1" applyBorder="1" applyAlignment="1">
      <alignment horizontal="right" vertical="center"/>
    </xf>
    <xf numFmtId="166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8" fontId="3" fillId="3" borderId="8" xfId="1" applyNumberFormat="1" applyFont="1" applyFill="1" applyBorder="1" applyAlignment="1"/>
    <xf numFmtId="168" fontId="3" fillId="3" borderId="6" xfId="1" applyNumberFormat="1" applyFont="1" applyFill="1" applyBorder="1" applyAlignment="1"/>
    <xf numFmtId="168" fontId="3" fillId="3" borderId="1" xfId="1" applyNumberFormat="1" applyFont="1" applyFill="1" applyBorder="1" applyAlignment="1"/>
    <xf numFmtId="168" fontId="3" fillId="3" borderId="2" xfId="1" applyNumberFormat="1" applyFont="1" applyFill="1" applyBorder="1" applyAlignment="1">
      <alignment horizontal="left"/>
    </xf>
    <xf numFmtId="168" fontId="3" fillId="3" borderId="6" xfId="1" applyNumberFormat="1" applyFont="1" applyFill="1" applyBorder="1" applyAlignment="1">
      <alignment horizontal="left"/>
    </xf>
    <xf numFmtId="168" fontId="3" fillId="3" borderId="1" xfId="1" applyNumberFormat="1" applyFont="1" applyFill="1" applyBorder="1" applyAlignment="1">
      <alignment horizontal="left"/>
    </xf>
    <xf numFmtId="166" fontId="3" fillId="10" borderId="2" xfId="1" applyNumberFormat="1" applyFont="1" applyFill="1" applyBorder="1" applyAlignment="1">
      <alignment horizontal="center" vertical="center"/>
    </xf>
    <xf numFmtId="166" fontId="3" fillId="10" borderId="6" xfId="1" applyNumberFormat="1" applyFont="1" applyFill="1" applyBorder="1" applyAlignment="1">
      <alignment horizontal="center" vertical="center"/>
    </xf>
    <xf numFmtId="166" fontId="3" fillId="10" borderId="1" xfId="1" applyNumberFormat="1" applyFont="1" applyFill="1" applyBorder="1" applyAlignment="1">
      <alignment horizontal="center" vertical="center"/>
    </xf>
    <xf numFmtId="168" fontId="3" fillId="3" borderId="6" xfId="1" applyNumberFormat="1" applyFont="1" applyFill="1" applyBorder="1" applyAlignment="1">
      <alignment horizontal="center"/>
    </xf>
    <xf numFmtId="168" fontId="3" fillId="3" borderId="8" xfId="1" applyNumberFormat="1" applyFont="1" applyFill="1" applyBorder="1" applyAlignment="1">
      <alignment horizontal="center" vertical="center"/>
    </xf>
    <xf numFmtId="168" fontId="3" fillId="3" borderId="6" xfId="1" applyNumberFormat="1" applyFont="1" applyFill="1" applyBorder="1" applyAlignment="1">
      <alignment horizontal="center" vertical="center"/>
    </xf>
    <xf numFmtId="168" fontId="3" fillId="3" borderId="1" xfId="1" applyNumberFormat="1" applyFont="1" applyFill="1" applyBorder="1" applyAlignment="1">
      <alignment horizontal="center"/>
    </xf>
    <xf numFmtId="166" fontId="3" fillId="10" borderId="8" xfId="1" applyNumberFormat="1" applyFont="1" applyFill="1" applyBorder="1" applyAlignment="1">
      <alignment horizontal="center" vertical="center"/>
    </xf>
    <xf numFmtId="168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7" fontId="5" fillId="0" borderId="8" xfId="0" applyNumberFormat="1" applyFont="1" applyBorder="1" applyAlignment="1">
      <alignment horizontal="center"/>
    </xf>
    <xf numFmtId="15" fontId="5" fillId="0" borderId="8" xfId="0" applyNumberFormat="1" applyFont="1" applyBorder="1" applyAlignment="1">
      <alignment horizontal="center"/>
    </xf>
    <xf numFmtId="166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7" fontId="5" fillId="3" borderId="8" xfId="0" applyNumberFormat="1" applyFont="1" applyFill="1" applyBorder="1" applyAlignment="1">
      <alignment horizontal="center"/>
    </xf>
    <xf numFmtId="15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7" fontId="5" fillId="3" borderId="6" xfId="0" applyNumberFormat="1" applyFont="1" applyFill="1" applyBorder="1" applyAlignment="1">
      <alignment horizontal="center"/>
    </xf>
    <xf numFmtId="15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5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7" fontId="5" fillId="3" borderId="1" xfId="0" applyNumberFormat="1" applyFont="1" applyFill="1" applyBorder="1" applyAlignment="1">
      <alignment horizontal="center"/>
    </xf>
    <xf numFmtId="168" fontId="3" fillId="3" borderId="8" xfId="1" applyNumberFormat="1" applyFont="1" applyFill="1" applyBorder="1" applyAlignment="1">
      <alignment horizontal="left"/>
    </xf>
    <xf numFmtId="168" fontId="3" fillId="3" borderId="6" xfId="1" applyNumberFormat="1" applyFont="1" applyFill="1" applyBorder="1" applyAlignment="1">
      <alignment vertical="center"/>
    </xf>
    <xf numFmtId="168" fontId="3" fillId="3" borderId="1" xfId="1" applyNumberFormat="1" applyFont="1" applyFill="1" applyBorder="1" applyAlignment="1">
      <alignment vertical="center"/>
    </xf>
    <xf numFmtId="174" fontId="3" fillId="9" borderId="3" xfId="1" applyNumberFormat="1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/>
    </xf>
    <xf numFmtId="166" fontId="3" fillId="2" borderId="16" xfId="1" applyNumberFormat="1" applyFont="1" applyFill="1" applyBorder="1" applyAlignment="1"/>
    <xf numFmtId="166" fontId="3" fillId="2" borderId="16" xfId="1" applyNumberFormat="1" applyFont="1" applyFill="1" applyBorder="1" applyAlignment="1">
      <alignment horizontal="right" vertical="center"/>
    </xf>
    <xf numFmtId="166" fontId="3" fillId="2" borderId="16" xfId="1" applyNumberFormat="1" applyFont="1" applyFill="1" applyBorder="1" applyAlignment="1">
      <alignment horizontal="center" vertical="center"/>
    </xf>
    <xf numFmtId="166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8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6" fontId="3" fillId="2" borderId="17" xfId="1" applyNumberFormat="1" applyFont="1" applyFill="1" applyBorder="1" applyAlignment="1"/>
    <xf numFmtId="166" fontId="3" fillId="2" borderId="17" xfId="1" applyNumberFormat="1" applyFont="1" applyFill="1" applyBorder="1" applyAlignment="1">
      <alignment horizontal="right" vertical="center"/>
    </xf>
    <xf numFmtId="166" fontId="3" fillId="2" borderId="17" xfId="1" applyNumberFormat="1" applyFont="1" applyFill="1" applyBorder="1" applyAlignment="1">
      <alignment horizontal="center" vertical="center"/>
    </xf>
    <xf numFmtId="166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8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0" fontId="3" fillId="7" borderId="12" xfId="0" applyFont="1" applyFill="1" applyBorder="1" applyAlignment="1">
      <alignment horizontal="center" vertical="center"/>
    </xf>
    <xf numFmtId="169" fontId="5" fillId="8" borderId="0" xfId="0" applyNumberFormat="1" applyFont="1" applyFill="1"/>
    <xf numFmtId="164" fontId="5" fillId="8" borderId="0" xfId="0" applyNumberFormat="1" applyFont="1" applyFill="1"/>
    <xf numFmtId="3" fontId="5" fillId="8" borderId="0" xfId="0" applyNumberFormat="1" applyFont="1" applyFill="1"/>
    <xf numFmtId="0" fontId="5" fillId="8" borderId="0" xfId="0" applyNumberFormat="1" applyFont="1" applyFill="1"/>
    <xf numFmtId="179" fontId="5" fillId="8" borderId="0" xfId="0" applyNumberFormat="1" applyFont="1" applyFill="1"/>
    <xf numFmtId="167" fontId="5" fillId="8" borderId="0" xfId="0" applyNumberFormat="1" applyFont="1" applyFill="1"/>
    <xf numFmtId="9" fontId="5" fillId="8" borderId="0" xfId="0" applyNumberFormat="1" applyFont="1" applyFill="1"/>
    <xf numFmtId="0" fontId="5" fillId="8" borderId="0" xfId="0" applyFont="1" applyFill="1" applyAlignment="1">
      <alignment horizontal="center" vertical="center" wrapText="1"/>
    </xf>
    <xf numFmtId="169" fontId="5" fillId="8" borderId="0" xfId="0" applyNumberFormat="1" applyFont="1" applyFill="1" applyAlignment="1">
      <alignment horizontal="center" vertical="center" wrapText="1"/>
    </xf>
    <xf numFmtId="164" fontId="5" fillId="8" borderId="0" xfId="0" applyNumberFormat="1" applyFont="1" applyFill="1" applyAlignment="1">
      <alignment horizontal="center" vertical="center" wrapText="1"/>
    </xf>
    <xf numFmtId="3" fontId="5" fillId="8" borderId="0" xfId="0" applyNumberFormat="1" applyFont="1" applyFill="1" applyAlignment="1">
      <alignment horizontal="center" vertical="center" wrapText="1"/>
    </xf>
    <xf numFmtId="0" fontId="5" fillId="8" borderId="0" xfId="0" applyNumberFormat="1" applyFont="1" applyFill="1" applyAlignment="1">
      <alignment horizontal="center" vertical="center" wrapText="1"/>
    </xf>
    <xf numFmtId="179" fontId="5" fillId="8" borderId="0" xfId="0" applyNumberFormat="1" applyFont="1" applyFill="1" applyAlignment="1">
      <alignment horizontal="center" vertical="center" wrapText="1"/>
    </xf>
    <xf numFmtId="167" fontId="5" fillId="8" borderId="0" xfId="0" applyNumberFormat="1" applyFont="1" applyFill="1" applyAlignment="1">
      <alignment horizontal="center" vertical="center" wrapText="1"/>
    </xf>
    <xf numFmtId="9" fontId="5" fillId="8" borderId="0" xfId="0" applyNumberFormat="1" applyFont="1" applyFill="1" applyAlignment="1">
      <alignment horizontal="center" vertical="center" wrapText="1"/>
    </xf>
    <xf numFmtId="10" fontId="5" fillId="8" borderId="0" xfId="13" applyNumberFormat="1" applyFont="1" applyFill="1"/>
    <xf numFmtId="0" fontId="5" fillId="8" borderId="0" xfId="0" applyFont="1" applyFill="1" applyAlignment="1">
      <alignment horizontal="left"/>
    </xf>
    <xf numFmtId="0" fontId="5" fillId="8" borderId="0" xfId="0" applyFont="1" applyFill="1" applyAlignment="1">
      <alignment horizontal="left" vertical="center" wrapText="1"/>
    </xf>
    <xf numFmtId="169" fontId="5" fillId="8" borderId="0" xfId="0" applyNumberFormat="1" applyFont="1" applyFill="1" applyAlignment="1">
      <alignment horizontal="left" vertical="center" wrapText="1"/>
    </xf>
    <xf numFmtId="164" fontId="5" fillId="8" borderId="0" xfId="0" applyNumberFormat="1" applyFont="1" applyFill="1" applyAlignment="1">
      <alignment horizontal="right" vertical="center" wrapText="1"/>
    </xf>
    <xf numFmtId="180" fontId="5" fillId="8" borderId="0" xfId="0" applyNumberFormat="1" applyFont="1" applyFill="1" applyAlignment="1">
      <alignment horizontal="right"/>
    </xf>
    <xf numFmtId="164" fontId="5" fillId="8" borderId="0" xfId="0" applyNumberFormat="1" applyFont="1" applyFill="1" applyAlignment="1">
      <alignment horizontal="right" vertical="center" wrapText="1"/>
    </xf>
    <xf numFmtId="10" fontId="5" fillId="8" borderId="0" xfId="0" applyNumberFormat="1" applyFont="1" applyFill="1" applyAlignment="1">
      <alignment horizontal="right" vertical="center" wrapText="1"/>
    </xf>
    <xf numFmtId="167" fontId="5" fillId="8" borderId="0" xfId="0" applyNumberFormat="1" applyFont="1" applyFill="1" applyAlignment="1">
      <alignment horizontal="right" vertical="center" wrapText="1"/>
    </xf>
    <xf numFmtId="2" fontId="5" fillId="8" borderId="0" xfId="0" applyNumberFormat="1" applyFont="1" applyFill="1" applyAlignment="1">
      <alignment horizontal="right" vertical="center" wrapText="1"/>
    </xf>
    <xf numFmtId="169" fontId="5" fillId="8" borderId="0" xfId="0" applyNumberFormat="1" applyFont="1" applyFill="1" applyAlignment="1">
      <alignment horizontal="right" vertical="center" wrapText="1"/>
    </xf>
    <xf numFmtId="164" fontId="5" fillId="8" borderId="0" xfId="0" applyNumberFormat="1" applyFont="1" applyFill="1" applyAlignment="1">
      <alignment horizontal="center" vertical="center" wrapText="1"/>
    </xf>
    <xf numFmtId="2" fontId="5" fillId="8" borderId="0" xfId="0" applyNumberFormat="1" applyFont="1" applyFill="1"/>
    <xf numFmtId="0" fontId="3" fillId="4" borderId="0" xfId="1" applyFont="1" applyFill="1" applyBorder="1" applyAlignment="1">
      <alignment horizontal="center"/>
    </xf>
    <xf numFmtId="0" fontId="9" fillId="3" borderId="0" xfId="1" applyFont="1" applyFill="1" applyBorder="1" applyAlignment="1">
      <alignment horizontal="right"/>
    </xf>
    <xf numFmtId="0" fontId="3" fillId="4" borderId="8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/>
    </xf>
    <xf numFmtId="10" fontId="5" fillId="8" borderId="0" xfId="0" applyNumberFormat="1" applyFont="1" applyFill="1" applyAlignment="1">
      <alignment horizontal="center" vertical="center" wrapText="1"/>
    </xf>
    <xf numFmtId="10" fontId="5" fillId="8" borderId="8" xfId="0" applyNumberFormat="1" applyFont="1" applyFill="1" applyBorder="1"/>
    <xf numFmtId="10" fontId="5" fillId="8" borderId="6" xfId="0" applyNumberFormat="1" applyFont="1" applyFill="1" applyBorder="1"/>
    <xf numFmtId="10" fontId="5" fillId="8" borderId="1" xfId="0" applyNumberFormat="1" applyFont="1" applyFill="1" applyBorder="1"/>
    <xf numFmtId="164" fontId="5" fillId="8" borderId="2" xfId="0" applyNumberFormat="1" applyFont="1" applyFill="1" applyBorder="1" applyAlignment="1">
      <alignment horizontal="center" vertical="center" wrapText="1"/>
    </xf>
    <xf numFmtId="0" fontId="5" fillId="8" borderId="14" xfId="0" applyNumberFormat="1" applyFont="1" applyFill="1" applyBorder="1" applyAlignment="1">
      <alignment horizontal="center" vertical="center" wrapText="1"/>
    </xf>
    <xf numFmtId="0" fontId="5" fillId="8" borderId="13" xfId="0" applyNumberFormat="1" applyFont="1" applyFill="1" applyBorder="1" applyAlignment="1">
      <alignment horizontal="center" vertical="center" wrapText="1"/>
    </xf>
    <xf numFmtId="0" fontId="5" fillId="8" borderId="15" xfId="0" applyNumberFormat="1" applyFont="1" applyFill="1" applyBorder="1" applyAlignment="1">
      <alignment horizontal="center" vertical="center" wrapText="1"/>
    </xf>
    <xf numFmtId="164" fontId="5" fillId="8" borderId="0" xfId="0" applyNumberFormat="1" applyFont="1" applyFill="1" applyAlignment="1">
      <alignment horizontal="center" vertical="center" wrapText="1"/>
    </xf>
    <xf numFmtId="164" fontId="5" fillId="8" borderId="0" xfId="0" applyNumberFormat="1" applyFont="1" applyFill="1" applyAlignment="1">
      <alignment horizontal="left" vertical="center" wrapText="1"/>
    </xf>
    <xf numFmtId="179" fontId="5" fillId="8" borderId="0" xfId="0" applyNumberFormat="1" applyFont="1" applyFill="1" applyBorder="1" applyAlignment="1">
      <alignment horizontal="left"/>
    </xf>
    <xf numFmtId="182" fontId="5" fillId="8" borderId="0" xfId="0" applyNumberFormat="1" applyFont="1" applyFill="1" applyBorder="1" applyAlignment="1">
      <alignment horizontal="left" vertical="center" wrapText="1"/>
    </xf>
    <xf numFmtId="11" fontId="5" fillId="8" borderId="7" xfId="0" applyNumberFormat="1" applyFont="1" applyFill="1" applyBorder="1" applyAlignment="1">
      <alignment horizontal="left" vertical="center" wrapText="1"/>
    </xf>
    <xf numFmtId="181" fontId="5" fillId="8" borderId="11" xfId="0" applyNumberFormat="1" applyFont="1" applyFill="1" applyBorder="1" applyAlignment="1">
      <alignment horizontal="center" vertical="center" wrapText="1"/>
    </xf>
    <xf numFmtId="181" fontId="5" fillId="8" borderId="12" xfId="0" applyNumberFormat="1" applyFont="1" applyFill="1" applyBorder="1" applyAlignment="1">
      <alignment horizontal="center" vertical="center" wrapText="1"/>
    </xf>
    <xf numFmtId="181" fontId="5" fillId="8" borderId="9" xfId="0" applyNumberFormat="1" applyFont="1" applyFill="1" applyBorder="1" applyAlignment="1">
      <alignment horizontal="center" vertical="center" wrapText="1"/>
    </xf>
    <xf numFmtId="181" fontId="5" fillId="8" borderId="7" xfId="0" applyNumberFormat="1" applyFont="1" applyFill="1" applyBorder="1" applyAlignment="1">
      <alignment horizontal="center" vertical="center" wrapText="1"/>
    </xf>
    <xf numFmtId="181" fontId="5" fillId="8" borderId="0" xfId="0" applyNumberFormat="1" applyFont="1" applyFill="1" applyBorder="1" applyAlignment="1">
      <alignment horizontal="center" vertical="center" wrapText="1"/>
    </xf>
    <xf numFmtId="181" fontId="5" fillId="8" borderId="10" xfId="0" applyNumberFormat="1" applyFont="1" applyFill="1" applyBorder="1" applyAlignment="1">
      <alignment horizontal="center" vertical="center" wrapText="1"/>
    </xf>
    <xf numFmtId="181" fontId="5" fillId="8" borderId="5" xfId="0" applyNumberFormat="1" applyFont="1" applyFill="1" applyBorder="1" applyAlignment="1">
      <alignment horizontal="center" vertical="center" wrapText="1"/>
    </xf>
    <xf numFmtId="181" fontId="5" fillId="8" borderId="4" xfId="0" applyNumberFormat="1" applyFont="1" applyFill="1" applyBorder="1" applyAlignment="1">
      <alignment horizontal="center" vertical="center" wrapText="1"/>
    </xf>
    <xf numFmtId="181" fontId="5" fillId="8" borderId="3" xfId="0" applyNumberFormat="1" applyFont="1" applyFill="1" applyBorder="1" applyAlignment="1">
      <alignment horizontal="center" vertical="center" wrapText="1"/>
    </xf>
    <xf numFmtId="167" fontId="5" fillId="8" borderId="7" xfId="0" applyNumberFormat="1" applyFont="1" applyFill="1" applyBorder="1" applyAlignment="1">
      <alignment horizontal="center" vertical="center" wrapText="1"/>
    </xf>
    <xf numFmtId="179" fontId="5" fillId="8" borderId="7" xfId="0" applyNumberFormat="1" applyFont="1" applyFill="1" applyBorder="1" applyAlignment="1">
      <alignment horizontal="center" vertical="center" wrapText="1"/>
    </xf>
    <xf numFmtId="179" fontId="5" fillId="8" borderId="0" xfId="0" applyNumberFormat="1" applyFont="1" applyFill="1" applyBorder="1" applyAlignment="1">
      <alignment horizontal="center" vertical="center" wrapText="1"/>
    </xf>
    <xf numFmtId="173" fontId="5" fillId="8" borderId="0" xfId="0" applyNumberFormat="1" applyFont="1" applyFill="1" applyAlignment="1">
      <alignment horizontal="center" vertical="center" wrapText="1"/>
    </xf>
    <xf numFmtId="11" fontId="5" fillId="8" borderId="0" xfId="0" applyNumberFormat="1" applyFont="1" applyFill="1"/>
    <xf numFmtId="179" fontId="5" fillId="8" borderId="12" xfId="0" applyNumberFormat="1" applyFont="1" applyFill="1" applyBorder="1"/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  <xf numFmtId="180" fontId="5" fillId="8" borderId="0" xfId="0" applyNumberFormat="1" applyFont="1" applyFill="1"/>
    <xf numFmtId="0" fontId="3" fillId="6" borderId="15" xfId="1" applyNumberFormat="1" applyFont="1" applyFill="1" applyBorder="1" applyAlignment="1">
      <alignment horizontal="center"/>
    </xf>
    <xf numFmtId="10" fontId="5" fillId="8" borderId="0" xfId="0" applyNumberFormat="1" applyFont="1" applyFill="1"/>
    <xf numFmtId="0" fontId="5" fillId="6" borderId="18" xfId="0" applyFont="1" applyFill="1" applyBorder="1"/>
    <xf numFmtId="0" fontId="5" fillId="11" borderId="0" xfId="0" applyNumberFormat="1" applyFont="1" applyFill="1"/>
    <xf numFmtId="180" fontId="5" fillId="11" borderId="0" xfId="0" applyNumberFormat="1" applyFont="1" applyFill="1"/>
    <xf numFmtId="167" fontId="5" fillId="11" borderId="0" xfId="0" applyNumberFormat="1" applyFont="1" applyFill="1"/>
    <xf numFmtId="2" fontId="5" fillId="11" borderId="0" xfId="0" applyNumberFormat="1" applyFont="1" applyFill="1"/>
    <xf numFmtId="0" fontId="5" fillId="11" borderId="0" xfId="0" applyFont="1" applyFill="1"/>
    <xf numFmtId="43" fontId="5" fillId="8" borderId="0" xfId="0" applyNumberFormat="1" applyFont="1" applyFill="1" applyAlignment="1">
      <alignment horizontal="center" vertical="center" wrapText="1"/>
    </xf>
    <xf numFmtId="0" fontId="5" fillId="8" borderId="12" xfId="0" applyNumberFormat="1" applyFont="1" applyFill="1" applyBorder="1"/>
    <xf numFmtId="0" fontId="5" fillId="8" borderId="19" xfId="0" applyNumberFormat="1" applyFont="1" applyFill="1" applyBorder="1"/>
    <xf numFmtId="179" fontId="5" fillId="8" borderId="19" xfId="0" applyNumberFormat="1" applyFont="1" applyFill="1" applyBorder="1"/>
  </cellXfs>
  <cellStyles count="14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" xfId="13" builtinId="5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3M"/>
      <sheetName val="FRA6M"/>
      <sheetName val="FRA12M"/>
      <sheetName val="OIS"/>
      <sheetName val="FF3L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</sheetNames>
    <sheetDataSet>
      <sheetData sheetId="0"/>
      <sheetData sheetId="1">
        <row r="6">
          <cell r="D6" t="str">
            <v>USDON#0000</v>
          </cell>
        </row>
        <row r="8">
          <cell r="D8" t="str">
            <v>USD1M#0000</v>
          </cell>
        </row>
        <row r="10">
          <cell r="D10" t="str">
            <v>USD3M#0000</v>
          </cell>
        </row>
        <row r="11">
          <cell r="D11" t="str">
            <v>USD6M#0000</v>
          </cell>
        </row>
        <row r="12">
          <cell r="D12" t="str">
            <v>USD1Y#0000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8"/>
  <sheetViews>
    <sheetView showGridLines="0" tabSelected="1" workbookViewId="0">
      <selection activeCell="D5" sqref="D5"/>
    </sheetView>
  </sheetViews>
  <sheetFormatPr defaultRowHeight="11.25" outlineLevelRow="1" x14ac:dyDescent="0.2"/>
  <cols>
    <col min="1" max="2" width="2.7109375" style="50" customWidth="1"/>
    <col min="3" max="3" width="20.28515625" style="50" bestFit="1" customWidth="1"/>
    <col min="4" max="4" width="30.7109375" style="50" customWidth="1"/>
    <col min="5" max="7" width="2.7109375" style="50" customWidth="1"/>
    <col min="8" max="8" width="20.28515625" style="50" bestFit="1" customWidth="1"/>
    <col min="9" max="9" width="30.7109375" style="50" customWidth="1"/>
    <col min="10" max="10" width="2.7109375" style="50" customWidth="1"/>
    <col min="11" max="13" width="9.140625" style="50"/>
    <col min="14" max="14" width="9.7109375" style="50" bestFit="1" customWidth="1"/>
    <col min="15" max="16384" width="9.140625" style="50"/>
  </cols>
  <sheetData>
    <row r="2" spans="1:10" x14ac:dyDescent="0.2">
      <c r="B2" s="90"/>
      <c r="C2" s="91"/>
      <c r="D2" s="91"/>
      <c r="E2" s="92"/>
      <c r="G2" s="90"/>
      <c r="H2" s="91"/>
      <c r="I2" s="91"/>
      <c r="J2" s="92"/>
    </row>
    <row r="3" spans="1:10" ht="11.25" customHeight="1" x14ac:dyDescent="0.2">
      <c r="B3" s="95"/>
      <c r="C3" s="14" t="s">
        <v>22</v>
      </c>
      <c r="D3" s="87" t="s">
        <v>36</v>
      </c>
      <c r="E3" s="93"/>
      <c r="G3" s="95"/>
      <c r="H3" s="14" t="s">
        <v>31</v>
      </c>
      <c r="I3" s="15">
        <f>_xll.qlSettingsEvaluationDate(Trigger)</f>
        <v>42446</v>
      </c>
      <c r="J3" s="93"/>
    </row>
    <row r="4" spans="1:10" ht="11.25" customHeight="1" x14ac:dyDescent="0.2">
      <c r="B4" s="95"/>
      <c r="C4" s="16" t="s">
        <v>19</v>
      </c>
      <c r="D4" s="18" t="b">
        <v>1</v>
      </c>
      <c r="E4" s="93"/>
      <c r="G4" s="95"/>
      <c r="H4" s="16" t="s">
        <v>32</v>
      </c>
      <c r="I4" s="17">
        <f>_xll.qlCalendarAdvance(Calendar,Evaluationdate,"2D","F",,Trigger)</f>
        <v>42450</v>
      </c>
      <c r="J4" s="93"/>
    </row>
    <row r="5" spans="1:10" ht="11.25" customHeight="1" x14ac:dyDescent="0.2">
      <c r="A5" s="52"/>
      <c r="B5" s="96"/>
      <c r="C5" s="22" t="s">
        <v>18</v>
      </c>
      <c r="D5" s="253"/>
      <c r="E5" s="93" t="s">
        <v>220</v>
      </c>
      <c r="G5" s="95"/>
      <c r="H5" s="16" t="s">
        <v>37</v>
      </c>
      <c r="I5" s="17" t="s">
        <v>38</v>
      </c>
      <c r="J5" s="93"/>
    </row>
    <row r="6" spans="1:10" ht="11.25" customHeight="1" x14ac:dyDescent="0.2">
      <c r="A6" s="52"/>
      <c r="B6" s="96"/>
      <c r="C6" s="16" t="s">
        <v>20</v>
      </c>
      <c r="D6" s="18" t="b">
        <v>1</v>
      </c>
      <c r="E6" s="93"/>
      <c r="G6" s="95"/>
      <c r="H6" s="16" t="s">
        <v>39</v>
      </c>
      <c r="I6" s="17" t="s">
        <v>45</v>
      </c>
      <c r="J6" s="93"/>
    </row>
    <row r="7" spans="1:10" ht="11.25" customHeight="1" x14ac:dyDescent="0.2">
      <c r="A7" s="52"/>
      <c r="B7" s="96"/>
      <c r="C7" s="16" t="s">
        <v>21</v>
      </c>
      <c r="D7" s="19" t="str">
        <f>Currency&amp;"ON"</f>
        <v>USDON</v>
      </c>
      <c r="E7" s="93"/>
      <c r="G7" s="95"/>
      <c r="H7" s="16" t="s">
        <v>40</v>
      </c>
      <c r="I7" s="17" t="s">
        <v>41</v>
      </c>
      <c r="J7" s="93"/>
    </row>
    <row r="8" spans="1:10" ht="11.25" customHeight="1" x14ac:dyDescent="0.2">
      <c r="A8" s="52"/>
      <c r="B8" s="96"/>
      <c r="C8" s="16" t="s">
        <v>43</v>
      </c>
      <c r="D8" s="19" t="s">
        <v>44</v>
      </c>
      <c r="E8" s="93"/>
      <c r="G8" s="95"/>
      <c r="H8" s="16" t="s">
        <v>42</v>
      </c>
      <c r="I8" s="89" t="str">
        <f>I5&amp;"("&amp;I6&amp;","&amp;I7&amp;")"</f>
        <v>JoinHolidays(UnitedKingdom::Exchange,UnitedStates::Settlement)</v>
      </c>
      <c r="J8" s="93" t="s">
        <v>47</v>
      </c>
    </row>
    <row r="9" spans="1:10" ht="11.25" customHeight="1" x14ac:dyDescent="0.2">
      <c r="B9" s="97"/>
      <c r="C9" s="20" t="s">
        <v>101</v>
      </c>
      <c r="D9" s="21" t="s">
        <v>102</v>
      </c>
      <c r="E9" s="93"/>
      <c r="G9" s="95"/>
      <c r="H9" s="20" t="s">
        <v>46</v>
      </c>
      <c r="I9" s="88" t="b">
        <f>IF(_xll.qlCalendarIsHoliday(LocalCalendar,_xll.qlCalendarAdvance(LiborCalendar,Evaluationdate,"2D",,,Trigger),Trigger),TRUE,FALSE)</f>
        <v>0</v>
      </c>
      <c r="J9" s="93"/>
    </row>
    <row r="10" spans="1:10" ht="11.25" customHeight="1" x14ac:dyDescent="0.2">
      <c r="B10" s="97"/>
      <c r="C10" s="20" t="s">
        <v>109</v>
      </c>
      <c r="D10" s="172" t="s">
        <v>110</v>
      </c>
      <c r="E10" s="93"/>
      <c r="G10" s="95"/>
      <c r="H10" s="22" t="s">
        <v>14</v>
      </c>
      <c r="I10" s="103" t="str">
        <f>IF(HolidayCheck,JoinCalendar,LiborCalendar)</f>
        <v>UnitedKingdom::Exchange</v>
      </c>
      <c r="J10" s="93"/>
    </row>
    <row r="11" spans="1:10" ht="11.25" customHeight="1" x14ac:dyDescent="0.2">
      <c r="B11" s="98"/>
      <c r="C11" s="99"/>
      <c r="D11" s="100"/>
      <c r="E11" s="94"/>
      <c r="G11" s="101"/>
      <c r="H11" s="99"/>
      <c r="I11" s="102"/>
      <c r="J11" s="94"/>
    </row>
    <row r="12" spans="1:10" ht="11.25" customHeight="1" x14ac:dyDescent="0.2"/>
    <row r="13" spans="1:10" x14ac:dyDescent="0.2">
      <c r="B13" s="39"/>
      <c r="C13" s="40"/>
      <c r="D13" s="40"/>
      <c r="E13" s="41"/>
      <c r="G13" s="39"/>
      <c r="H13" s="40"/>
      <c r="I13" s="40"/>
      <c r="J13" s="41"/>
    </row>
    <row r="14" spans="1:10" x14ac:dyDescent="0.2">
      <c r="B14" s="24"/>
      <c r="C14" s="23" t="s">
        <v>10</v>
      </c>
      <c r="D14" s="43" t="str">
        <f>_xll.qlPiecewiseYieldCurve($D$16,$D$17,Calendar,_xll.ohPack(USDON!U3:U56),,,,D18,D19,D20,Permanent,,ObjectOverwrite)</f>
        <v>_USDON#0451</v>
      </c>
      <c r="E14" s="44"/>
      <c r="G14" s="24"/>
      <c r="H14" s="23" t="s">
        <v>10</v>
      </c>
      <c r="I14" s="43" t="str">
        <f>_xll.qlPiecewiseYieldCurve(I16,I17,Calendar,_xll.ohPack(USD3M!W3:W88),,,,I18,I19,I20,Permanent,,ObjectOverwrite)</f>
        <v>_USD3M#0296</v>
      </c>
      <c r="J14" s="44"/>
    </row>
    <row r="15" spans="1:10" x14ac:dyDescent="0.2">
      <c r="B15" s="24"/>
      <c r="C15" s="25" t="s">
        <v>11</v>
      </c>
      <c r="D15" s="45" t="str">
        <f>_xll.ohRangeRetrieveError(YieldCurve_ON)</f>
        <v/>
      </c>
      <c r="E15" s="44"/>
      <c r="G15" s="24"/>
      <c r="H15" s="25" t="s">
        <v>11</v>
      </c>
      <c r="I15" s="45" t="str">
        <f>_xll.ohRangeRetrieveError(YieldCurve_3M)</f>
        <v/>
      </c>
      <c r="J15" s="44"/>
    </row>
    <row r="16" spans="1:10" x14ac:dyDescent="0.2">
      <c r="B16" s="24"/>
      <c r="C16" s="23" t="s">
        <v>12</v>
      </c>
      <c r="D16" s="26" t="str">
        <f>"_"&amp;Currency&amp;"ON"</f>
        <v>_USDON</v>
      </c>
      <c r="E16" s="44"/>
      <c r="G16" s="24"/>
      <c r="H16" s="23" t="s">
        <v>12</v>
      </c>
      <c r="I16" s="26" t="str">
        <f>"_"&amp;Currency&amp;"3M"</f>
        <v>_USD3M</v>
      </c>
      <c r="J16" s="44"/>
    </row>
    <row r="17" spans="1:10" x14ac:dyDescent="0.2">
      <c r="B17" s="24"/>
      <c r="C17" s="27" t="s">
        <v>13</v>
      </c>
      <c r="D17" s="28">
        <v>0</v>
      </c>
      <c r="E17" s="44"/>
      <c r="G17" s="24"/>
      <c r="H17" s="27" t="s">
        <v>13</v>
      </c>
      <c r="I17" s="28">
        <v>2</v>
      </c>
      <c r="J17" s="44"/>
    </row>
    <row r="18" spans="1:10" x14ac:dyDescent="0.2">
      <c r="B18" s="24"/>
      <c r="C18" s="27" t="s">
        <v>15</v>
      </c>
      <c r="D18" s="29"/>
      <c r="E18" s="44"/>
      <c r="G18" s="24"/>
      <c r="H18" s="27" t="s">
        <v>15</v>
      </c>
      <c r="I18" s="29"/>
      <c r="J18" s="44"/>
    </row>
    <row r="19" spans="1:10" x14ac:dyDescent="0.2">
      <c r="B19" s="24"/>
      <c r="C19" s="27" t="s">
        <v>16</v>
      </c>
      <c r="D19" s="30" t="s">
        <v>33</v>
      </c>
      <c r="E19" s="44"/>
      <c r="G19" s="24"/>
      <c r="H19" s="27" t="s">
        <v>16</v>
      </c>
      <c r="I19" s="30" t="s">
        <v>33</v>
      </c>
      <c r="J19" s="44"/>
    </row>
    <row r="20" spans="1:10" x14ac:dyDescent="0.2">
      <c r="B20" s="24"/>
      <c r="C20" s="25" t="s">
        <v>17</v>
      </c>
      <c r="D20" s="31" t="s">
        <v>48</v>
      </c>
      <c r="E20" s="44"/>
      <c r="G20" s="24"/>
      <c r="H20" s="25" t="s">
        <v>17</v>
      </c>
      <c r="I20" s="31" t="s">
        <v>48</v>
      </c>
      <c r="J20" s="44"/>
    </row>
    <row r="21" spans="1:10" hidden="1" outlineLevel="1" x14ac:dyDescent="0.2">
      <c r="B21" s="24"/>
      <c r="C21" s="219"/>
      <c r="D21" s="218"/>
      <c r="E21" s="44"/>
      <c r="G21" s="24"/>
      <c r="H21" s="23" t="s">
        <v>174</v>
      </c>
      <c r="I21" s="220" t="str">
        <f>Currency&amp;"HW_"&amp;H21&amp;QuoteSuffix</f>
        <v>USDHW_Volatility_Quote</v>
      </c>
      <c r="J21" s="44"/>
    </row>
    <row r="22" spans="1:10" hidden="1" outlineLevel="1" x14ac:dyDescent="0.2">
      <c r="B22" s="24"/>
      <c r="C22" s="219"/>
      <c r="D22" s="218"/>
      <c r="E22" s="44"/>
      <c r="G22" s="24"/>
      <c r="H22" s="25" t="s">
        <v>173</v>
      </c>
      <c r="I22" s="221" t="str">
        <f>Currency&amp;"HW_"&amp;H22&amp;QuoteSuffix</f>
        <v>USDHW_MeanReversion_Quote</v>
      </c>
      <c r="J22" s="44"/>
    </row>
    <row r="23" spans="1:10" collapsed="1" x14ac:dyDescent="0.2">
      <c r="B23" s="24"/>
      <c r="C23" s="32"/>
      <c r="D23" s="32"/>
      <c r="E23" s="44"/>
      <c r="G23" s="24"/>
      <c r="H23" s="32"/>
      <c r="I23" s="32"/>
      <c r="J23" s="44"/>
    </row>
    <row r="24" spans="1:10" x14ac:dyDescent="0.2">
      <c r="B24" s="24"/>
      <c r="C24" s="33">
        <f>_xll.qlTermStructureReferenceDate(YieldCurve_ON)</f>
        <v>42446</v>
      </c>
      <c r="D24" s="34">
        <f>_xll.qlYieldTSDiscount(YieldCurve_ON,C24,,Trigger)</f>
        <v>1</v>
      </c>
      <c r="E24" s="44"/>
      <c r="G24" s="24"/>
      <c r="H24" s="33">
        <f>_xll.qlTermStructureReferenceDate(YieldCurve_3M)</f>
        <v>42450</v>
      </c>
      <c r="I24" s="34">
        <f>_xll.qlYieldTSDiscount(YieldCurve_3M,H24,,Trigger)</f>
        <v>1</v>
      </c>
      <c r="J24" s="44"/>
    </row>
    <row r="25" spans="1:10" x14ac:dyDescent="0.2">
      <c r="B25" s="24"/>
      <c r="C25" s="35">
        <f>_xll.qlTermStructureMaxDate(YieldCurve_ON,Trigger)</f>
        <v>60713</v>
      </c>
      <c r="D25" s="36">
        <f>_xll.qlYieldTSDiscount(YieldCurve_ON,C25,,Trigger)</f>
        <v>0.39981692215149173</v>
      </c>
      <c r="E25" s="44"/>
      <c r="G25" s="24"/>
      <c r="H25" s="35">
        <f>_xll.qlTermStructureMaxDate(YieldCurve_3M,Trigger)</f>
        <v>60713</v>
      </c>
      <c r="I25" s="36">
        <f>_xll.qlYieldTSDiscount(YieldCurve_3M,H25,,Trigger)</f>
        <v>0.3341031625076506</v>
      </c>
      <c r="J25" s="44"/>
    </row>
    <row r="26" spans="1:10" x14ac:dyDescent="0.2">
      <c r="B26" s="24"/>
      <c r="C26" s="35" t="str">
        <f>[1]Libor!$D$6</f>
        <v>USDON#0000</v>
      </c>
      <c r="D26" s="36" t="b">
        <f>_xll.qlRelinkableHandleLinkTo(C26,D14,Trigger)</f>
        <v>1</v>
      </c>
      <c r="E26" s="44"/>
      <c r="G26" s="24"/>
      <c r="H26" s="35" t="str">
        <f>[1]Libor!$D$10</f>
        <v>USD3M#0000</v>
      </c>
      <c r="I26" s="36" t="b">
        <f>_xll.qlRelinkableHandleLinkTo(H26,I14,Trigger)</f>
        <v>1</v>
      </c>
      <c r="J26" s="44"/>
    </row>
    <row r="27" spans="1:10" x14ac:dyDescent="0.2">
      <c r="B27" s="24"/>
      <c r="C27" s="37" t="s">
        <v>162</v>
      </c>
      <c r="D27" s="38" t="b">
        <f>_xll.qlExtrapolatorEnableExtrapolation(YieldCurve_ON,,Trigger)</f>
        <v>1</v>
      </c>
      <c r="E27" s="44"/>
      <c r="G27" s="24"/>
      <c r="H27" s="37" t="s">
        <v>162</v>
      </c>
      <c r="I27" s="38" t="b">
        <f>_xll.qlExtrapolatorEnableExtrapolation(YieldCurve_3M,,Trigger)</f>
        <v>1</v>
      </c>
      <c r="J27" s="44"/>
    </row>
    <row r="28" spans="1:10" x14ac:dyDescent="0.2">
      <c r="B28" s="46"/>
      <c r="C28" s="47"/>
      <c r="D28" s="47"/>
      <c r="E28" s="48"/>
      <c r="G28" s="46"/>
      <c r="H28" s="47"/>
      <c r="I28" s="47"/>
      <c r="J28" s="48"/>
    </row>
    <row r="29" spans="1:10" x14ac:dyDescent="0.2">
      <c r="A29" s="52"/>
      <c r="B29" s="52"/>
      <c r="C29" s="52"/>
      <c r="D29" s="52"/>
      <c r="E29" s="52"/>
      <c r="G29" s="52"/>
      <c r="H29" s="52"/>
      <c r="I29" s="52"/>
      <c r="J29" s="52"/>
    </row>
    <row r="30" spans="1:10" x14ac:dyDescent="0.2">
      <c r="B30" s="39"/>
      <c r="C30" s="49"/>
      <c r="D30" s="49"/>
      <c r="E30" s="41"/>
      <c r="F30" s="51"/>
      <c r="G30" s="39"/>
      <c r="H30" s="40"/>
      <c r="I30" s="40"/>
      <c r="J30" s="41"/>
    </row>
    <row r="31" spans="1:10" x14ac:dyDescent="0.2">
      <c r="B31" s="42"/>
      <c r="C31" s="23" t="s">
        <v>10</v>
      </c>
      <c r="D31" s="43" t="str">
        <f>_xll.qlPiecewiseYieldCurve(D33,D34,Calendar,_xll.ohPack(USD6M!W3:W66),,,,D35,D36,D37,Permanent,,ObjectOverwrite)</f>
        <v>_USD6M#0294</v>
      </c>
      <c r="E31" s="44"/>
      <c r="F31" s="51"/>
      <c r="G31" s="24"/>
      <c r="H31" s="23" t="s">
        <v>10</v>
      </c>
      <c r="I31" s="43" t="str">
        <f>_xll.qlPiecewiseYieldCurve(I33,I34,Calendar,_xll.ohPack(USD1M!W3:W55),,,,I35,I36,I37,Permanent,,ObjectOverwrite)</f>
        <v>_USD1M#0298</v>
      </c>
      <c r="J31" s="44"/>
    </row>
    <row r="32" spans="1:10" x14ac:dyDescent="0.2">
      <c r="B32" s="42"/>
      <c r="C32" s="25" t="s">
        <v>11</v>
      </c>
      <c r="D32" s="45" t="str">
        <f>_xll.ohRangeRetrieveError(YieldCurve_6M)</f>
        <v/>
      </c>
      <c r="E32" s="44"/>
      <c r="F32" s="51"/>
      <c r="G32" s="24"/>
      <c r="H32" s="25" t="s">
        <v>11</v>
      </c>
      <c r="I32" s="45" t="str">
        <f>_xll.ohRangeRetrieveError(YieldCurve_1M)</f>
        <v/>
      </c>
      <c r="J32" s="44"/>
    </row>
    <row r="33" spans="2:10" x14ac:dyDescent="0.2">
      <c r="B33" s="24"/>
      <c r="C33" s="23" t="s">
        <v>12</v>
      </c>
      <c r="D33" s="26" t="str">
        <f>"_"&amp;Currency&amp;"6M"</f>
        <v>_USD6M</v>
      </c>
      <c r="E33" s="44"/>
      <c r="F33" s="51"/>
      <c r="G33" s="24"/>
      <c r="H33" s="23" t="s">
        <v>12</v>
      </c>
      <c r="I33" s="26" t="str">
        <f>"_"&amp;Currency&amp;"1M"</f>
        <v>_USD1M</v>
      </c>
      <c r="J33" s="44"/>
    </row>
    <row r="34" spans="2:10" x14ac:dyDescent="0.2">
      <c r="B34" s="24"/>
      <c r="C34" s="27" t="s">
        <v>13</v>
      </c>
      <c r="D34" s="28">
        <v>2</v>
      </c>
      <c r="E34" s="44"/>
      <c r="F34" s="51"/>
      <c r="G34" s="24"/>
      <c r="H34" s="27" t="s">
        <v>13</v>
      </c>
      <c r="I34" s="28">
        <v>2</v>
      </c>
      <c r="J34" s="44"/>
    </row>
    <row r="35" spans="2:10" x14ac:dyDescent="0.2">
      <c r="B35" s="24"/>
      <c r="C35" s="27" t="s">
        <v>15</v>
      </c>
      <c r="D35" s="29"/>
      <c r="E35" s="44"/>
      <c r="F35" s="51"/>
      <c r="G35" s="24"/>
      <c r="H35" s="27" t="s">
        <v>15</v>
      </c>
      <c r="I35" s="29"/>
      <c r="J35" s="44"/>
    </row>
    <row r="36" spans="2:10" x14ac:dyDescent="0.2">
      <c r="B36" s="24"/>
      <c r="C36" s="27" t="s">
        <v>16</v>
      </c>
      <c r="D36" s="30" t="s">
        <v>33</v>
      </c>
      <c r="E36" s="44"/>
      <c r="F36" s="51"/>
      <c r="G36" s="24"/>
      <c r="H36" s="27" t="s">
        <v>16</v>
      </c>
      <c r="I36" s="30" t="s">
        <v>33</v>
      </c>
      <c r="J36" s="44"/>
    </row>
    <row r="37" spans="2:10" x14ac:dyDescent="0.2">
      <c r="B37" s="24"/>
      <c r="C37" s="25" t="s">
        <v>17</v>
      </c>
      <c r="D37" s="31" t="s">
        <v>48</v>
      </c>
      <c r="E37" s="44"/>
      <c r="F37" s="51"/>
      <c r="G37" s="24"/>
      <c r="H37" s="25" t="s">
        <v>17</v>
      </c>
      <c r="I37" s="31" t="s">
        <v>48</v>
      </c>
      <c r="J37" s="44"/>
    </row>
    <row r="38" spans="2:10" x14ac:dyDescent="0.2">
      <c r="B38" s="24"/>
      <c r="C38" s="32"/>
      <c r="D38" s="32"/>
      <c r="E38" s="44"/>
      <c r="F38" s="51"/>
      <c r="G38" s="24"/>
      <c r="H38" s="32"/>
      <c r="I38" s="32"/>
      <c r="J38" s="44"/>
    </row>
    <row r="39" spans="2:10" x14ac:dyDescent="0.2">
      <c r="B39" s="24"/>
      <c r="C39" s="33">
        <f>_xll.qlTermStructureReferenceDate(YieldCurve_6M)</f>
        <v>42450</v>
      </c>
      <c r="D39" s="34">
        <f>_xll.qlYieldTSDiscount(YieldCurve_6M,C39,,Trigger)</f>
        <v>1</v>
      </c>
      <c r="E39" s="44"/>
      <c r="F39" s="51"/>
      <c r="G39" s="24"/>
      <c r="H39" s="33">
        <f>_xll.qlTermStructureReferenceDate(YieldCurve_1M)</f>
        <v>42450</v>
      </c>
      <c r="I39" s="34">
        <f>_xll.qlYieldTSDiscount(YieldCurve_1M,H39,,Trigger)</f>
        <v>1</v>
      </c>
      <c r="J39" s="44"/>
    </row>
    <row r="40" spans="2:10" x14ac:dyDescent="0.2">
      <c r="B40" s="24"/>
      <c r="C40" s="35">
        <f>_xll.qlTermStructureMaxDate(YieldCurve_6M,Trigger)</f>
        <v>64367</v>
      </c>
      <c r="D40" s="36">
        <f>_xll.qlYieldTSDiscount(YieldCurve_6M,C40,,Trigger)</f>
        <v>0.24991192573870086</v>
      </c>
      <c r="E40" s="44"/>
      <c r="F40" s="51"/>
      <c r="G40" s="24"/>
      <c r="H40" s="35">
        <f>_xll.qlTermStructureMaxDate(YieldCurve_1M,Trigger)</f>
        <v>60713</v>
      </c>
      <c r="I40" s="36">
        <f>_xll.qlYieldTSDiscount(YieldCurve_1M,H40,,Trigger)</f>
        <v>0.35520029140572595</v>
      </c>
      <c r="J40" s="44"/>
    </row>
    <row r="41" spans="2:10" x14ac:dyDescent="0.2">
      <c r="B41" s="24"/>
      <c r="C41" s="35" t="str">
        <f>[1]Libor!$D$11</f>
        <v>USD6M#0000</v>
      </c>
      <c r="D41" s="36" t="b">
        <f>_xll.qlRelinkableHandleLinkTo(C41,D31,Trigger)</f>
        <v>1</v>
      </c>
      <c r="E41" s="44"/>
      <c r="F41" s="51"/>
      <c r="G41" s="24"/>
      <c r="H41" s="35" t="str">
        <f>[1]Libor!$D$8</f>
        <v>USD1M#0000</v>
      </c>
      <c r="I41" s="36" t="b">
        <f>_xll.qlRelinkableHandleLinkTo(H41,I31,Trigger)</f>
        <v>1</v>
      </c>
      <c r="J41" s="44"/>
    </row>
    <row r="42" spans="2:10" x14ac:dyDescent="0.2">
      <c r="B42" s="24"/>
      <c r="C42" s="37" t="s">
        <v>162</v>
      </c>
      <c r="D42" s="38" t="b">
        <v>0</v>
      </c>
      <c r="E42" s="44"/>
      <c r="F42" s="51"/>
      <c r="G42" s="24"/>
      <c r="H42" s="37" t="s">
        <v>162</v>
      </c>
      <c r="I42" s="38" t="b">
        <f>_xll.qlExtrapolatorEnableExtrapolation(YieldCurve_1M,,Trigger)</f>
        <v>1</v>
      </c>
      <c r="J42" s="44"/>
    </row>
    <row r="43" spans="2:10" x14ac:dyDescent="0.2">
      <c r="B43" s="46"/>
      <c r="C43" s="47"/>
      <c r="D43" s="47"/>
      <c r="E43" s="48"/>
      <c r="F43" s="51"/>
      <c r="G43" s="46"/>
      <c r="H43" s="47"/>
      <c r="I43" s="47"/>
      <c r="J43" s="48"/>
    </row>
    <row r="44" spans="2:10" x14ac:dyDescent="0.2">
      <c r="F44" s="51"/>
    </row>
    <row r="45" spans="2:10" x14ac:dyDescent="0.2">
      <c r="B45" s="39"/>
      <c r="C45" s="40"/>
      <c r="D45" s="40"/>
      <c r="E45" s="41"/>
      <c r="F45" s="51"/>
    </row>
    <row r="46" spans="2:10" x14ac:dyDescent="0.2">
      <c r="B46" s="24"/>
      <c r="C46" s="23" t="s">
        <v>10</v>
      </c>
      <c r="D46" s="43" t="str">
        <f>_xll.qlPiecewiseYieldCurve(D48,D49,Calendar,_xll.ohPack(USD1Y!W3:W78),,,,D50,D51,D52,Permanent,,ObjectOverwrite)</f>
        <v>_USD1Y#0299</v>
      </c>
      <c r="E46" s="44"/>
      <c r="F46" s="51"/>
    </row>
    <row r="47" spans="2:10" x14ac:dyDescent="0.2">
      <c r="B47" s="24"/>
      <c r="C47" s="25" t="s">
        <v>11</v>
      </c>
      <c r="D47" s="45" t="str">
        <f>_xll.ohRangeRetrieveError(YieldCurve_1Y)</f>
        <v/>
      </c>
      <c r="E47" s="44"/>
    </row>
    <row r="48" spans="2:10" x14ac:dyDescent="0.2">
      <c r="B48" s="24"/>
      <c r="C48" s="23" t="s">
        <v>12</v>
      </c>
      <c r="D48" s="26" t="str">
        <f>"_"&amp;Currency&amp;"1Y"</f>
        <v>_USD1Y</v>
      </c>
      <c r="E48" s="44"/>
    </row>
    <row r="49" spans="2:5" x14ac:dyDescent="0.2">
      <c r="B49" s="24"/>
      <c r="C49" s="27" t="s">
        <v>13</v>
      </c>
      <c r="D49" s="28">
        <v>2</v>
      </c>
      <c r="E49" s="44"/>
    </row>
    <row r="50" spans="2:5" x14ac:dyDescent="0.2">
      <c r="B50" s="24"/>
      <c r="C50" s="27" t="s">
        <v>15</v>
      </c>
      <c r="D50" s="29"/>
      <c r="E50" s="44"/>
    </row>
    <row r="51" spans="2:5" x14ac:dyDescent="0.2">
      <c r="B51" s="24"/>
      <c r="C51" s="27" t="s">
        <v>16</v>
      </c>
      <c r="D51" s="30" t="s">
        <v>33</v>
      </c>
      <c r="E51" s="44"/>
    </row>
    <row r="52" spans="2:5" x14ac:dyDescent="0.2">
      <c r="B52" s="24"/>
      <c r="C52" s="25" t="s">
        <v>17</v>
      </c>
      <c r="D52" s="31" t="s">
        <v>48</v>
      </c>
      <c r="E52" s="44"/>
    </row>
    <row r="53" spans="2:5" x14ac:dyDescent="0.2">
      <c r="B53" s="24"/>
      <c r="C53" s="32"/>
      <c r="D53" s="32"/>
      <c r="E53" s="44"/>
    </row>
    <row r="54" spans="2:5" x14ac:dyDescent="0.2">
      <c r="B54" s="24"/>
      <c r="C54" s="33">
        <f>_xll.qlTermStructureReferenceDate(YieldCurve_1Y)</f>
        <v>42450</v>
      </c>
      <c r="D54" s="34">
        <f>_xll.qlYieldTSDiscount(YieldCurve_1Y,C54,,Trigger)</f>
        <v>1</v>
      </c>
      <c r="E54" s="44"/>
    </row>
    <row r="55" spans="2:5" x14ac:dyDescent="0.2">
      <c r="B55" s="24"/>
      <c r="C55" s="35">
        <f>_xll.qlTermStructureMaxDate(YieldCurve_1Y,Trigger)</f>
        <v>64367</v>
      </c>
      <c r="D55" s="36">
        <f>_xll.qlYieldTSDiscount(YieldCurve_1Y,C55,,Trigger)</f>
        <v>0.22368946441115378</v>
      </c>
      <c r="E55" s="44"/>
    </row>
    <row r="56" spans="2:5" x14ac:dyDescent="0.2">
      <c r="B56" s="24"/>
      <c r="C56" s="35" t="str">
        <f>[1]Libor!$D$12</f>
        <v>USD1Y#0000</v>
      </c>
      <c r="D56" s="36" t="b">
        <f>_xll.qlRelinkableHandleLinkTo(C56,D46,Trigger)</f>
        <v>1</v>
      </c>
      <c r="E56" s="44"/>
    </row>
    <row r="57" spans="2:5" x14ac:dyDescent="0.2">
      <c r="B57" s="24"/>
      <c r="C57" s="37" t="s">
        <v>162</v>
      </c>
      <c r="D57" s="38" t="b">
        <v>0</v>
      </c>
      <c r="E57" s="44"/>
    </row>
    <row r="58" spans="2:5" x14ac:dyDescent="0.2">
      <c r="B58" s="46"/>
      <c r="C58" s="47"/>
      <c r="D58" s="47"/>
      <c r="E58" s="48"/>
    </row>
  </sheetData>
  <dataValidations disablePrompts="1" count="6">
    <dataValidation type="list" allowBlank="1" showInputMessage="1" showErrorMessage="1" sqref="D36 D19 I19 I36 D51">
      <formula1>"Discount,ZeroYield,ForwardRate"</formula1>
    </dataValidation>
    <dataValidation type="list" allowBlank="1" showInputMessage="1" showErrorMessage="1" sqref="D37 D52 D20 I37 I2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"JoinBusinessDays,JoinHolidays"</formula1>
    </dataValidation>
    <dataValidation type="list" allowBlank="1" showInputMessage="1" showErrorMessage="1" sqref="I6:I7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0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R187"/>
  <sheetViews>
    <sheetView showGridLines="0" topLeftCell="BD28" zoomScaleNormal="100" workbookViewId="0">
      <selection activeCell="BM59" sqref="BM59"/>
    </sheetView>
  </sheetViews>
  <sheetFormatPr defaultRowHeight="11.25" outlineLevelCol="1" x14ac:dyDescent="0.2"/>
  <cols>
    <col min="1" max="1" width="7" style="50" hidden="1" customWidth="1" outlineLevel="1"/>
    <col min="2" max="2" width="6" style="55" hidden="1" customWidth="1" outlineLevel="1"/>
    <col min="3" max="4" width="10" style="54" hidden="1" customWidth="1" outlineLevel="1"/>
    <col min="5" max="5" width="12" style="56" hidden="1" customWidth="1" outlineLevel="1"/>
    <col min="6" max="6" width="16.140625" style="50" hidden="1" customWidth="1" outlineLevel="1"/>
    <col min="7" max="7" width="17.28515625" style="50" hidden="1" customWidth="1" outlineLevel="1"/>
    <col min="8" max="8" width="15.140625" style="50" hidden="1" customWidth="1" outlineLevel="1"/>
    <col min="9" max="9" width="2.7109375" style="50" customWidth="1" collapsed="1"/>
    <col min="10" max="10" width="7" style="50" hidden="1" customWidth="1" outlineLevel="1"/>
    <col min="11" max="11" width="15.140625" style="114" hidden="1" customWidth="1" outlineLevel="1"/>
    <col min="12" max="12" width="16.140625" style="114" hidden="1" customWidth="1" outlineLevel="1"/>
    <col min="13" max="13" width="8.5703125" style="114" hidden="1" customWidth="1" outlineLevel="1"/>
    <col min="14" max="14" width="7.85546875" style="114" hidden="1" customWidth="1" outlineLevel="1"/>
    <col min="15" max="15" width="9" style="114" hidden="1" customWidth="1" outlineLevel="1"/>
    <col min="16" max="16" width="5.85546875" style="114" hidden="1" customWidth="1" outlineLevel="1"/>
    <col min="17" max="18" width="10.7109375" style="114" hidden="1" customWidth="1" outlineLevel="1"/>
    <col min="19" max="19" width="2.7109375" style="52" hidden="1" customWidth="1" outlineLevel="1"/>
    <col min="20" max="20" width="6" style="50" customWidth="1" collapsed="1"/>
    <col min="21" max="21" width="10.140625" style="50" hidden="1" customWidth="1" outlineLevel="1"/>
    <col min="22" max="22" width="24.7109375" style="50" customWidth="1" collapsed="1"/>
    <col min="23" max="24" width="9.7109375" style="50" customWidth="1"/>
    <col min="25" max="26" width="17.28515625" style="50" bestFit="1" customWidth="1"/>
    <col min="27" max="27" width="12" style="50" bestFit="1" customWidth="1"/>
    <col min="28" max="28" width="9.140625" style="50" customWidth="1"/>
    <col min="29" max="29" width="21.42578125" style="50" hidden="1" customWidth="1" outlineLevel="1"/>
    <col min="30" max="30" width="22.7109375" style="50" hidden="1" customWidth="1" outlineLevel="1"/>
    <col min="31" max="31" width="19.28515625" style="50" hidden="1" customWidth="1" outlineLevel="1"/>
    <col min="32" max="32" width="16.140625" style="50" hidden="1" customWidth="1" outlineLevel="1"/>
    <col min="33" max="33" width="17.28515625" style="50" hidden="1" customWidth="1" outlineLevel="1"/>
    <col min="34" max="34" width="9" style="50" hidden="1" customWidth="1" outlineLevel="1"/>
    <col min="35" max="35" width="11" style="50" hidden="1" customWidth="1" outlineLevel="1"/>
    <col min="36" max="36" width="19.28515625" style="50" hidden="1" customWidth="1" outlineLevel="1"/>
    <col min="37" max="37" width="17.28515625" style="50" hidden="1" customWidth="1" outlineLevel="1"/>
    <col min="38" max="38" width="13.140625" style="50" hidden="1" customWidth="1" outlineLevel="1"/>
    <col min="39" max="39" width="22.42578125" style="50" hidden="1" customWidth="1" outlineLevel="1"/>
    <col min="40" max="40" width="16.140625" style="50" hidden="1" customWidth="1" outlineLevel="1"/>
    <col min="41" max="41" width="17.28515625" style="50" hidden="1" customWidth="1" outlineLevel="1"/>
    <col min="42" max="42" width="12" style="50" hidden="1" customWidth="1" outlineLevel="1"/>
    <col min="43" max="44" width="15.140625" style="50" hidden="1" customWidth="1" outlineLevel="1"/>
    <col min="45" max="45" width="11.140625" style="50" hidden="1" customWidth="1" outlineLevel="1"/>
    <col min="46" max="46" width="8" style="50" hidden="1" customWidth="1" outlineLevel="1"/>
    <col min="47" max="47" width="9" style="50" hidden="1" customWidth="1" outlineLevel="1"/>
    <col min="48" max="49" width="12" style="50" hidden="1" customWidth="1" outlineLevel="1"/>
    <col min="50" max="52" width="8" style="50" hidden="1" customWidth="1" outlineLevel="1"/>
    <col min="53" max="53" width="12" style="50" hidden="1" customWidth="1" outlineLevel="1"/>
    <col min="54" max="55" width="9" style="50" hidden="1" customWidth="1" outlineLevel="1"/>
    <col min="56" max="56" width="9.140625" style="50" collapsed="1"/>
    <col min="57" max="57" width="11" style="50" bestFit="1" customWidth="1"/>
    <col min="58" max="58" width="6" style="50" bestFit="1" customWidth="1"/>
    <col min="59" max="59" width="16.140625" style="50" bestFit="1" customWidth="1"/>
    <col min="60" max="61" width="12" style="50" bestFit="1" customWidth="1"/>
    <col min="62" max="62" width="14.140625" style="50" bestFit="1" customWidth="1"/>
    <col min="63" max="63" width="12" style="50" bestFit="1" customWidth="1"/>
    <col min="64" max="64" width="9.140625" style="50"/>
    <col min="65" max="65" width="12" style="50" bestFit="1" customWidth="1"/>
    <col min="66" max="16384" width="9.140625" style="50"/>
  </cols>
  <sheetData>
    <row r="1" spans="1:70" ht="18" customHeight="1" x14ac:dyDescent="0.2">
      <c r="E1" s="54" t="s">
        <v>105</v>
      </c>
      <c r="J1" s="72" t="s">
        <v>25</v>
      </c>
      <c r="K1" s="117"/>
      <c r="L1" s="117"/>
      <c r="M1" s="117"/>
      <c r="N1" s="117"/>
      <c r="O1" s="117"/>
      <c r="P1" s="117"/>
      <c r="Q1" s="117"/>
      <c r="R1" s="107"/>
      <c r="S1" s="104"/>
      <c r="T1" s="80" t="str">
        <f>Currency&amp;Tenor</f>
        <v>USDFedFunds</v>
      </c>
      <c r="U1" s="71"/>
      <c r="V1" s="71"/>
      <c r="W1" s="74"/>
      <c r="X1" s="74"/>
      <c r="Y1" s="71"/>
      <c r="Z1" s="71"/>
      <c r="AA1" s="78" t="s">
        <v>33</v>
      </c>
    </row>
    <row r="2" spans="1:70" ht="21.75" customHeight="1" x14ac:dyDescent="0.2">
      <c r="A2" s="70" t="s">
        <v>9</v>
      </c>
      <c r="B2" s="70" t="s">
        <v>30</v>
      </c>
      <c r="C2" s="70" t="s">
        <v>108</v>
      </c>
      <c r="D2" s="70"/>
      <c r="E2" s="70" t="s">
        <v>4</v>
      </c>
      <c r="F2" s="70" t="s">
        <v>1</v>
      </c>
      <c r="G2" s="70"/>
      <c r="H2" s="70" t="s">
        <v>25</v>
      </c>
      <c r="J2" s="79" t="s">
        <v>9</v>
      </c>
      <c r="K2" s="79" t="s">
        <v>25</v>
      </c>
      <c r="L2" s="79" t="s">
        <v>112</v>
      </c>
      <c r="M2" s="79" t="s">
        <v>115</v>
      </c>
      <c r="N2" s="79" t="s">
        <v>113</v>
      </c>
      <c r="O2" s="79" t="s">
        <v>114</v>
      </c>
      <c r="P2" s="79" t="s">
        <v>116</v>
      </c>
      <c r="Q2" s="79" t="s">
        <v>23</v>
      </c>
      <c r="R2" s="79" t="s">
        <v>109</v>
      </c>
      <c r="S2" s="104"/>
      <c r="T2" s="79" t="s">
        <v>9</v>
      </c>
      <c r="U2" s="79" t="s">
        <v>25</v>
      </c>
      <c r="V2" s="79" t="s">
        <v>112</v>
      </c>
      <c r="W2" s="81" t="s">
        <v>24</v>
      </c>
      <c r="X2" s="81" t="s">
        <v>117</v>
      </c>
      <c r="Y2" s="79" t="s">
        <v>23</v>
      </c>
      <c r="Z2" s="79" t="s">
        <v>109</v>
      </c>
      <c r="AA2" s="82">
        <f t="array" ref="AA2:AA113">_xll.qlPiecewiseYieldCurveData(YieldCurve_ON,Trigger)</f>
        <v>1</v>
      </c>
      <c r="AG2" s="198"/>
      <c r="AH2" s="198"/>
      <c r="AI2" s="200"/>
      <c r="AJ2" s="201"/>
      <c r="AK2" s="200"/>
      <c r="AL2" s="198"/>
      <c r="AM2" s="200"/>
      <c r="AN2" s="202"/>
      <c r="AO2" s="203"/>
      <c r="AP2" s="203"/>
      <c r="AQ2" s="204"/>
      <c r="AR2" s="203"/>
      <c r="AS2" s="203"/>
      <c r="AT2" s="203"/>
      <c r="AU2" s="203"/>
      <c r="AV2" s="203"/>
      <c r="AW2" s="201"/>
      <c r="AX2" s="201"/>
      <c r="AY2" s="193"/>
      <c r="BE2" s="50" t="s">
        <v>201</v>
      </c>
    </row>
    <row r="3" spans="1:70" ht="11.25" customHeight="1" x14ac:dyDescent="0.2">
      <c r="A3" s="57" t="s">
        <v>27</v>
      </c>
      <c r="B3" s="58" t="s">
        <v>49</v>
      </c>
      <c r="C3" s="60" t="s">
        <v>6</v>
      </c>
      <c r="D3" s="135"/>
      <c r="E3" s="59" t="str">
        <f>Currency&amp;Tenor</f>
        <v>USDFedFunds</v>
      </c>
      <c r="F3" s="61" t="str">
        <f>Currency&amp;$B3&amp;"D"&amp;QuoteSuffix</f>
        <v>USDOND_Quote</v>
      </c>
      <c r="G3" s="135"/>
      <c r="H3" s="62" t="str">
        <f>_xll.qlDepositRateHelper(,F3,E3,Permanent,Trigger,ObjectOverwrite)</f>
        <v>obj_002d5#0315</v>
      </c>
      <c r="I3" s="53"/>
      <c r="J3" s="11" t="str">
        <f>A3</f>
        <v>Dp</v>
      </c>
      <c r="K3" s="105" t="str">
        <f>IF(ISBLANK(H3),"--",H3)</f>
        <v>obj_002d5#0315</v>
      </c>
      <c r="L3" s="108" t="str">
        <f>IFERROR(_xll.qlRateHelperQuoteName(K3,Trigger),"--")</f>
        <v>USDOND_Quote</v>
      </c>
      <c r="M3" s="109">
        <f>IFERROR(_xll.qlRateHelperQuoteValue($K3,Trigger),"--")</f>
        <v>5.3E-3</v>
      </c>
      <c r="N3" s="108" t="b">
        <v>1</v>
      </c>
      <c r="O3" s="105">
        <v>70</v>
      </c>
      <c r="P3" s="105">
        <v>1</v>
      </c>
      <c r="Q3" s="110">
        <f>IFERROR(_xll.qlRateHelperEarliestDate(K3,Trigger),"--")</f>
        <v>42446</v>
      </c>
      <c r="R3" s="110">
        <f>IFERROR(_xll.qlRateHelperPillarDate(K3,Trigger),"--")</f>
        <v>42447</v>
      </c>
      <c r="T3" s="4" t="str">
        <f t="shared" ref="T3:T47" si="0">IFERROR(INDEX($J$3:$J$113,MATCH(V3,$L$3:$L$113,0),1),"")</f>
        <v>Dp</v>
      </c>
      <c r="U3" s="4" t="str">
        <f t="array" ref="U3:U113">_xll.qlRateHelperSelection(_xll.ohFilter(RateHelpers,IncludeFlag),_xll.ohFilter(Priority,IncludeFlag),,,,,_xll.ohFilter(MinDistance,IncludeFlag),Trigger)</f>
        <v>obj_002d5</v>
      </c>
      <c r="V3" s="4" t="str">
        <f>IFERROR(_xll.qlRateHelperQuoteName(U3,Trigger),"")</f>
        <v>USDOND_Quote</v>
      </c>
      <c r="W3" s="75">
        <f>IFERROR(_xll.qlRateHelperRate(U3,Trigger),"")</f>
        <v>5.3E-3</v>
      </c>
      <c r="X3" s="115" t="str">
        <f>IF(ISERROR(_xll.qlSwapRateHelperSpread($U3)),IF(ISERROR(_xll.qlFuturesRateHelperConvexityAdjustment($U3)),"",_xll.qlFuturesRateHelperConvexityAdjustment($U3)),_xll.qlSwapRateHelperSpread($U3))</f>
        <v/>
      </c>
      <c r="Y3" s="5">
        <f>IFERROR(_xll.qlRateHelperEarliestDate(U3,Trigger),"")</f>
        <v>42446</v>
      </c>
      <c r="Z3" s="5">
        <f>IFERROR(_xll.qlRateHelperPillarDate(U3,Trigger),"")</f>
        <v>42447</v>
      </c>
      <c r="AA3" s="83">
        <v>0.99998527799451842</v>
      </c>
      <c r="AC3" s="206" t="s">
        <v>167</v>
      </c>
      <c r="AD3" s="56" t="s">
        <v>176</v>
      </c>
      <c r="AG3" s="198" t="str">
        <f t="array" ref="AG3:AR142">_xll.qlSwapLegAnalysis(AC22,1,,Trigger)</f>
        <v>Payment Date</v>
      </c>
      <c r="AH3" s="198" t="str">
        <v>Amount</v>
      </c>
      <c r="AI3" s="200" t="str">
        <v>Nominal</v>
      </c>
      <c r="AJ3" s="201" t="str">
        <v>Accrual Start Date</v>
      </c>
      <c r="AK3" s="200" t="str">
        <v>Accrual End Date</v>
      </c>
      <c r="AL3" s="198" t="str">
        <v>Accrual Days</v>
      </c>
      <c r="AM3" s="200" t="str">
        <v>Index</v>
      </c>
      <c r="AN3" s="202" t="str">
        <v>Fixing Days</v>
      </c>
      <c r="AO3" s="203" t="str">
        <v>Fixing Dates</v>
      </c>
      <c r="AP3" s="203" t="str">
        <v>Day Counter</v>
      </c>
      <c r="AQ3" s="204" t="str">
        <v>Accrual Period</v>
      </c>
      <c r="AR3" s="203" t="str">
        <v>Effective Rate</v>
      </c>
      <c r="AS3" s="244" t="s">
        <v>182</v>
      </c>
      <c r="AT3" s="203" t="s">
        <v>183</v>
      </c>
      <c r="AU3" s="203" t="s">
        <v>189</v>
      </c>
      <c r="AV3" s="203" t="s">
        <v>190</v>
      </c>
      <c r="AW3" s="201" t="s">
        <v>191</v>
      </c>
      <c r="AX3" s="201" t="s">
        <v>192</v>
      </c>
      <c r="AY3" s="201" t="s">
        <v>193</v>
      </c>
      <c r="AZ3" s="197" t="s">
        <v>194</v>
      </c>
      <c r="BA3" s="50" t="s">
        <v>195</v>
      </c>
      <c r="BB3" s="50" t="s">
        <v>196</v>
      </c>
      <c r="BC3" s="50" t="s">
        <v>197</v>
      </c>
      <c r="BE3" s="50" t="s">
        <v>202</v>
      </c>
      <c r="BF3" s="50" t="s">
        <v>30</v>
      </c>
      <c r="BG3" s="50" t="s">
        <v>1</v>
      </c>
      <c r="BH3" s="50" t="s">
        <v>203</v>
      </c>
      <c r="BI3" s="50" t="s">
        <v>204</v>
      </c>
      <c r="BJ3" s="50" t="s">
        <v>205</v>
      </c>
      <c r="BK3" s="50" t="s">
        <v>206</v>
      </c>
      <c r="BL3" s="50" t="s">
        <v>115</v>
      </c>
      <c r="BM3" s="50" t="s">
        <v>11</v>
      </c>
      <c r="BO3" s="50" t="s">
        <v>207</v>
      </c>
      <c r="BQ3" s="50" t="s">
        <v>208</v>
      </c>
      <c r="BR3" s="50" t="s">
        <v>209</v>
      </c>
    </row>
    <row r="4" spans="1:70" ht="11.25" customHeight="1" x14ac:dyDescent="0.2">
      <c r="A4" s="57" t="s">
        <v>27</v>
      </c>
      <c r="B4" s="58" t="s">
        <v>103</v>
      </c>
      <c r="C4" s="60" t="s">
        <v>106</v>
      </c>
      <c r="D4" s="136"/>
      <c r="E4" s="59" t="str">
        <f>Currency&amp;Tenor</f>
        <v>USDFedFunds</v>
      </c>
      <c r="F4" s="61" t="str">
        <f>Currency&amp;$B4&amp;"D"&amp;QuoteSuffix</f>
        <v>USDTND_Quote</v>
      </c>
      <c r="G4" s="136"/>
      <c r="H4" s="62"/>
      <c r="I4" s="52"/>
      <c r="J4" s="11" t="str">
        <f>A4</f>
        <v>Dp</v>
      </c>
      <c r="K4" s="105" t="str">
        <f t="shared" ref="K4:K5" si="1">IF(ISBLANK(H4),"--",H4)</f>
        <v>--</v>
      </c>
      <c r="L4" s="108" t="str">
        <f>IFERROR(_xll.qlRateHelperQuoteName(K4,Trigger),"--")</f>
        <v>--</v>
      </c>
      <c r="M4" s="109" t="str">
        <f>IFERROR(_xll.qlRateHelperQuoteValue($K4,Trigger),"--")</f>
        <v>--</v>
      </c>
      <c r="N4" s="108" t="b">
        <v>0</v>
      </c>
      <c r="O4" s="105">
        <v>70</v>
      </c>
      <c r="P4" s="105">
        <v>1</v>
      </c>
      <c r="Q4" s="110" t="str">
        <f>IFERROR(_xll.qlRateHelperEarliestDate(K4,Trigger),"--")</f>
        <v>--</v>
      </c>
      <c r="R4" s="110" t="str">
        <f>IFERROR(_xll.qlRateHelperPillarDate(K4,Trigger),"--")</f>
        <v>--</v>
      </c>
      <c r="T4" s="4" t="str">
        <f t="shared" si="0"/>
        <v>OIS</v>
      </c>
      <c r="U4" s="4" t="str">
        <v>obj_00314</v>
      </c>
      <c r="V4" s="4" t="str">
        <f>IFERROR(_xll.qlRateHelperQuoteName(U4,Trigger),"")</f>
        <v>USDOISSW_Quote</v>
      </c>
      <c r="W4" s="75">
        <f>IFERROR(_xll.qlRateHelperRate(U4,Trigger),"")</f>
        <v>3.6800000000000001E-3</v>
      </c>
      <c r="X4" s="115" t="str">
        <f>IF(ISERROR(_xll.qlSwapRateHelperSpread($U4)),IF(ISERROR(_xll.qlFuturesRateHelperConvexityAdjustment($U4)),"",_xll.qlFuturesRateHelperConvexityAdjustment($U4)),_xll.qlSwapRateHelperSpread($U4))</f>
        <v/>
      </c>
      <c r="Y4" s="5">
        <f>IFERROR(_xll.qlRateHelperEarliestDate(U4,Trigger),"")</f>
        <v>42450</v>
      </c>
      <c r="Z4" s="5">
        <f>IFERROR(_xll.qlRateHelperPillarDate(U4,Trigger),"")</f>
        <v>42457</v>
      </c>
      <c r="AA4" s="83">
        <v>0.99987479837708104</v>
      </c>
      <c r="AC4" s="206" t="s">
        <v>30</v>
      </c>
      <c r="AD4" s="56" t="str">
        <f>$BH$59</f>
        <v>30y</v>
      </c>
      <c r="AE4" s="197"/>
      <c r="AF4" s="197"/>
      <c r="AG4" s="198">
        <v>42542</v>
      </c>
      <c r="AH4" s="261">
        <v>1.9791366745434327E-3</v>
      </c>
      <c r="AI4" s="261">
        <v>1</v>
      </c>
      <c r="AJ4" s="198">
        <v>42450</v>
      </c>
      <c r="AK4" s="198">
        <v>42542</v>
      </c>
      <c r="AL4" s="200">
        <v>92</v>
      </c>
      <c r="AM4" s="201" t="str">
        <v>FedFundsON Actual/360</v>
      </c>
      <c r="AN4" s="200">
        <v>0</v>
      </c>
      <c r="AO4" s="198">
        <v>42541</v>
      </c>
      <c r="AP4" s="200" t="str">
        <v>Actual/360</v>
      </c>
      <c r="AQ4" s="202">
        <v>0.25555555555555554</v>
      </c>
      <c r="AR4" s="203">
        <v>7.7444478569090851E-3</v>
      </c>
      <c r="AS4" s="245">
        <f>_xll.qlDayCounterYearFraction("actual/365 (fixed)",Evaluationdate,AJ4,,,Trigger)</f>
        <v>1.0958904109589041E-2</v>
      </c>
      <c r="AT4" s="246">
        <f>_xll.qlDayCounterYearFraction("actual/365 (fixed)",Evaluationdate,AK4,,,Trigger)</f>
        <v>0.26301369863013696</v>
      </c>
      <c r="AU4" s="246">
        <f>_xll.qlDayCounterYearFraction(AP4,AJ4,AK4,,,Trigger)</f>
        <v>0.25555555555555554</v>
      </c>
      <c r="AV4" s="247">
        <f>_xll.qlYieldTSDiscount("USDON",AJ4,,Trigger)</f>
        <v>0.99994634497376478</v>
      </c>
      <c r="AW4" s="247">
        <f>_xll.qlYieldTSDiscount("USDON",AK4,,Trigger)</f>
        <v>0.99898387950461076</v>
      </c>
      <c r="AX4" s="203">
        <f t="shared" ref="AX4:AX51" si="2">$AD$17^2/(4*$AD$15^3)*(1-EXP(-2*$AD$15*AS4))*(1-EXP(-$AD$15*(AT4-AS4)))^2</f>
        <v>1.3924742174874637E-9</v>
      </c>
      <c r="AY4" s="203">
        <f t="shared" ref="AY4:AY51" si="3">$AD$17^2/(2*$AD$15^2)*(AT4-AS4-(1-EXP(-$AD$15*(AT4-AS4)))^2/$AD$15-(1-EXP(-2*$AD$15*(AT4-AS4)))/(2*$AD$15))</f>
        <v>-8.8490770266957952E-5</v>
      </c>
      <c r="AZ4" s="201" t="b">
        <f>NOT(ISERR(AY4))</f>
        <v>1</v>
      </c>
      <c r="BA4" s="195">
        <f>(AV4/AW4-1)/AU4+$AD$13</f>
        <v>7.4000000013935158E-3</v>
      </c>
      <c r="BB4" s="248">
        <f>(LN(1+(BA4-$AD$13)*AU4)-AX4-AY4)/AU4+$AD$13-AR4</f>
        <v>0</v>
      </c>
      <c r="BC4" s="248">
        <f>(LN(AV4/AW4)-AX4-AY4)/AU4+$AD$13-AR4</f>
        <v>0</v>
      </c>
      <c r="BD4" s="193"/>
      <c r="BE4" s="193" t="s">
        <v>100</v>
      </c>
      <c r="BF4" s="193" t="s">
        <v>124</v>
      </c>
      <c r="BG4" s="193" t="str">
        <f>Currency&amp;BE4&amp;BF4&amp;QuoteSuffix</f>
        <v>USDOISSW_Quote</v>
      </c>
      <c r="BH4" s="252">
        <f>Evaluationdate</f>
        <v>42446</v>
      </c>
      <c r="BI4" s="252">
        <f>_xll.qlSwapStartDate(BO4,Trigger)</f>
        <v>42450</v>
      </c>
      <c r="BJ4" s="252">
        <f>_xll.qlSwapMaturityDate(BO4,Trigger)</f>
        <v>42457</v>
      </c>
      <c r="BK4" s="195">
        <f>_xll.qlOvernightIndexedSwapFairRate(BO4,Trigger)</f>
        <v>3.6799999802639145E-3</v>
      </c>
      <c r="BL4" s="195">
        <f>_xll.qlQuoteValue(BG4)</f>
        <v>3.6800000000000001E-3</v>
      </c>
      <c r="BM4" s="217">
        <f>ABS(BK4-BL4)*10000</f>
        <v>1.9736085595661867E-7</v>
      </c>
      <c r="BO4" s="50" t="str">
        <f>_xll.qlMakeOIS(,2,IF(BF4="SW","1W",BF4),UPPER(Currency)&amp;"FedFunds",,$BQ$4,$BR$4,,Permanent,Trigger,ObjectOverwrite)</f>
        <v>obj_003f2#0345</v>
      </c>
      <c r="BQ4" s="50" t="s">
        <v>6</v>
      </c>
      <c r="BR4" s="50" t="s">
        <v>28</v>
      </c>
    </row>
    <row r="5" spans="1:70" ht="11.25" customHeight="1" x14ac:dyDescent="0.2">
      <c r="A5" s="1" t="s">
        <v>27</v>
      </c>
      <c r="B5" s="9" t="s">
        <v>104</v>
      </c>
      <c r="C5" s="10" t="s">
        <v>107</v>
      </c>
      <c r="D5" s="137"/>
      <c r="E5" s="7" t="str">
        <f>Currency&amp;Tenor</f>
        <v>USDFedFunds</v>
      </c>
      <c r="F5" s="2" t="str">
        <f>Currency&amp;$B5&amp;"D"&amp;QuoteSuffix</f>
        <v>USDSND_Quote</v>
      </c>
      <c r="G5" s="137"/>
      <c r="H5" s="3"/>
      <c r="I5" s="52"/>
      <c r="J5" s="12" t="str">
        <f>A5</f>
        <v>Dp</v>
      </c>
      <c r="K5" s="106" t="str">
        <f t="shared" si="1"/>
        <v>--</v>
      </c>
      <c r="L5" s="111" t="str">
        <f>IFERROR(_xll.qlRateHelperQuoteName(K5,Trigger),"--")</f>
        <v>--</v>
      </c>
      <c r="M5" s="112" t="str">
        <f>IFERROR(_xll.qlRateHelperQuoteValue($K5,Trigger),"--")</f>
        <v>--</v>
      </c>
      <c r="N5" s="111" t="b">
        <v>0</v>
      </c>
      <c r="O5" s="106">
        <v>70</v>
      </c>
      <c r="P5" s="106">
        <v>1</v>
      </c>
      <c r="Q5" s="113" t="str">
        <f>IFERROR(_xll.qlRateHelperEarliestDate(K5,Trigger),"--")</f>
        <v>--</v>
      </c>
      <c r="R5" s="113" t="str">
        <f>IFERROR(_xll.qlRateHelperPillarDate(K5,Trigger),"--")</f>
        <v>--</v>
      </c>
      <c r="T5" s="4" t="str">
        <f t="shared" si="0"/>
        <v>OIS</v>
      </c>
      <c r="U5" s="4" t="str">
        <v>obj_00313</v>
      </c>
      <c r="V5" s="4" t="str">
        <f>IFERROR(_xll.qlRateHelperQuoteName(U5,Trigger),"")</f>
        <v>USDOIS2W_Quote</v>
      </c>
      <c r="W5" s="75">
        <f>IFERROR(_xll.qlRateHelperRate(U5,Trigger),"")</f>
        <v>3.6099999999999999E-3</v>
      </c>
      <c r="X5" s="115" t="str">
        <f>IF(ISERROR(_xll.qlSwapRateHelperSpread($U5)),IF(ISERROR(_xll.qlFuturesRateHelperConvexityAdjustment($U5)),"",_xll.qlFuturesRateHelperConvexityAdjustment($U5)),_xll.qlSwapRateHelperSpread($U5))</f>
        <v/>
      </c>
      <c r="Y5" s="5">
        <f>IFERROR(_xll.qlRateHelperEarliestDate(U5,Trigger),"")</f>
        <v>42450</v>
      </c>
      <c r="Z5" s="5">
        <f>IFERROR(_xll.qlRateHelperPillarDate(U5,Trigger),"")</f>
        <v>42464</v>
      </c>
      <c r="AA5" s="83">
        <v>0.9998059833217483</v>
      </c>
      <c r="AB5" s="86"/>
      <c r="AC5" s="206" t="s">
        <v>181</v>
      </c>
      <c r="AD5" s="56" t="s">
        <v>0</v>
      </c>
      <c r="AE5" s="199"/>
      <c r="AF5" s="216"/>
      <c r="AG5" s="198">
        <v>42634</v>
      </c>
      <c r="AH5" s="261">
        <v>2.2281096550442756E-3</v>
      </c>
      <c r="AI5" s="261">
        <v>1</v>
      </c>
      <c r="AJ5" s="198">
        <v>42542</v>
      </c>
      <c r="AK5" s="198">
        <v>42634</v>
      </c>
      <c r="AL5" s="200">
        <v>92</v>
      </c>
      <c r="AM5" s="201" t="str">
        <v>FedFundsON Actual/360</v>
      </c>
      <c r="AN5" s="200">
        <v>0</v>
      </c>
      <c r="AO5" s="198">
        <v>42633</v>
      </c>
      <c r="AP5" s="200" t="str">
        <v>Actual/360</v>
      </c>
      <c r="AQ5" s="202">
        <v>0.25555555555555554</v>
      </c>
      <c r="AR5" s="203">
        <v>8.7186899545210785E-3</v>
      </c>
      <c r="AS5" s="245">
        <f>_xll.qlDayCounterYearFraction("actual/365 (fixed)",Evaluationdate,AJ5,,,Trigger)</f>
        <v>0.26301369863013696</v>
      </c>
      <c r="AT5" s="246">
        <f>_xll.qlDayCounterYearFraction("actual/365 (fixed)",Evaluationdate,AK5,,,Trigger)</f>
        <v>0.51506849315068493</v>
      </c>
      <c r="AU5" s="246">
        <f>_xll.qlDayCounterYearFraction(AP5,AJ5,AK5,,,Trigger)</f>
        <v>0.25555555555555554</v>
      </c>
      <c r="AV5" s="247">
        <f>_xll.qlYieldTSDiscount("USDON",AJ5,,Trigger)</f>
        <v>0.99898387950461076</v>
      </c>
      <c r="AW5" s="247">
        <f>_xll.qlYieldTSDiscount("USDON",AK5,,Trigger)</f>
        <v>0.99777385869175528</v>
      </c>
      <c r="AX5" s="203">
        <f t="shared" si="2"/>
        <v>3.3419389641492698E-8</v>
      </c>
      <c r="AY5" s="203">
        <f t="shared" si="3"/>
        <v>-8.849065924465549E-5</v>
      </c>
      <c r="AZ5" s="201" t="b">
        <f t="shared" ref="AZ5:AZ51" si="4">NOT(ISERR(AY5))</f>
        <v>1</v>
      </c>
      <c r="BA5" s="195">
        <f t="shared" ref="BA5:BA51" si="5">(AV5/AW5-1)/AU5+$AD$13</f>
        <v>8.3754280436975966E-3</v>
      </c>
      <c r="BB5" s="248">
        <f t="shared" ref="BB5:BB51" si="6">(LN(1+(BA5-$AD$13)*AU5)-AX5-AY5)/AU5+$AD$13-AR5</f>
        <v>0</v>
      </c>
      <c r="BC5" s="248">
        <f t="shared" ref="BC5:BC51" si="7">(LN(AV5/AW5)-AX5-AY5)/AU5+$AD$13-AR5</f>
        <v>0</v>
      </c>
      <c r="BD5" s="193"/>
      <c r="BE5" s="193" t="s">
        <v>100</v>
      </c>
      <c r="BF5" s="193" t="s">
        <v>51</v>
      </c>
      <c r="BG5" s="193" t="str">
        <f>Currency&amp;BE5&amp;BF5&amp;QuoteSuffix</f>
        <v>USDOIS2W_Quote</v>
      </c>
      <c r="BH5" s="252">
        <f>Evaluationdate</f>
        <v>42446</v>
      </c>
      <c r="BI5" s="252">
        <f>_xll.qlSwapStartDate(BO5,Trigger)</f>
        <v>42450</v>
      </c>
      <c r="BJ5" s="252">
        <f>_xll.qlSwapMaturityDate(BO5,Trigger)</f>
        <v>42464</v>
      </c>
      <c r="BK5" s="195">
        <f>_xll.qlOvernightIndexedSwapFairRate(BO5,Trigger)</f>
        <v>3.6099999865938214E-3</v>
      </c>
      <c r="BL5" s="195">
        <f>_xll.qlQuoteValue(BG5)</f>
        <v>3.6099999999999999E-3</v>
      </c>
      <c r="BM5" s="217">
        <f t="shared" ref="BM5:BM56" si="8">ABS(BK5-BL5)*10000</f>
        <v>1.3406178511060629E-7</v>
      </c>
      <c r="BO5" s="50" t="str">
        <f>_xll.qlMakeOIS(,2,IF(BF5="SW","1W",BF5),UPPER(Currency)&amp;"FedFunds",,$BQ$4,$BR$4,,Permanent,Trigger,ObjectOverwrite)</f>
        <v>obj_00426#0311</v>
      </c>
    </row>
    <row r="6" spans="1:70" ht="11.25" customHeight="1" x14ac:dyDescent="0.2">
      <c r="I6" s="52"/>
      <c r="J6" s="11" t="str">
        <f t="shared" ref="J6:J37" si="9">A8</f>
        <v>OIS</v>
      </c>
      <c r="K6" s="105" t="str">
        <f>IF(ISBLANK(H8),"--",H8)</f>
        <v>obj_00314#0303</v>
      </c>
      <c r="L6" s="108" t="str">
        <f>IFERROR(_xll.qlRateHelperQuoteName(K6,Trigger),"--")</f>
        <v>USDOISSW_Quote</v>
      </c>
      <c r="M6" s="109">
        <f>IFERROR(_xll.qlRateHelperQuoteValue($K6,Trigger),"--")</f>
        <v>3.6800000000000001E-3</v>
      </c>
      <c r="N6" s="108" t="b">
        <v>1</v>
      </c>
      <c r="O6" s="105">
        <v>50</v>
      </c>
      <c r="P6" s="105">
        <v>1</v>
      </c>
      <c r="Q6" s="110">
        <f>IFERROR(_xll.qlRateHelperEarliestDate(K6,Trigger),"--")</f>
        <v>42450</v>
      </c>
      <c r="R6" s="110">
        <f>IFERROR(_xll.qlRateHelperPillarDate(K6,Trigger),"--")</f>
        <v>42457</v>
      </c>
      <c r="T6" s="4" t="str">
        <f t="shared" si="0"/>
        <v>OIS</v>
      </c>
      <c r="U6" s="4" t="str">
        <v>obj_0031e</v>
      </c>
      <c r="V6" s="4" t="str">
        <f>IFERROR(_xll.qlRateHelperQuoteName(U6,Trigger),"")</f>
        <v>USDOIS3W_Quote</v>
      </c>
      <c r="W6" s="75">
        <f>IFERROR(_xll.qlRateHelperRate(U6,Trigger),"")</f>
        <v>3.5999999999999999E-3</v>
      </c>
      <c r="X6" s="115" t="str">
        <f>IF(ISERROR(_xll.qlSwapRateHelperSpread($U6)),IF(ISERROR(_xll.qlFuturesRateHelperConvexityAdjustment($U6)),"",_xll.qlFuturesRateHelperConvexityAdjustment($U6)),_xll.qlSwapRateHelperSpread($U6))</f>
        <v/>
      </c>
      <c r="Y6" s="5">
        <f>IFERROR(_xll.qlRateHelperEarliestDate(U6,Trigger),"")</f>
        <v>42450</v>
      </c>
      <c r="Z6" s="5">
        <f>IFERROR(_xll.qlRateHelperPillarDate(U6,Trigger),"")</f>
        <v>42471</v>
      </c>
      <c r="AA6" s="83">
        <v>0.99973640032886679</v>
      </c>
      <c r="AC6" s="206" t="s">
        <v>175</v>
      </c>
      <c r="AD6" s="210">
        <f>Evaluationdate</f>
        <v>42446</v>
      </c>
      <c r="AE6" s="199"/>
      <c r="AF6" s="216"/>
      <c r="AG6" s="198">
        <v>42725</v>
      </c>
      <c r="AH6" s="261">
        <v>2.3194849478052398E-3</v>
      </c>
      <c r="AI6" s="261">
        <v>1</v>
      </c>
      <c r="AJ6" s="198">
        <v>42634</v>
      </c>
      <c r="AK6" s="198">
        <v>42725</v>
      </c>
      <c r="AL6" s="200">
        <v>91</v>
      </c>
      <c r="AM6" s="201" t="str">
        <v>FedFundsON Actual/360</v>
      </c>
      <c r="AN6" s="200">
        <v>0</v>
      </c>
      <c r="AO6" s="198">
        <v>42724</v>
      </c>
      <c r="AP6" s="200" t="str">
        <v>Actual/360</v>
      </c>
      <c r="AQ6" s="202">
        <v>0.25277777777777777</v>
      </c>
      <c r="AR6" s="203">
        <v>9.1759844088998496E-3</v>
      </c>
      <c r="AS6" s="245">
        <f>_xll.qlDayCounterYearFraction("actual/365 (fixed)",Evaluationdate,AJ6,,,Trigger)</f>
        <v>0.51506849315068493</v>
      </c>
      <c r="AT6" s="246">
        <f>_xll.qlDayCounterYearFraction("actual/365 (fixed)",Evaluationdate,AK6,,,Trigger)</f>
        <v>0.76438356164383559</v>
      </c>
      <c r="AU6" s="246">
        <f>_xll.qlDayCounterYearFraction(AP6,AJ6,AK6,,,Trigger)</f>
        <v>0.25277777777777777</v>
      </c>
      <c r="AV6" s="247">
        <f>_xll.qlYieldTSDiscount("USDON",AJ6,,Trigger)</f>
        <v>0.99777385869175528</v>
      </c>
      <c r="AW6" s="247">
        <f>_xll.qlYieldTSDiscount("USDON",AK6,,Trigger)</f>
        <v>0.99637668710658212</v>
      </c>
      <c r="AX6" s="203">
        <f t="shared" si="2"/>
        <v>6.4031307269004708E-8</v>
      </c>
      <c r="AY6" s="203">
        <f t="shared" si="3"/>
        <v>-6.9549921377642931E-7</v>
      </c>
      <c r="AZ6" s="201" t="b">
        <f t="shared" si="4"/>
        <v>1</v>
      </c>
      <c r="BA6" s="195">
        <f t="shared" si="5"/>
        <v>9.1773720698259953E-3</v>
      </c>
      <c r="BB6" s="248">
        <f t="shared" si="6"/>
        <v>0</v>
      </c>
      <c r="BC6" s="248">
        <f t="shared" si="7"/>
        <v>0</v>
      </c>
      <c r="BD6" s="193"/>
      <c r="BE6" s="193" t="s">
        <v>100</v>
      </c>
      <c r="BF6" s="193" t="s">
        <v>52</v>
      </c>
      <c r="BG6" s="193" t="str">
        <f>Currency&amp;BE6&amp;BF6&amp;QuoteSuffix</f>
        <v>USDOIS3W_Quote</v>
      </c>
      <c r="BH6" s="252">
        <f>Evaluationdate</f>
        <v>42446</v>
      </c>
      <c r="BI6" s="252">
        <f>_xll.qlSwapStartDate(BO6,Trigger)</f>
        <v>42450</v>
      </c>
      <c r="BJ6" s="252">
        <f>_xll.qlSwapMaturityDate(BO6,Trigger)</f>
        <v>42471</v>
      </c>
      <c r="BK6" s="195">
        <f>_xll.qlOvernightIndexedSwapFairRate(BO6,Trigger)</f>
        <v>3.6000000076289291E-3</v>
      </c>
      <c r="BL6" s="195">
        <f>_xll.qlQuoteValue(BG6)</f>
        <v>3.5999999999999999E-3</v>
      </c>
      <c r="BM6" s="217">
        <f t="shared" si="8"/>
        <v>7.6289291724151997E-8</v>
      </c>
      <c r="BO6" s="50" t="str">
        <f>_xll.qlMakeOIS(,2,IF(BF6="SW","1W",BF6),UPPER(Currency)&amp;"FedFunds",,$BQ$4,$BR$4,,Permanent,Trigger,ObjectOverwrite)</f>
        <v>obj_00425#0310</v>
      </c>
    </row>
    <row r="7" spans="1:70" ht="11.25" customHeight="1" x14ac:dyDescent="0.2">
      <c r="A7" s="70" t="s">
        <v>9</v>
      </c>
      <c r="B7" s="70" t="s">
        <v>30</v>
      </c>
      <c r="C7" s="70" t="s">
        <v>111</v>
      </c>
      <c r="D7" s="70"/>
      <c r="E7" s="70" t="s">
        <v>4</v>
      </c>
      <c r="F7" s="70" t="s">
        <v>1</v>
      </c>
      <c r="G7" s="70"/>
      <c r="H7" s="70" t="s">
        <v>25</v>
      </c>
      <c r="I7" s="52"/>
      <c r="J7" s="11" t="str">
        <f t="shared" si="9"/>
        <v>OIS</v>
      </c>
      <c r="K7" s="105" t="str">
        <f t="shared" ref="K7:K55" si="10">IF(ISBLANK(H9),"--",H9)</f>
        <v>obj_00313#0303</v>
      </c>
      <c r="L7" s="108" t="str">
        <f>IFERROR(_xll.qlRateHelperQuoteName(K7,Trigger),"--")</f>
        <v>USDOIS2W_Quote</v>
      </c>
      <c r="M7" s="109">
        <f>IFERROR(_xll.qlRateHelperQuoteValue($K7,Trigger),"--")</f>
        <v>3.6099999999999999E-3</v>
      </c>
      <c r="N7" s="108" t="b">
        <v>1</v>
      </c>
      <c r="O7" s="105">
        <v>50</v>
      </c>
      <c r="P7" s="105">
        <v>1</v>
      </c>
      <c r="Q7" s="110">
        <f>IFERROR(_xll.qlRateHelperEarliestDate(K7,Trigger),"--")</f>
        <v>42450</v>
      </c>
      <c r="R7" s="110">
        <f>IFERROR(_xll.qlRateHelperPillarDate(K7,Trigger),"--")</f>
        <v>42464</v>
      </c>
      <c r="T7" s="4" t="str">
        <f t="shared" si="0"/>
        <v>OIS</v>
      </c>
      <c r="U7" s="4" t="str">
        <v>obj_00319</v>
      </c>
      <c r="V7" s="4" t="str">
        <f>IFERROR(_xll.qlRateHelperQuoteName(U7,Trigger),"")</f>
        <v>USDOIS1M_Quote</v>
      </c>
      <c r="W7" s="75">
        <f>IFERROR(_xll.qlRateHelperRate(U7,Trigger),"")</f>
        <v>3.6099999999999999E-3</v>
      </c>
      <c r="X7" s="115" t="str">
        <f>IF(ISERROR(_xll.qlSwapRateHelperSpread($U7)),IF(ISERROR(_xll.qlFuturesRateHelperConvexityAdjustment($U7)),"",_xll.qlFuturesRateHelperConvexityAdjustment($U7)),_xll.qlSwapRateHelperSpread($U7))</f>
        <v/>
      </c>
      <c r="Y7" s="5">
        <f>IFERROR(_xll.qlRateHelperEarliestDate(U7,Trigger),"")</f>
        <v>42450</v>
      </c>
      <c r="Z7" s="5">
        <f>IFERROR(_xll.qlRateHelperPillarDate(U7,Trigger),"")</f>
        <v>42481</v>
      </c>
      <c r="AA7" s="83">
        <v>0.99963559714140482</v>
      </c>
      <c r="AC7" s="206" t="s">
        <v>110</v>
      </c>
      <c r="AD7" s="210">
        <f>_xll.qlCalendarAdvance(Calendar,AD6,AD4,,,Trigger)</f>
        <v>53405</v>
      </c>
      <c r="AE7" s="199"/>
      <c r="AF7" s="216"/>
      <c r="AG7" s="198">
        <v>42815</v>
      </c>
      <c r="AH7" s="261">
        <v>2.2440889801373402E-3</v>
      </c>
      <c r="AI7" s="261">
        <v>1</v>
      </c>
      <c r="AJ7" s="198">
        <v>42725</v>
      </c>
      <c r="AK7" s="198">
        <v>42815</v>
      </c>
      <c r="AL7" s="200">
        <v>90</v>
      </c>
      <c r="AM7" s="201" t="str">
        <v>FedFundsON Actual/360</v>
      </c>
      <c r="AN7" s="200">
        <v>0</v>
      </c>
      <c r="AO7" s="198">
        <v>42814</v>
      </c>
      <c r="AP7" s="200" t="str">
        <v>Actual/360</v>
      </c>
      <c r="AQ7" s="202">
        <v>0.25</v>
      </c>
      <c r="AR7" s="203">
        <v>8.9763559205493608E-3</v>
      </c>
      <c r="AS7" s="245">
        <f>_xll.qlDayCounterYearFraction("actual/365 (fixed)",Evaluationdate,AJ7,,,Trigger)</f>
        <v>0.76438356164383559</v>
      </c>
      <c r="AT7" s="246">
        <f>_xll.qlDayCounterYearFraction("actual/365 (fixed)",Evaluationdate,AK7,,,Trigger)</f>
        <v>1.010958904109589</v>
      </c>
      <c r="AU7" s="246">
        <f>_xll.qlDayCounterYearFraction(AP7,AJ7,AK7,,,Trigger)</f>
        <v>0.25</v>
      </c>
      <c r="AV7" s="247">
        <f>_xll.qlYieldTSDiscount("USDON",AJ7,,Trigger)</f>
        <v>0.99637668710658212</v>
      </c>
      <c r="AW7" s="247">
        <f>_xll.qlYieldTSDiscount("USDON",AK7,,Trigger)</f>
        <v>0.99515014436631544</v>
      </c>
      <c r="AX7" s="203">
        <f t="shared" si="2"/>
        <v>9.2948217003425903E-8</v>
      </c>
      <c r="AY7" s="203">
        <f t="shared" si="3"/>
        <v>-1.0492057223032702E-4</v>
      </c>
      <c r="AZ7" s="201" t="b">
        <f t="shared" si="4"/>
        <v>1</v>
      </c>
      <c r="BA7" s="195">
        <f t="shared" si="5"/>
        <v>8.5600811428718556E-3</v>
      </c>
      <c r="BB7" s="248">
        <f t="shared" si="6"/>
        <v>0</v>
      </c>
      <c r="BC7" s="248">
        <f t="shared" si="7"/>
        <v>0</v>
      </c>
      <c r="BD7" s="193"/>
      <c r="BE7" s="193" t="s">
        <v>100</v>
      </c>
      <c r="BF7" s="193" t="s">
        <v>2</v>
      </c>
      <c r="BG7" s="193" t="str">
        <f>Currency&amp;BE7&amp;BF7&amp;QuoteSuffix</f>
        <v>USDOIS1M_Quote</v>
      </c>
      <c r="BH7" s="252">
        <f>Evaluationdate</f>
        <v>42446</v>
      </c>
      <c r="BI7" s="252">
        <f>_xll.qlSwapStartDate(BO7,Trigger)</f>
        <v>42450</v>
      </c>
      <c r="BJ7" s="252">
        <f>_xll.qlSwapMaturityDate(BO7,Trigger)</f>
        <v>42481</v>
      </c>
      <c r="BK7" s="195">
        <f>_xll.qlOvernightIndexedSwapFairRate(BO7,Trigger)</f>
        <v>3.6099999946855974E-3</v>
      </c>
      <c r="BL7" s="195">
        <f>_xll.qlQuoteValue(BG7)</f>
        <v>3.6099999999999999E-3</v>
      </c>
      <c r="BM7" s="217">
        <f t="shared" si="8"/>
        <v>5.3144025638496295E-8</v>
      </c>
      <c r="BO7" s="50" t="str">
        <f>_xll.qlMakeOIS(,2,IF(BF7="SW","1W",BF7),UPPER(Currency)&amp;"FedFunds",,$BQ$4,$BR$4,,Permanent,Trigger,ObjectOverwrite)</f>
        <v>obj_00424#0310</v>
      </c>
    </row>
    <row r="8" spans="1:70" ht="11.25" customHeight="1" x14ac:dyDescent="0.2">
      <c r="A8" s="57" t="s">
        <v>100</v>
      </c>
      <c r="B8" s="58" t="s">
        <v>50</v>
      </c>
      <c r="C8" s="59">
        <f>IF(B8="O/N",0,IF(B8="T/N",1,2))</f>
        <v>2</v>
      </c>
      <c r="D8" s="136"/>
      <c r="E8" s="66" t="str">
        <f t="shared" ref="E8:E39" si="11">Currency&amp;Tenor</f>
        <v>USDFedFunds</v>
      </c>
      <c r="F8" s="61" t="str">
        <f t="shared" ref="F8:F39" si="12">Currency&amp;$A8&amp;IF($B8="1W","SW",$B8)&amp;QuoteSuffix</f>
        <v>USDOISSW_Quote</v>
      </c>
      <c r="G8" s="136"/>
      <c r="H8" s="62" t="str">
        <f>_xll.qlOISRateHelper(,C8,B8,F8,$E8,,Permanent,Trigger,ObjectOverwrite)</f>
        <v>obj_00314#0303</v>
      </c>
      <c r="I8" s="52"/>
      <c r="J8" s="11" t="str">
        <f t="shared" si="9"/>
        <v>OIS</v>
      </c>
      <c r="K8" s="105" t="str">
        <f t="shared" si="10"/>
        <v>obj_0031e#0303</v>
      </c>
      <c r="L8" s="108" t="str">
        <f>IFERROR(_xll.qlRateHelperQuoteName(K8,Trigger),"--")</f>
        <v>USDOIS3W_Quote</v>
      </c>
      <c r="M8" s="109">
        <f>IFERROR(_xll.qlRateHelperQuoteValue($K8,Trigger),"--")</f>
        <v>3.5999999999999999E-3</v>
      </c>
      <c r="N8" s="108" t="b">
        <v>1</v>
      </c>
      <c r="O8" s="105">
        <v>50</v>
      </c>
      <c r="P8" s="105">
        <v>1</v>
      </c>
      <c r="Q8" s="110">
        <f>IFERROR(_xll.qlRateHelperEarliestDate(K8,Trigger),"--")</f>
        <v>42450</v>
      </c>
      <c r="R8" s="110">
        <f>IFERROR(_xll.qlRateHelperPillarDate(K8,Trigger),"--")</f>
        <v>42471</v>
      </c>
      <c r="T8" s="4" t="str">
        <f t="shared" si="0"/>
        <v>OIS</v>
      </c>
      <c r="U8" s="4" t="str">
        <v>obj_0031a</v>
      </c>
      <c r="V8" s="4" t="str">
        <f>IFERROR(_xll.qlRateHelperQuoteName(U8,Trigger),"")</f>
        <v>USDOIS2M_Quote</v>
      </c>
      <c r="W8" s="75">
        <f>IFERROR(_xll.qlRateHelperRate(U8,Trigger),"")</f>
        <v>3.6700000000000001E-3</v>
      </c>
      <c r="X8" s="115" t="str">
        <f>IF(ISERROR(_xll.qlSwapRateHelperSpread($U8)),IF(ISERROR(_xll.qlFuturesRateHelperConvexityAdjustment($U8)),"",_xll.qlFuturesRateHelperConvexityAdjustment($U8)),_xll.qlSwapRateHelperSpread($U8))</f>
        <v/>
      </c>
      <c r="Y8" s="5">
        <f>IFERROR(_xll.qlRateHelperEarliestDate(U8,Trigger),"")</f>
        <v>42450</v>
      </c>
      <c r="Z8" s="5">
        <f>IFERROR(_xll.qlRateHelperPillarDate(U8,Trigger),"")</f>
        <v>42513</v>
      </c>
      <c r="AA8" s="83">
        <v>0.99930454163117755</v>
      </c>
      <c r="AC8" s="207" t="s">
        <v>168</v>
      </c>
      <c r="AD8" s="211">
        <v>100000</v>
      </c>
      <c r="AE8" s="199"/>
      <c r="AF8" s="216"/>
      <c r="AG8" s="198">
        <v>42907</v>
      </c>
      <c r="AH8" s="261">
        <v>1.974011441397085E-3</v>
      </c>
      <c r="AI8" s="261">
        <v>1</v>
      </c>
      <c r="AJ8" s="198">
        <v>42815</v>
      </c>
      <c r="AK8" s="198">
        <v>42907</v>
      </c>
      <c r="AL8" s="200">
        <v>92</v>
      </c>
      <c r="AM8" s="201" t="str">
        <v>FedFundsON Actual/360</v>
      </c>
      <c r="AN8" s="200">
        <v>0</v>
      </c>
      <c r="AO8" s="198">
        <v>42906</v>
      </c>
      <c r="AP8" s="200" t="str">
        <v>Actual/360</v>
      </c>
      <c r="AQ8" s="202">
        <v>0.25555555555555554</v>
      </c>
      <c r="AR8" s="203">
        <v>7.7243925967712037E-3</v>
      </c>
      <c r="AS8" s="245">
        <f>_xll.qlDayCounterYearFraction("actual/365 (fixed)",Evaluationdate,AJ8,,,Trigger)</f>
        <v>1.010958904109589</v>
      </c>
      <c r="AT8" s="246">
        <f>_xll.qlDayCounterYearFraction("actual/365 (fixed)",Evaluationdate,AK8,,,Trigger)</f>
        <v>1.263013698630137</v>
      </c>
      <c r="AU8" s="246">
        <f>_xll.qlDayCounterYearFraction(AP8,AJ8,AK8,,,Trigger)</f>
        <v>0.25555555555555554</v>
      </c>
      <c r="AV8" s="247">
        <f>_xll.qlYieldTSDiscount("USDON",AJ8,,Trigger)</f>
        <v>0.99515014436631544</v>
      </c>
      <c r="AW8" s="247">
        <f>_xll.qlYieldTSDiscount("USDON",AK8,,Trigger)</f>
        <v>0.99419726425583743</v>
      </c>
      <c r="AX8" s="203">
        <f t="shared" si="2"/>
        <v>1.284558750273109E-7</v>
      </c>
      <c r="AY8" s="203">
        <f t="shared" si="3"/>
        <v>-8.8490548222353027E-5</v>
      </c>
      <c r="AZ8" s="201" t="b">
        <f t="shared" si="4"/>
        <v>1</v>
      </c>
      <c r="BA8" s="195">
        <f t="shared" si="5"/>
        <v>7.3804240213947558E-3</v>
      </c>
      <c r="BB8" s="248">
        <f t="shared" si="6"/>
        <v>0</v>
      </c>
      <c r="BC8" s="248">
        <f t="shared" si="7"/>
        <v>0</v>
      </c>
      <c r="BD8" s="193"/>
      <c r="BE8" s="193" t="s">
        <v>100</v>
      </c>
      <c r="BF8" s="193" t="s">
        <v>53</v>
      </c>
      <c r="BG8" s="193" t="str">
        <f>Currency&amp;BE8&amp;BF8&amp;QuoteSuffix</f>
        <v>USDOIS2M_Quote</v>
      </c>
      <c r="BH8" s="252">
        <f>Evaluationdate</f>
        <v>42446</v>
      </c>
      <c r="BI8" s="252">
        <f>_xll.qlSwapStartDate(BO8,Trigger)</f>
        <v>42450</v>
      </c>
      <c r="BJ8" s="252">
        <f>_xll.qlSwapMaturityDate(BO8,Trigger)</f>
        <v>42513</v>
      </c>
      <c r="BK8" s="195">
        <f>_xll.qlOvernightIndexedSwapFairRate(BO8,Trigger)</f>
        <v>3.6700000019480278E-3</v>
      </c>
      <c r="BL8" s="195">
        <f>_xll.qlQuoteValue(BG8)</f>
        <v>3.6700000000000001E-3</v>
      </c>
      <c r="BM8" s="217">
        <f t="shared" si="8"/>
        <v>1.9480276766681293E-8</v>
      </c>
      <c r="BO8" s="50" t="str">
        <f>_xll.qlMakeOIS(,2,IF(BF8="SW","1W",BF8),UPPER(Currency)&amp;"FedFunds",,$BQ$4,$BR$4,,Permanent,Trigger,ObjectOverwrite)</f>
        <v>obj_00423#0310</v>
      </c>
    </row>
    <row r="9" spans="1:70" ht="11.25" customHeight="1" x14ac:dyDescent="0.2">
      <c r="A9" s="63" t="s">
        <v>100</v>
      </c>
      <c r="B9" s="64" t="s">
        <v>51</v>
      </c>
      <c r="C9" s="65">
        <f t="shared" ref="C9:C22" si="13">IF(B9="O/N",0,IF(B9="T/N",1,2))</f>
        <v>2</v>
      </c>
      <c r="D9" s="136"/>
      <c r="E9" s="66" t="str">
        <f t="shared" si="11"/>
        <v>USDFedFunds</v>
      </c>
      <c r="F9" s="68" t="str">
        <f t="shared" si="12"/>
        <v>USDOIS2W_Quote</v>
      </c>
      <c r="G9" s="136"/>
      <c r="H9" s="69" t="str">
        <f>_xll.qlOISRateHelper(,C9,B9,F9,$E9,,Permanent,Trigger,ObjectOverwrite)</f>
        <v>obj_00313#0303</v>
      </c>
      <c r="I9" s="52"/>
      <c r="J9" s="11" t="str">
        <f t="shared" si="9"/>
        <v>OIS</v>
      </c>
      <c r="K9" s="105" t="str">
        <f t="shared" si="10"/>
        <v>obj_00319#0303</v>
      </c>
      <c r="L9" s="108" t="str">
        <f>IFERROR(_xll.qlRateHelperQuoteName(K9,Trigger),"--")</f>
        <v>USDOIS1M_Quote</v>
      </c>
      <c r="M9" s="109">
        <f>IFERROR(_xll.qlRateHelperQuoteValue($K9,Trigger),"--")</f>
        <v>3.6099999999999999E-3</v>
      </c>
      <c r="N9" s="108" t="b">
        <v>1</v>
      </c>
      <c r="O9" s="105">
        <v>50</v>
      </c>
      <c r="P9" s="105">
        <v>1</v>
      </c>
      <c r="Q9" s="110">
        <f>IFERROR(_xll.qlRateHelperEarliestDate(K9,Trigger),"--")</f>
        <v>42450</v>
      </c>
      <c r="R9" s="110">
        <f>IFERROR(_xll.qlRateHelperPillarDate(K9,Trigger),"--")</f>
        <v>42481</v>
      </c>
      <c r="T9" s="4" t="str">
        <f t="shared" si="0"/>
        <v>OIS</v>
      </c>
      <c r="U9" s="4" t="str">
        <v>obj_00316</v>
      </c>
      <c r="V9" s="4" t="str">
        <f>IFERROR(_xll.qlRateHelperQuoteName(U9,Trigger),"")</f>
        <v>USDOIS3M_Quote</v>
      </c>
      <c r="W9" s="75">
        <f>IFERROR(_xll.qlRateHelperRate(U9,Trigger),"")</f>
        <v>3.7699999999999999E-3</v>
      </c>
      <c r="X9" s="115" t="str">
        <f>IF(ISERROR(_xll.qlSwapRateHelperSpread($U9)),IF(ISERROR(_xll.qlFuturesRateHelperConvexityAdjustment($U9)),"",_xll.qlFuturesRateHelperConvexityAdjustment($U9)),_xll.qlSwapRateHelperSpread($U9))</f>
        <v/>
      </c>
      <c r="Y9" s="5">
        <f>IFERROR(_xll.qlRateHelperEarliestDate(U9,Trigger),"")</f>
        <v>42450</v>
      </c>
      <c r="Z9" s="5">
        <f>IFERROR(_xll.qlRateHelperPillarDate(U9,Trigger),"")</f>
        <v>42542</v>
      </c>
      <c r="AA9" s="83">
        <v>0.99898387950422729</v>
      </c>
      <c r="AC9" s="208" t="s">
        <v>169</v>
      </c>
      <c r="AD9" s="213">
        <f>_xll.qlQuoteValue(Currency&amp;"AM3L"&amp;AD4&amp;QuoteSuffix,Trigger)</f>
        <v>2.1480000000000003E-2</v>
      </c>
      <c r="AE9" s="199"/>
      <c r="AF9" s="216"/>
      <c r="AG9" s="198">
        <v>42999</v>
      </c>
      <c r="AH9" s="261">
        <v>2.7911225148120854E-3</v>
      </c>
      <c r="AI9" s="261">
        <v>1</v>
      </c>
      <c r="AJ9" s="198">
        <v>42907</v>
      </c>
      <c r="AK9" s="198">
        <v>42999</v>
      </c>
      <c r="AL9" s="200">
        <v>92</v>
      </c>
      <c r="AM9" s="201" t="str">
        <v>FedFundsON Actual/360</v>
      </c>
      <c r="AN9" s="200">
        <v>0</v>
      </c>
      <c r="AO9" s="198">
        <v>42998</v>
      </c>
      <c r="AP9" s="200" t="str">
        <v>Actual/360</v>
      </c>
      <c r="AQ9" s="202">
        <v>0.25555555555555554</v>
      </c>
      <c r="AR9" s="203">
        <v>1.0921783753612508E-2</v>
      </c>
      <c r="AS9" s="245">
        <f>_xll.qlDayCounterYearFraction("actual/365 (fixed)",Evaluationdate,AJ9,,,Trigger)</f>
        <v>1.263013698630137</v>
      </c>
      <c r="AT9" s="246">
        <f>_xll.qlDayCounterYearFraction("actual/365 (fixed)",Evaluationdate,AK9,,,Trigger)</f>
        <v>1.515068493150685</v>
      </c>
      <c r="AU9" s="246">
        <f>_xll.qlDayCounterYearFraction(AP9,AJ9,AK9,,,Trigger)</f>
        <v>0.25555555555555554</v>
      </c>
      <c r="AV9" s="247">
        <f>_xll.qlYieldTSDiscount("USDON",AJ9,,Trigger)</f>
        <v>0.99419726425583743</v>
      </c>
      <c r="AW9" s="247">
        <f>_xll.qlYieldTSDiscount("USDON",AK9,,Trigger)</f>
        <v>0.99243400452580732</v>
      </c>
      <c r="AX9" s="203">
        <f t="shared" si="2"/>
        <v>1.6048285451055334E-7</v>
      </c>
      <c r="AY9" s="203">
        <f t="shared" si="3"/>
        <v>-8.8490548222353027E-5</v>
      </c>
      <c r="AZ9" s="201" t="b">
        <f t="shared" si="4"/>
        <v>1</v>
      </c>
      <c r="BA9" s="195">
        <f t="shared" si="5"/>
        <v>1.0582313156955027E-2</v>
      </c>
      <c r="BB9" s="248">
        <f t="shared" si="6"/>
        <v>0</v>
      </c>
      <c r="BC9" s="248">
        <f t="shared" si="7"/>
        <v>0</v>
      </c>
      <c r="BD9" s="193"/>
      <c r="BE9" s="193" t="s">
        <v>100</v>
      </c>
      <c r="BF9" s="193" t="s">
        <v>0</v>
      </c>
      <c r="BG9" s="193" t="str">
        <f>Currency&amp;BE9&amp;BF9&amp;QuoteSuffix</f>
        <v>USDOIS3M_Quote</v>
      </c>
      <c r="BH9" s="252">
        <f>Evaluationdate</f>
        <v>42446</v>
      </c>
      <c r="BI9" s="252">
        <f>_xll.qlSwapStartDate(BO9,Trigger)</f>
        <v>42450</v>
      </c>
      <c r="BJ9" s="252">
        <f>_xll.qlSwapMaturityDate(BO9,Trigger)</f>
        <v>42542</v>
      </c>
      <c r="BK9" s="195">
        <f>_xll.qlOvernightIndexedSwapFairRate(BO9,Trigger)</f>
        <v>3.7700000013935163E-3</v>
      </c>
      <c r="BL9" s="195">
        <f>_xll.qlQuoteValue(BG9)</f>
        <v>3.7599999999999999E-3</v>
      </c>
      <c r="BM9" s="217">
        <f t="shared" si="8"/>
        <v>0.10000001393516406</v>
      </c>
      <c r="BO9" s="50" t="str">
        <f>_xll.qlMakeOIS(,2,IF(BF9="SW","1W",BF9),UPPER(Currency)&amp;"FedFunds",,$BQ$4,$BR$4,,Permanent,Trigger,ObjectOverwrite)</f>
        <v>obj_00422#0311</v>
      </c>
    </row>
    <row r="10" spans="1:70" ht="11.25" customHeight="1" x14ac:dyDescent="0.2">
      <c r="A10" s="63" t="s">
        <v>100</v>
      </c>
      <c r="B10" s="64" t="s">
        <v>52</v>
      </c>
      <c r="C10" s="65">
        <f t="shared" si="13"/>
        <v>2</v>
      </c>
      <c r="D10" s="136"/>
      <c r="E10" s="66" t="str">
        <f t="shared" si="11"/>
        <v>USDFedFunds</v>
      </c>
      <c r="F10" s="68" t="str">
        <f t="shared" si="12"/>
        <v>USDOIS3W_Quote</v>
      </c>
      <c r="G10" s="136"/>
      <c r="H10" s="69" t="str">
        <f>_xll.qlOISRateHelper(,C10,B10,F10,$E10,,Permanent,Trigger,ObjectOverwrite)</f>
        <v>obj_0031e#0303</v>
      </c>
      <c r="I10" s="52"/>
      <c r="J10" s="11" t="str">
        <f t="shared" si="9"/>
        <v>OIS</v>
      </c>
      <c r="K10" s="105" t="str">
        <f t="shared" si="10"/>
        <v>obj_0031a#0303</v>
      </c>
      <c r="L10" s="108" t="str">
        <f>IFERROR(_xll.qlRateHelperQuoteName(K10,Trigger),"--")</f>
        <v>USDOIS2M_Quote</v>
      </c>
      <c r="M10" s="109">
        <f>IFERROR(_xll.qlRateHelperQuoteValue($K10,Trigger),"--")</f>
        <v>3.6700000000000001E-3</v>
      </c>
      <c r="N10" s="108" t="b">
        <v>1</v>
      </c>
      <c r="O10" s="105">
        <v>50</v>
      </c>
      <c r="P10" s="105">
        <v>1</v>
      </c>
      <c r="Q10" s="110">
        <f>IFERROR(_xll.qlRateHelperEarliestDate(K10,Trigger),"--")</f>
        <v>42450</v>
      </c>
      <c r="R10" s="110">
        <f>IFERROR(_xll.qlRateHelperPillarDate(K10,Trigger),"--")</f>
        <v>42513</v>
      </c>
      <c r="T10" s="4" t="str">
        <f t="shared" si="0"/>
        <v>OIS</v>
      </c>
      <c r="U10" s="4" t="str">
        <v>obj_00312</v>
      </c>
      <c r="V10" s="4" t="str">
        <f>IFERROR(_xll.qlRateHelperQuoteName(U10,Trigger),"")</f>
        <v>USDOIS4M_Quote</v>
      </c>
      <c r="W10" s="75">
        <f>IFERROR(_xll.qlRateHelperRate(U10,Trigger),"")</f>
        <v>3.98E-3</v>
      </c>
      <c r="X10" s="115" t="str">
        <f>IF(ISERROR(_xll.qlSwapRateHelperSpread($U10)),IF(ISERROR(_xll.qlFuturesRateHelperConvexityAdjustment($U10)),"",_xll.qlFuturesRateHelperConvexityAdjustment($U10)),_xll.qlSwapRateHelperSpread($U10))</f>
        <v/>
      </c>
      <c r="Y10" s="5">
        <f>IFERROR(_xll.qlRateHelperEarliestDate(U10,Trigger),"")</f>
        <v>42450</v>
      </c>
      <c r="Z10" s="5">
        <f>IFERROR(_xll.qlRateHelperPillarDate(U10,Trigger),"")</f>
        <v>42572</v>
      </c>
      <c r="AA10" s="83">
        <v>0.99859945621758239</v>
      </c>
      <c r="AC10" s="208" t="s">
        <v>170</v>
      </c>
      <c r="AD10" s="213" t="s">
        <v>28</v>
      </c>
      <c r="AE10" s="199"/>
      <c r="AF10" s="216"/>
      <c r="AG10" s="198">
        <v>43090</v>
      </c>
      <c r="AH10" s="261">
        <v>3.1745363350728631E-3</v>
      </c>
      <c r="AI10" s="261">
        <v>1</v>
      </c>
      <c r="AJ10" s="198">
        <v>42999</v>
      </c>
      <c r="AK10" s="198">
        <v>43090</v>
      </c>
      <c r="AL10" s="200">
        <v>91</v>
      </c>
      <c r="AM10" s="201" t="str">
        <v>FedFundsON Actual/360</v>
      </c>
      <c r="AN10" s="200">
        <v>0</v>
      </c>
      <c r="AO10" s="198">
        <v>43089</v>
      </c>
      <c r="AP10" s="200" t="str">
        <v>Actual/360</v>
      </c>
      <c r="AQ10" s="202">
        <v>0.25277777777777777</v>
      </c>
      <c r="AR10" s="203">
        <v>1.2558605281606931E-2</v>
      </c>
      <c r="AS10" s="245">
        <f>_xll.qlDayCounterYearFraction("actual/365 (fixed)",Evaluationdate,AJ10,,,Trigger)</f>
        <v>1.515068493150685</v>
      </c>
      <c r="AT10" s="246">
        <f>_xll.qlDayCounterYearFraction("actual/365 (fixed)",Evaluationdate,AK10,,,Trigger)</f>
        <v>1.7643835616438357</v>
      </c>
      <c r="AU10" s="246">
        <f>_xll.qlDayCounterYearFraction(AP10,AJ10,AK10,,,Trigger)</f>
        <v>0.25277777777777777</v>
      </c>
      <c r="AV10" s="247">
        <f>_xll.qlYieldTSDiscount("USDON",AJ10,,Trigger)</f>
        <v>0.99243400452580732</v>
      </c>
      <c r="AW10" s="247">
        <f>_xll.qlYieldTSDiscount("USDON",AK10,,Trigger)</f>
        <v>0.99019715554815557</v>
      </c>
      <c r="AX10" s="203">
        <f t="shared" si="2"/>
        <v>1.8834759750646081E-7</v>
      </c>
      <c r="AY10" s="203">
        <f t="shared" si="3"/>
        <v>-6.9549921377642931E-7</v>
      </c>
      <c r="AZ10" s="201" t="b">
        <f t="shared" si="4"/>
        <v>1</v>
      </c>
      <c r="BA10" s="195">
        <f t="shared" si="5"/>
        <v>1.2566677740428002E-2</v>
      </c>
      <c r="BB10" s="248">
        <f t="shared" si="6"/>
        <v>0</v>
      </c>
      <c r="BC10" s="248">
        <f t="shared" si="7"/>
        <v>0</v>
      </c>
      <c r="BD10" s="193"/>
      <c r="BE10" s="193" t="s">
        <v>100</v>
      </c>
      <c r="BF10" s="193" t="s">
        <v>54</v>
      </c>
      <c r="BG10" s="193" t="str">
        <f>Currency&amp;BE10&amp;BF10&amp;QuoteSuffix</f>
        <v>USDOIS4M_Quote</v>
      </c>
      <c r="BH10" s="252">
        <f>Evaluationdate</f>
        <v>42446</v>
      </c>
      <c r="BI10" s="252">
        <f>_xll.qlSwapStartDate(BO10,Trigger)</f>
        <v>42450</v>
      </c>
      <c r="BJ10" s="252">
        <f>_xll.qlSwapMaturityDate(BO10,Trigger)</f>
        <v>42572</v>
      </c>
      <c r="BK10" s="195">
        <f>_xll.qlOvernightIndexedSwapFairRate(BO10,Trigger)</f>
        <v>3.9800000010381167E-3</v>
      </c>
      <c r="BL10" s="195">
        <f>_xll.qlQuoteValue(BG10)</f>
        <v>3.9500000000000004E-3</v>
      </c>
      <c r="BM10" s="217">
        <f t="shared" si="8"/>
        <v>0.30000001038116286</v>
      </c>
      <c r="BO10" s="50" t="str">
        <f>_xll.qlMakeOIS(,2,IF(BF10="SW","1W",BF10),UPPER(Currency)&amp;"FedFunds",,$BQ$4,$BR$4,,Permanent,Trigger,ObjectOverwrite)</f>
        <v>obj_00421#0311</v>
      </c>
    </row>
    <row r="11" spans="1:70" ht="11.25" customHeight="1" x14ac:dyDescent="0.2">
      <c r="A11" s="63" t="s">
        <v>100</v>
      </c>
      <c r="B11" s="64" t="s">
        <v>2</v>
      </c>
      <c r="C11" s="65">
        <f t="shared" si="13"/>
        <v>2</v>
      </c>
      <c r="D11" s="136"/>
      <c r="E11" s="66" t="str">
        <f t="shared" si="11"/>
        <v>USDFedFunds</v>
      </c>
      <c r="F11" s="68" t="str">
        <f t="shared" si="12"/>
        <v>USDOIS1M_Quote</v>
      </c>
      <c r="G11" s="136"/>
      <c r="H11" s="69" t="str">
        <f>_xll.qlOISRateHelper(,C11,B11,F11,$E11,,Permanent,Trigger,ObjectOverwrite)</f>
        <v>obj_00319#0303</v>
      </c>
      <c r="I11" s="52"/>
      <c r="J11" s="11" t="str">
        <f t="shared" si="9"/>
        <v>OIS</v>
      </c>
      <c r="K11" s="105" t="str">
        <f t="shared" si="10"/>
        <v>obj_00316#0303</v>
      </c>
      <c r="L11" s="108" t="str">
        <f>IFERROR(_xll.qlRateHelperQuoteName(K11,Trigger),"--")</f>
        <v>USDOIS3M_Quote</v>
      </c>
      <c r="M11" s="109">
        <f>IFERROR(_xll.qlRateHelperQuoteValue($K11,Trigger),"--")</f>
        <v>3.7699999999999999E-3</v>
      </c>
      <c r="N11" s="108" t="b">
        <v>1</v>
      </c>
      <c r="O11" s="105">
        <v>50</v>
      </c>
      <c r="P11" s="105">
        <v>1</v>
      </c>
      <c r="Q11" s="110">
        <f>IFERROR(_xll.qlRateHelperEarliestDate(K11,Trigger),"--")</f>
        <v>42450</v>
      </c>
      <c r="R11" s="110">
        <f>IFERROR(_xll.qlRateHelperPillarDate(K11,Trigger),"--")</f>
        <v>42542</v>
      </c>
      <c r="T11" s="4" t="str">
        <f t="shared" si="0"/>
        <v>OIS</v>
      </c>
      <c r="U11" s="4" t="str">
        <v>obj_00318</v>
      </c>
      <c r="V11" s="4" t="str">
        <f>IFERROR(_xll.qlRateHelperQuoteName(U11,Trigger),"")</f>
        <v>USDOIS5M_Quote</v>
      </c>
      <c r="W11" s="75">
        <f>IFERROR(_xll.qlRateHelperRate(U11,Trigger),"")</f>
        <v>4.15E-3</v>
      </c>
      <c r="X11" s="115" t="str">
        <f>IF(ISERROR(_xll.qlSwapRateHelperSpread($U11)),IF(ISERROR(_xll.qlFuturesRateHelperConvexityAdjustment($U11)),"",_xll.qlFuturesRateHelperConvexityAdjustment($U11)),_xll.qlSwapRateHelperSpread($U11))</f>
        <v/>
      </c>
      <c r="Y11" s="5">
        <f>IFERROR(_xll.qlRateHelperEarliestDate(U11,Trigger),"")</f>
        <v>42450</v>
      </c>
      <c r="Z11" s="5">
        <f>IFERROR(_xll.qlRateHelperPillarDate(U11,Trigger),"")</f>
        <v>42604</v>
      </c>
      <c r="AA11" s="83">
        <v>0.99817430830515297</v>
      </c>
      <c r="AC11" s="208" t="s">
        <v>177</v>
      </c>
      <c r="AD11" s="213" t="s">
        <v>166</v>
      </c>
      <c r="AE11" s="199"/>
      <c r="AF11" s="216"/>
      <c r="AG11" s="198">
        <v>43180</v>
      </c>
      <c r="AH11" s="261">
        <v>3.4390727728860408E-3</v>
      </c>
      <c r="AI11" s="261">
        <v>1</v>
      </c>
      <c r="AJ11" s="198">
        <v>43090</v>
      </c>
      <c r="AK11" s="198">
        <v>43180</v>
      </c>
      <c r="AL11" s="200">
        <v>90</v>
      </c>
      <c r="AM11" s="201" t="str">
        <v>FedFundsON Actual/360</v>
      </c>
      <c r="AN11" s="200">
        <v>0</v>
      </c>
      <c r="AO11" s="198">
        <v>43179</v>
      </c>
      <c r="AP11" s="200" t="str">
        <v>Actual/360</v>
      </c>
      <c r="AQ11" s="202">
        <v>0.25</v>
      </c>
      <c r="AR11" s="203">
        <v>1.3756291091544163E-2</v>
      </c>
      <c r="AS11" s="245">
        <f>_xll.qlDayCounterYearFraction("actual/365 (fixed)",Evaluationdate,AJ11,,,Trigger)</f>
        <v>1.7643835616438357</v>
      </c>
      <c r="AT11" s="246">
        <f>_xll.qlDayCounterYearFraction("actual/365 (fixed)",Evaluationdate,AK11,,,Trigger)</f>
        <v>2.010958904109589</v>
      </c>
      <c r="AU11" s="246">
        <f>_xll.qlDayCounterYearFraction(AP11,AJ11,AK11,,,Trigger)</f>
        <v>0.25</v>
      </c>
      <c r="AV11" s="247">
        <f>_xll.qlYieldTSDiscount("USDON",AJ11,,Trigger)</f>
        <v>0.99019715554815557</v>
      </c>
      <c r="AW11" s="247">
        <f>_xll.qlYieldTSDiscount("USDON",AK11,,Trigger)</f>
        <v>0.98779699283254219</v>
      </c>
      <c r="AX11" s="203">
        <f t="shared" si="2"/>
        <v>2.1454735341666494E-7</v>
      </c>
      <c r="AY11" s="203">
        <f t="shared" si="3"/>
        <v>-1.0492079427493195E-4</v>
      </c>
      <c r="AZ11" s="201" t="b">
        <f t="shared" si="4"/>
        <v>1</v>
      </c>
      <c r="BA11" s="195">
        <f t="shared" si="5"/>
        <v>1.334925500089199E-2</v>
      </c>
      <c r="BB11" s="248">
        <f t="shared" si="6"/>
        <v>0</v>
      </c>
      <c r="BC11" s="248">
        <f t="shared" si="7"/>
        <v>0</v>
      </c>
      <c r="BD11" s="193"/>
      <c r="BE11" s="193" t="s">
        <v>100</v>
      </c>
      <c r="BF11" s="193" t="s">
        <v>55</v>
      </c>
      <c r="BG11" s="193" t="str">
        <f>Currency&amp;BE11&amp;BF11&amp;QuoteSuffix</f>
        <v>USDOIS5M_Quote</v>
      </c>
      <c r="BH11" s="252">
        <f>Evaluationdate</f>
        <v>42446</v>
      </c>
      <c r="BI11" s="252">
        <f>_xll.qlSwapStartDate(BO11,Trigger)</f>
        <v>42450</v>
      </c>
      <c r="BJ11" s="252">
        <f>_xll.qlSwapMaturityDate(BO11,Trigger)</f>
        <v>42604</v>
      </c>
      <c r="BK11" s="195">
        <f>_xll.qlOvernightIndexedSwapFairRate(BO11,Trigger)</f>
        <v>4.1500000008081227E-3</v>
      </c>
      <c r="BL11" s="195">
        <f>_xll.qlQuoteValue(BG11)</f>
        <v>4.1000000000000003E-3</v>
      </c>
      <c r="BM11" s="217">
        <f t="shared" si="8"/>
        <v>0.50000000808122369</v>
      </c>
      <c r="BO11" s="50" t="str">
        <f>_xll.qlMakeOIS(,2,IF(BF11="SW","1W",BF11),UPPER(Currency)&amp;"FedFunds",,$BQ$4,$BR$4,,Permanent,Trigger,ObjectOverwrite)</f>
        <v>obj_00420#0310</v>
      </c>
    </row>
    <row r="12" spans="1:70" ht="11.25" customHeight="1" x14ac:dyDescent="0.2">
      <c r="A12" s="63" t="s">
        <v>100</v>
      </c>
      <c r="B12" s="64" t="s">
        <v>53</v>
      </c>
      <c r="C12" s="65">
        <f t="shared" si="13"/>
        <v>2</v>
      </c>
      <c r="D12" s="136"/>
      <c r="E12" s="66" t="str">
        <f t="shared" si="11"/>
        <v>USDFedFunds</v>
      </c>
      <c r="F12" s="68" t="str">
        <f t="shared" si="12"/>
        <v>USDOIS2M_Quote</v>
      </c>
      <c r="G12" s="136"/>
      <c r="H12" s="69" t="str">
        <f>_xll.qlOISRateHelper(,C12,B12,F12,$E12,,Permanent,Trigger,ObjectOverwrite)</f>
        <v>obj_0031a#0303</v>
      </c>
      <c r="I12" s="52"/>
      <c r="J12" s="11" t="str">
        <f t="shared" si="9"/>
        <v>OIS</v>
      </c>
      <c r="K12" s="105" t="str">
        <f t="shared" si="10"/>
        <v>obj_00312#0303</v>
      </c>
      <c r="L12" s="108" t="str">
        <f>IFERROR(_xll.qlRateHelperQuoteName(K12,Trigger),"--")</f>
        <v>USDOIS4M_Quote</v>
      </c>
      <c r="M12" s="109">
        <f>IFERROR(_xll.qlRateHelperQuoteValue($K12,Trigger),"--")</f>
        <v>3.98E-3</v>
      </c>
      <c r="N12" s="108" t="b">
        <v>1</v>
      </c>
      <c r="O12" s="105">
        <v>50</v>
      </c>
      <c r="P12" s="105">
        <v>1</v>
      </c>
      <c r="Q12" s="110">
        <f>IFERROR(_xll.qlRateHelperEarliestDate(K12,Trigger),"--")</f>
        <v>42450</v>
      </c>
      <c r="R12" s="110">
        <f>IFERROR(_xll.qlRateHelperPillarDate(K12,Trigger),"--")</f>
        <v>42572</v>
      </c>
      <c r="T12" s="4" t="str">
        <f t="shared" si="0"/>
        <v>OIS</v>
      </c>
      <c r="U12" s="4" t="str">
        <v>obj_0031c</v>
      </c>
      <c r="V12" s="4" t="str">
        <f>IFERROR(_xll.qlRateHelperQuoteName(U12,Trigger),"")</f>
        <v>USDOIS6M_Quote</v>
      </c>
      <c r="W12" s="75">
        <f>IFERROR(_xll.qlRateHelperRate(U12,Trigger),"")</f>
        <v>4.2600000000000008E-3</v>
      </c>
      <c r="X12" s="115" t="str">
        <f>IF(ISERROR(_xll.qlSwapRateHelperSpread($U12)),IF(ISERROR(_xll.qlFuturesRateHelperConvexityAdjustment($U12)),"",_xll.qlFuturesRateHelperConvexityAdjustment($U12)),_xll.qlSwapRateHelperSpread($U12))</f>
        <v/>
      </c>
      <c r="Y12" s="5">
        <f>IFERROR(_xll.qlRateHelperEarliestDate(U12,Trigger),"")</f>
        <v>42450</v>
      </c>
      <c r="Z12" s="5">
        <f>IFERROR(_xll.qlRateHelperPillarDate(U12,Trigger),"")</f>
        <v>42634</v>
      </c>
      <c r="AA12" s="83">
        <v>0.99777385869137236</v>
      </c>
      <c r="AC12" s="208" t="s">
        <v>171</v>
      </c>
      <c r="AD12" s="209" t="s">
        <v>163</v>
      </c>
      <c r="AE12" s="199"/>
      <c r="AF12" s="216"/>
      <c r="AG12" s="198">
        <v>43272</v>
      </c>
      <c r="AH12" s="261">
        <v>3.4595397504784608E-3</v>
      </c>
      <c r="AI12" s="261">
        <v>1</v>
      </c>
      <c r="AJ12" s="198">
        <v>43180</v>
      </c>
      <c r="AK12" s="198">
        <v>43272</v>
      </c>
      <c r="AL12" s="200">
        <v>92</v>
      </c>
      <c r="AM12" s="201" t="str">
        <v>FedFundsON Actual/360</v>
      </c>
      <c r="AN12" s="200">
        <v>0</v>
      </c>
      <c r="AO12" s="198">
        <v>43271</v>
      </c>
      <c r="AP12" s="200" t="str">
        <v>Actual/360</v>
      </c>
      <c r="AQ12" s="202">
        <v>0.25555555555555554</v>
      </c>
      <c r="AR12" s="203">
        <v>1.3537329458393978E-2</v>
      </c>
      <c r="AS12" s="245">
        <f>_xll.qlDayCounterYearFraction("actual/365 (fixed)",Evaluationdate,AJ12,,,Trigger)</f>
        <v>2.010958904109589</v>
      </c>
      <c r="AT12" s="246">
        <f>_xll.qlDayCounterYearFraction("actual/365 (fixed)",Evaluationdate,AK12,,,Trigger)</f>
        <v>2.2630136986301368</v>
      </c>
      <c r="AU12" s="246">
        <f>_xll.qlDayCounterYearFraction(AP12,AJ12,AK12,,,Trigger)</f>
        <v>0.25555555555555554</v>
      </c>
      <c r="AV12" s="247">
        <f>_xll.qlYieldTSDiscount("USDON",AJ12,,Trigger)</f>
        <v>0.98779699283254219</v>
      </c>
      <c r="AW12" s="247">
        <f>_xll.qlYieldTSDiscount("USDON",AK12,,Trigger)</f>
        <v>0.98538612179604657</v>
      </c>
      <c r="AX12" s="203">
        <f t="shared" si="2"/>
        <v>2.5551952997216141E-7</v>
      </c>
      <c r="AY12" s="203">
        <f t="shared" si="3"/>
        <v>-8.8490992311562877E-5</v>
      </c>
      <c r="AZ12" s="201" t="b">
        <f t="shared" si="4"/>
        <v>1</v>
      </c>
      <c r="BA12" s="195">
        <f t="shared" si="5"/>
        <v>1.3203752844308841E-2</v>
      </c>
      <c r="BB12" s="248">
        <f t="shared" si="6"/>
        <v>0</v>
      </c>
      <c r="BC12" s="248">
        <f t="shared" si="7"/>
        <v>0</v>
      </c>
      <c r="BD12" s="193"/>
      <c r="BE12" s="193" t="s">
        <v>100</v>
      </c>
      <c r="BF12" s="193" t="s">
        <v>3</v>
      </c>
      <c r="BG12" s="193" t="str">
        <f>Currency&amp;BE12&amp;BF12&amp;QuoteSuffix</f>
        <v>USDOIS6M_Quote</v>
      </c>
      <c r="BH12" s="252">
        <f>Evaluationdate</f>
        <v>42446</v>
      </c>
      <c r="BI12" s="252">
        <f>_xll.qlSwapStartDate(BO12,Trigger)</f>
        <v>42450</v>
      </c>
      <c r="BJ12" s="252">
        <f>_xll.qlSwapMaturityDate(BO12,Trigger)</f>
        <v>42634</v>
      </c>
      <c r="BK12" s="195">
        <f>_xll.qlOvernightIndexedSwapFairRate(BO12,Trigger)</f>
        <v>4.2600000006888577E-3</v>
      </c>
      <c r="BL12" s="195">
        <f>_xll.qlQuoteValue(BG12)</f>
        <v>4.1900000000000001E-3</v>
      </c>
      <c r="BM12" s="217">
        <f t="shared" si="8"/>
        <v>0.70000000688857578</v>
      </c>
      <c r="BO12" s="50" t="str">
        <f>_xll.qlMakeOIS(,2,IF(BF12="SW","1W",BF12),UPPER(Currency)&amp;"FedFunds",,$BQ$4,$BR$4,,Permanent,Trigger,ObjectOverwrite)</f>
        <v>obj_0041f#0310</v>
      </c>
    </row>
    <row r="13" spans="1:70" ht="11.25" customHeight="1" x14ac:dyDescent="0.2">
      <c r="A13" s="63" t="s">
        <v>100</v>
      </c>
      <c r="B13" s="64" t="s">
        <v>0</v>
      </c>
      <c r="C13" s="65">
        <f t="shared" si="13"/>
        <v>2</v>
      </c>
      <c r="D13" s="136"/>
      <c r="E13" s="66" t="str">
        <f t="shared" si="11"/>
        <v>USDFedFunds</v>
      </c>
      <c r="F13" s="68" t="str">
        <f t="shared" si="12"/>
        <v>USDOIS3M_Quote</v>
      </c>
      <c r="G13" s="136"/>
      <c r="H13" s="69" t="str">
        <f>_xll.qlOISRateHelper(,C13,B13,F13,$E13,,Permanent,Trigger,ObjectOverwrite)</f>
        <v>obj_00316#0303</v>
      </c>
      <c r="I13" s="52"/>
      <c r="J13" s="11" t="str">
        <f t="shared" si="9"/>
        <v>OIS</v>
      </c>
      <c r="K13" s="105" t="str">
        <f t="shared" si="10"/>
        <v>obj_00318#0303</v>
      </c>
      <c r="L13" s="108" t="str">
        <f>IFERROR(_xll.qlRateHelperQuoteName(K13,Trigger),"--")</f>
        <v>USDOIS5M_Quote</v>
      </c>
      <c r="M13" s="109">
        <f>IFERROR(_xll.qlRateHelperQuoteValue($K13,Trigger),"--")</f>
        <v>4.15E-3</v>
      </c>
      <c r="N13" s="108" t="b">
        <v>1</v>
      </c>
      <c r="O13" s="105">
        <v>50</v>
      </c>
      <c r="P13" s="105">
        <v>1</v>
      </c>
      <c r="Q13" s="110">
        <f>IFERROR(_xll.qlRateHelperEarliestDate(K13,Trigger),"--")</f>
        <v>42450</v>
      </c>
      <c r="R13" s="110">
        <f>IFERROR(_xll.qlRateHelperPillarDate(K13,Trigger),"--")</f>
        <v>42604</v>
      </c>
      <c r="T13" s="4" t="str">
        <f t="shared" si="0"/>
        <v>OIS</v>
      </c>
      <c r="U13" s="4" t="str">
        <v>obj_0031b</v>
      </c>
      <c r="V13" s="4" t="str">
        <f>IFERROR(_xll.qlRateHelperQuoteName(U13,Trigger),"")</f>
        <v>USDOIS7M_Quote</v>
      </c>
      <c r="W13" s="75">
        <f>IFERROR(_xll.qlRateHelperRate(U13,Trigger),"")</f>
        <v>4.3999999999999994E-3</v>
      </c>
      <c r="X13" s="115" t="str">
        <f>IF(ISERROR(_xll.qlSwapRateHelperSpread($U13)),IF(ISERROR(_xll.qlFuturesRateHelperConvexityAdjustment($U13)),"",_xll.qlFuturesRateHelperConvexityAdjustment($U13)),_xll.qlSwapRateHelperSpread($U13))</f>
        <v/>
      </c>
      <c r="Y13" s="5">
        <f>IFERROR(_xll.qlRateHelperEarliestDate(U13,Trigger),"")</f>
        <v>42450</v>
      </c>
      <c r="Z13" s="5">
        <f>IFERROR(_xll.qlRateHelperPillarDate(U13,Trigger),"")</f>
        <v>42664</v>
      </c>
      <c r="AA13" s="83">
        <v>0.99733775267325975</v>
      </c>
      <c r="AC13" s="208" t="s">
        <v>148</v>
      </c>
      <c r="AD13" s="213">
        <f>_xll.qlQuoteValue(Currency&amp;"FF3L"&amp;AD4&amp;QuoteSuffix,Trigger)</f>
        <v>3.6299999999999995E-3</v>
      </c>
      <c r="AE13" s="199"/>
      <c r="AF13" s="216"/>
      <c r="AG13" s="198">
        <v>43364</v>
      </c>
      <c r="AH13" s="261">
        <v>3.4384676432712797E-3</v>
      </c>
      <c r="AI13" s="261">
        <v>1</v>
      </c>
      <c r="AJ13" s="198">
        <v>43272</v>
      </c>
      <c r="AK13" s="198">
        <v>43364</v>
      </c>
      <c r="AL13" s="200">
        <v>92</v>
      </c>
      <c r="AM13" s="201" t="str">
        <v>FedFundsON Actual/360</v>
      </c>
      <c r="AN13" s="200">
        <v>0</v>
      </c>
      <c r="AO13" s="198">
        <v>43363</v>
      </c>
      <c r="AP13" s="200" t="str">
        <v>Actual/360</v>
      </c>
      <c r="AQ13" s="202">
        <v>0.25555555555555554</v>
      </c>
      <c r="AR13" s="203">
        <v>1.3454873386713704E-2</v>
      </c>
      <c r="AS13" s="245">
        <f>_xll.qlDayCounterYearFraction("actual/365 (fixed)",Evaluationdate,AJ13,,,Trigger)</f>
        <v>2.2630136986301368</v>
      </c>
      <c r="AT13" s="246">
        <f>_xll.qlDayCounterYearFraction("actual/365 (fixed)",Evaluationdate,AK13,,,Trigger)</f>
        <v>2.515068493150685</v>
      </c>
      <c r="AU13" s="246">
        <f>_xll.qlDayCounterYearFraction(AP13,AJ13,AK13,,,Trigger)</f>
        <v>0.25555555555555554</v>
      </c>
      <c r="AV13" s="247">
        <f>_xll.qlYieldTSDiscount("USDON",AJ13,,Trigger)</f>
        <v>0.98538612179604657</v>
      </c>
      <c r="AW13" s="247">
        <f>_xll.qlYieldTSDiscount("USDON",AK13,,Trigger)</f>
        <v>0.98300181620882821</v>
      </c>
      <c r="AX13" s="203">
        <f t="shared" si="2"/>
        <v>2.8754657351464103E-7</v>
      </c>
      <c r="AY13" s="203">
        <f t="shared" si="3"/>
        <v>-8.8490104133143177E-5</v>
      </c>
      <c r="AZ13" s="201" t="b">
        <f t="shared" si="4"/>
        <v>1</v>
      </c>
      <c r="BA13" s="195">
        <f t="shared" si="5"/>
        <v>1.3121225015461552E-2</v>
      </c>
      <c r="BB13" s="248">
        <f t="shared" si="6"/>
        <v>0</v>
      </c>
      <c r="BC13" s="248">
        <f t="shared" si="7"/>
        <v>0</v>
      </c>
      <c r="BD13" s="193"/>
      <c r="BE13" s="193" t="s">
        <v>100</v>
      </c>
      <c r="BF13" s="193" t="s">
        <v>56</v>
      </c>
      <c r="BG13" s="193" t="str">
        <f>Currency&amp;BE13&amp;BF13&amp;QuoteSuffix</f>
        <v>USDOIS7M_Quote</v>
      </c>
      <c r="BH13" s="252">
        <f>Evaluationdate</f>
        <v>42446</v>
      </c>
      <c r="BI13" s="252">
        <f>_xll.qlSwapStartDate(BO13,Trigger)</f>
        <v>42450</v>
      </c>
      <c r="BJ13" s="252">
        <f>_xll.qlSwapMaturityDate(BO13,Trigger)</f>
        <v>42664</v>
      </c>
      <c r="BK13" s="195">
        <f>_xll.qlOvernightIndexedSwapFairRate(BO13,Trigger)</f>
        <v>4.4000000005928602E-3</v>
      </c>
      <c r="BL13" s="195">
        <f>_xll.qlQuoteValue(BG13)</f>
        <v>4.3199999999999992E-3</v>
      </c>
      <c r="BM13" s="217">
        <f t="shared" si="8"/>
        <v>0.80000000592861042</v>
      </c>
      <c r="BO13" s="50" t="str">
        <f>_xll.qlMakeOIS(,2,IF(BF13="SW","1W",BF13),UPPER(Currency)&amp;"FedFunds",,$BQ$4,$BR$4,,Permanent,Trigger,ObjectOverwrite)</f>
        <v>obj_0041e#0311</v>
      </c>
    </row>
    <row r="14" spans="1:70" ht="11.25" customHeight="1" x14ac:dyDescent="0.2">
      <c r="A14" s="63" t="s">
        <v>100</v>
      </c>
      <c r="B14" s="64" t="s">
        <v>54</v>
      </c>
      <c r="C14" s="65">
        <f t="shared" si="13"/>
        <v>2</v>
      </c>
      <c r="D14" s="136"/>
      <c r="E14" s="66" t="str">
        <f t="shared" si="11"/>
        <v>USDFedFunds</v>
      </c>
      <c r="F14" s="68" t="str">
        <f t="shared" si="12"/>
        <v>USDOIS4M_Quote</v>
      </c>
      <c r="G14" s="136"/>
      <c r="H14" s="69" t="str">
        <f>_xll.qlOISRateHelper(,C14,B14,F14,$E14,,Permanent,Trigger,ObjectOverwrite)</f>
        <v>obj_00312#0303</v>
      </c>
      <c r="I14" s="52"/>
      <c r="J14" s="11" t="str">
        <f t="shared" si="9"/>
        <v>OIS</v>
      </c>
      <c r="K14" s="105" t="str">
        <f t="shared" si="10"/>
        <v>obj_0031c#0303</v>
      </c>
      <c r="L14" s="108" t="str">
        <f>IFERROR(_xll.qlRateHelperQuoteName(K14,Trigger),"--")</f>
        <v>USDOIS6M_Quote</v>
      </c>
      <c r="M14" s="109">
        <f>IFERROR(_xll.qlRateHelperQuoteValue($K14,Trigger),"--")</f>
        <v>4.2600000000000008E-3</v>
      </c>
      <c r="N14" s="108" t="b">
        <v>1</v>
      </c>
      <c r="O14" s="105">
        <v>50</v>
      </c>
      <c r="P14" s="105">
        <v>1</v>
      </c>
      <c r="Q14" s="110">
        <f>IFERROR(_xll.qlRateHelperEarliestDate(K14,Trigger),"--")</f>
        <v>42450</v>
      </c>
      <c r="R14" s="110">
        <f>IFERROR(_xll.qlRateHelperPillarDate(K14,Trigger),"--")</f>
        <v>42634</v>
      </c>
      <c r="T14" s="4" t="str">
        <f t="shared" si="0"/>
        <v>OIS</v>
      </c>
      <c r="U14" s="4" t="str">
        <v>obj_0031d</v>
      </c>
      <c r="V14" s="4" t="str">
        <f>IFERROR(_xll.qlRateHelperQuoteName(U14,Trigger),"")</f>
        <v>USDOIS8M_Quote</v>
      </c>
      <c r="W14" s="75">
        <f>IFERROR(_xll.qlRateHelperRate(U14,Trigger),"")</f>
        <v>4.5299999999999993E-3</v>
      </c>
      <c r="X14" s="115" t="str">
        <f>IF(ISERROR(_xll.qlSwapRateHelperSpread($U14)),IF(ISERROR(_xll.qlFuturesRateHelperConvexityAdjustment($U14)),"",_xll.qlFuturesRateHelperConvexityAdjustment($U14)),_xll.qlSwapRateHelperSpread($U14))</f>
        <v/>
      </c>
      <c r="Y14" s="5">
        <f>IFERROR(_xll.qlRateHelperEarliestDate(U14,Trigger),"")</f>
        <v>42450</v>
      </c>
      <c r="Z14" s="5">
        <f>IFERROR(_xll.qlRateHelperPillarDate(U14,Trigger),"")</f>
        <v>42695</v>
      </c>
      <c r="AA14" s="83">
        <v>0.99687306837598544</v>
      </c>
      <c r="AC14" s="208" t="s">
        <v>172</v>
      </c>
      <c r="AD14" s="209" t="b">
        <v>1</v>
      </c>
      <c r="AE14" s="199"/>
      <c r="AF14" s="216"/>
      <c r="AG14" s="198">
        <v>43455</v>
      </c>
      <c r="AH14" s="261">
        <v>3.3718285229868369E-3</v>
      </c>
      <c r="AI14" s="261">
        <v>1</v>
      </c>
      <c r="AJ14" s="198">
        <v>43364</v>
      </c>
      <c r="AK14" s="198">
        <v>43455</v>
      </c>
      <c r="AL14" s="200">
        <v>91</v>
      </c>
      <c r="AM14" s="201" t="str">
        <v>FedFundsON Actual/360</v>
      </c>
      <c r="AN14" s="200">
        <v>0</v>
      </c>
      <c r="AO14" s="198">
        <v>43454</v>
      </c>
      <c r="AP14" s="200" t="str">
        <v>Actual/360</v>
      </c>
      <c r="AQ14" s="202">
        <v>0.25277777777777777</v>
      </c>
      <c r="AR14" s="203">
        <v>1.3339101849178695E-2</v>
      </c>
      <c r="AS14" s="245">
        <f>_xll.qlDayCounterYearFraction("actual/365 (fixed)",Evaluationdate,AJ14,,,Trigger)</f>
        <v>2.515068493150685</v>
      </c>
      <c r="AT14" s="246">
        <f>_xll.qlDayCounterYearFraction("actual/365 (fixed)",Evaluationdate,AK14,,,Trigger)</f>
        <v>2.7643835616438355</v>
      </c>
      <c r="AU14" s="246">
        <f>_xll.qlDayCounterYearFraction(AP14,AJ14,AK14,,,Trigger)</f>
        <v>0.25277777777777777</v>
      </c>
      <c r="AV14" s="247">
        <f>_xll.qlYieldTSDiscount("USDON",AJ14,,Trigger)</f>
        <v>0.98300181620882821</v>
      </c>
      <c r="AW14" s="247">
        <f>_xll.qlYieldTSDiscount("USDON",AK14,,Trigger)</f>
        <v>0.98059262261718938</v>
      </c>
      <c r="AX14" s="203">
        <f t="shared" si="2"/>
        <v>3.1266413637049239E-7</v>
      </c>
      <c r="AY14" s="203">
        <f t="shared" si="3"/>
        <v>-6.9594330298627938E-7</v>
      </c>
      <c r="AZ14" s="201" t="b">
        <f t="shared" si="4"/>
        <v>1</v>
      </c>
      <c r="BA14" s="195">
        <f t="shared" si="5"/>
        <v>1.3349505865447552E-2</v>
      </c>
      <c r="BB14" s="248">
        <f t="shared" si="6"/>
        <v>0</v>
      </c>
      <c r="BC14" s="248">
        <f t="shared" si="7"/>
        <v>0</v>
      </c>
      <c r="BD14" s="193"/>
      <c r="BE14" s="193" t="s">
        <v>100</v>
      </c>
      <c r="BF14" s="193" t="s">
        <v>57</v>
      </c>
      <c r="BG14" s="193" t="str">
        <f>Currency&amp;BE14&amp;BF14&amp;QuoteSuffix</f>
        <v>USDOIS8M_Quote</v>
      </c>
      <c r="BH14" s="252">
        <f>Evaluationdate</f>
        <v>42446</v>
      </c>
      <c r="BI14" s="252">
        <f>_xll.qlSwapStartDate(BO14,Trigger)</f>
        <v>42450</v>
      </c>
      <c r="BJ14" s="252">
        <f>_xll.qlSwapMaturityDate(BO14,Trigger)</f>
        <v>42695</v>
      </c>
      <c r="BK14" s="195">
        <f>_xll.qlOvernightIndexedSwapFairRate(BO14,Trigger)</f>
        <v>4.5300000001379168E-3</v>
      </c>
      <c r="BL14" s="195">
        <f>_xll.qlQuoteValue(BG14)</f>
        <v>4.4300000000000008E-3</v>
      </c>
      <c r="BM14" s="217">
        <f t="shared" si="8"/>
        <v>1.0000000013791599</v>
      </c>
      <c r="BO14" s="50" t="str">
        <f>_xll.qlMakeOIS(,2,IF(BF14="SW","1W",BF14),UPPER(Currency)&amp;"FedFunds",,$BQ$4,$BR$4,,Permanent,Trigger,ObjectOverwrite)</f>
        <v>obj_0041d#0311</v>
      </c>
    </row>
    <row r="15" spans="1:70" ht="11.25" customHeight="1" x14ac:dyDescent="0.2">
      <c r="A15" s="63" t="s">
        <v>100</v>
      </c>
      <c r="B15" s="64" t="s">
        <v>55</v>
      </c>
      <c r="C15" s="65">
        <f t="shared" si="13"/>
        <v>2</v>
      </c>
      <c r="D15" s="136"/>
      <c r="E15" s="66" t="str">
        <f t="shared" si="11"/>
        <v>USDFedFunds</v>
      </c>
      <c r="F15" s="68" t="str">
        <f t="shared" si="12"/>
        <v>USDOIS5M_Quote</v>
      </c>
      <c r="G15" s="136"/>
      <c r="H15" s="69" t="str">
        <f>_xll.qlOISRateHelper(,C15,B15,F15,$E15,,Permanent,Trigger,ObjectOverwrite)</f>
        <v>obj_00318#0303</v>
      </c>
      <c r="I15" s="52"/>
      <c r="J15" s="11" t="str">
        <f t="shared" si="9"/>
        <v>OIS</v>
      </c>
      <c r="K15" s="105" t="str">
        <f t="shared" si="10"/>
        <v>obj_0031b#0303</v>
      </c>
      <c r="L15" s="108" t="str">
        <f>IFERROR(_xll.qlRateHelperQuoteName(K15,Trigger),"--")</f>
        <v>USDOIS7M_Quote</v>
      </c>
      <c r="M15" s="109">
        <f>IFERROR(_xll.qlRateHelperQuoteValue($K15,Trigger),"--")</f>
        <v>4.3999999999999994E-3</v>
      </c>
      <c r="N15" s="108" t="b">
        <v>1</v>
      </c>
      <c r="O15" s="105">
        <v>50</v>
      </c>
      <c r="P15" s="105">
        <v>1</v>
      </c>
      <c r="Q15" s="110">
        <f>IFERROR(_xll.qlRateHelperEarliestDate(K15,Trigger),"--")</f>
        <v>42450</v>
      </c>
      <c r="R15" s="110">
        <f>IFERROR(_xll.qlRateHelperPillarDate(K15,Trigger),"--")</f>
        <v>42664</v>
      </c>
      <c r="T15" s="4" t="str">
        <f t="shared" si="0"/>
        <v>OIS</v>
      </c>
      <c r="U15" s="4" t="str">
        <v>obj_00311</v>
      </c>
      <c r="V15" s="4" t="str">
        <f>IFERROR(_xll.qlRateHelperQuoteName(U15,Trigger),"")</f>
        <v>USDOIS9M_Quote</v>
      </c>
      <c r="W15" s="75">
        <f>IFERROR(_xll.qlRateHelperRate(U15,Trigger),"")</f>
        <v>4.6899999999999997E-3</v>
      </c>
      <c r="X15" s="115" t="str">
        <f>IF(ISERROR(_xll.qlSwapRateHelperSpread($U15)),IF(ISERROR(_xll.qlFuturesRateHelperConvexityAdjustment($U15)),"",_xll.qlFuturesRateHelperConvexityAdjustment($U15)),_xll.qlSwapRateHelperSpread($U15))</f>
        <v/>
      </c>
      <c r="Y15" s="5">
        <f>IFERROR(_xll.qlRateHelperEarliestDate(U15,Trigger),"")</f>
        <v>42450</v>
      </c>
      <c r="Z15" s="5">
        <f>IFERROR(_xll.qlRateHelperPillarDate(U15,Trigger),"")</f>
        <v>42725</v>
      </c>
      <c r="AA15" s="83">
        <v>0.99637668710582206</v>
      </c>
      <c r="AC15" s="208" t="s">
        <v>173</v>
      </c>
      <c r="AD15" s="214">
        <f>G62</f>
        <v>-9.9999999999999995E-7</v>
      </c>
      <c r="AF15" s="216"/>
      <c r="AG15" s="198">
        <v>43545</v>
      </c>
      <c r="AH15" s="261">
        <v>3.5713510698051256E-3</v>
      </c>
      <c r="AI15" s="261">
        <v>1</v>
      </c>
      <c r="AJ15" s="198">
        <v>43455</v>
      </c>
      <c r="AK15" s="198">
        <v>43545</v>
      </c>
      <c r="AL15" s="200">
        <v>90</v>
      </c>
      <c r="AM15" s="201" t="str">
        <v>FedFundsON Actual/360</v>
      </c>
      <c r="AN15" s="200">
        <v>0</v>
      </c>
      <c r="AO15" s="198">
        <v>43544</v>
      </c>
      <c r="AP15" s="200" t="str">
        <v>Actual/360</v>
      </c>
      <c r="AQ15" s="202">
        <v>0.25</v>
      </c>
      <c r="AR15" s="203">
        <v>1.4285404279220502E-2</v>
      </c>
      <c r="AS15" s="245">
        <f>_xll.qlDayCounterYearFraction("actual/365 (fixed)",Evaluationdate,AJ15,,,Trigger)</f>
        <v>2.7643835616438355</v>
      </c>
      <c r="AT15" s="246">
        <f>_xll.qlDayCounterYearFraction("actual/365 (fixed)",Evaluationdate,AK15,,,Trigger)</f>
        <v>3.010958904109589</v>
      </c>
      <c r="AU15" s="246">
        <f>_xll.qlDayCounterYearFraction(AP15,AJ15,AK15,,,Trigger)</f>
        <v>0.25</v>
      </c>
      <c r="AV15" s="247">
        <f>_xll.qlYieldTSDiscount("USDON",AJ15,,Trigger)</f>
        <v>0.98059262261718938</v>
      </c>
      <c r="AW15" s="247">
        <f>_xll.qlYieldTSDiscount("USDON",AK15,,Trigger)</f>
        <v>0.97808623303667819</v>
      </c>
      <c r="AX15" s="203">
        <f t="shared" si="2"/>
        <v>3.3614673304918224E-7</v>
      </c>
      <c r="AY15" s="203">
        <f t="shared" si="3"/>
        <v>-1.049203501857221E-4</v>
      </c>
      <c r="AZ15" s="201" t="b">
        <f t="shared" si="4"/>
        <v>1</v>
      </c>
      <c r="BA15" s="195">
        <f t="shared" si="5"/>
        <v>1.3880178341554061E-2</v>
      </c>
      <c r="BB15" s="248">
        <f t="shared" si="6"/>
        <v>0</v>
      </c>
      <c r="BC15" s="248">
        <f t="shared" si="7"/>
        <v>0</v>
      </c>
      <c r="BD15" s="193"/>
      <c r="BE15" s="193" t="s">
        <v>100</v>
      </c>
      <c r="BF15" s="193" t="s">
        <v>58</v>
      </c>
      <c r="BG15" s="193" t="str">
        <f>Currency&amp;BE15&amp;BF15&amp;QuoteSuffix</f>
        <v>USDOIS9M_Quote</v>
      </c>
      <c r="BH15" s="252">
        <f>Evaluationdate</f>
        <v>42446</v>
      </c>
      <c r="BI15" s="252">
        <f>_xll.qlSwapStartDate(BO15,Trigger)</f>
        <v>42450</v>
      </c>
      <c r="BJ15" s="252">
        <f>_xll.qlSwapMaturityDate(BO15,Trigger)</f>
        <v>42725</v>
      </c>
      <c r="BK15" s="195">
        <f>_xll.qlOvernightIndexedSwapFairRate(BO15,Trigger)</f>
        <v>4.6899999999636521E-3</v>
      </c>
      <c r="BL15" s="195">
        <f>_xll.qlQuoteValue(BG15)</f>
        <v>4.5900000000000003E-3</v>
      </c>
      <c r="BM15" s="217">
        <f t="shared" si="8"/>
        <v>0.99999999963651731</v>
      </c>
      <c r="BO15" s="50" t="str">
        <f>_xll.qlMakeOIS(,2,IF(BF15="SW","1W",BF15),UPPER(Currency)&amp;"FedFunds",,$BQ$4,$BR$4,,Permanent,Trigger,ObjectOverwrite)</f>
        <v>obj_0041c#0310</v>
      </c>
    </row>
    <row r="16" spans="1:70" ht="11.25" customHeight="1" x14ac:dyDescent="0.2">
      <c r="A16" s="63" t="s">
        <v>100</v>
      </c>
      <c r="B16" s="64" t="s">
        <v>3</v>
      </c>
      <c r="C16" s="65">
        <f t="shared" si="13"/>
        <v>2</v>
      </c>
      <c r="D16" s="136"/>
      <c r="E16" s="66" t="str">
        <f t="shared" si="11"/>
        <v>USDFedFunds</v>
      </c>
      <c r="F16" s="68" t="str">
        <f t="shared" si="12"/>
        <v>USDOIS6M_Quote</v>
      </c>
      <c r="G16" s="136"/>
      <c r="H16" s="69" t="str">
        <f>_xll.qlOISRateHelper(,C16,B16,F16,$E16,,Permanent,Trigger,ObjectOverwrite)</f>
        <v>obj_0031c#0303</v>
      </c>
      <c r="I16" s="52"/>
      <c r="J16" s="11" t="str">
        <f t="shared" si="9"/>
        <v>OIS</v>
      </c>
      <c r="K16" s="105" t="str">
        <f t="shared" si="10"/>
        <v>obj_0031d#0303</v>
      </c>
      <c r="L16" s="108" t="str">
        <f>IFERROR(_xll.qlRateHelperQuoteName(K16,Trigger),"--")</f>
        <v>USDOIS8M_Quote</v>
      </c>
      <c r="M16" s="109">
        <f>IFERROR(_xll.qlRateHelperQuoteValue($K16,Trigger),"--")</f>
        <v>4.5299999999999993E-3</v>
      </c>
      <c r="N16" s="108" t="b">
        <v>1</v>
      </c>
      <c r="O16" s="105">
        <v>50</v>
      </c>
      <c r="P16" s="105">
        <v>1</v>
      </c>
      <c r="Q16" s="110">
        <f>IFERROR(_xll.qlRateHelperEarliestDate(K16,Trigger),"--")</f>
        <v>42450</v>
      </c>
      <c r="R16" s="110">
        <f>IFERROR(_xll.qlRateHelperPillarDate(K16,Trigger),"--")</f>
        <v>42695</v>
      </c>
      <c r="T16" s="4" t="str">
        <f t="shared" si="0"/>
        <v>OIS</v>
      </c>
      <c r="U16" s="4" t="str">
        <v>obj_0031f</v>
      </c>
      <c r="V16" s="4" t="str">
        <f>IFERROR(_xll.qlRateHelperQuoteName(U16,Trigger),"")</f>
        <v>USDOIS10M_Quote</v>
      </c>
      <c r="W16" s="75">
        <f>IFERROR(_xll.qlRateHelperRate(U16,Trigger),"")</f>
        <v>4.8300000000000001E-3</v>
      </c>
      <c r="X16" s="115" t="str">
        <f>IF(ISERROR(_xll.qlSwapRateHelperSpread($U16)),IF(ISERROR(_xll.qlFuturesRateHelperConvexityAdjustment($U16)),"",_xll.qlFuturesRateHelperConvexityAdjustment($U16)),_xll.qlSwapRateHelperSpread($U16))</f>
        <v/>
      </c>
      <c r="Y16" s="5">
        <f>IFERROR(_xll.qlRateHelperEarliestDate(U16,Trigger),"")</f>
        <v>42450</v>
      </c>
      <c r="Z16" s="5">
        <f>IFERROR(_xll.qlRateHelperPillarDate(U16,Trigger),"")</f>
        <v>42758</v>
      </c>
      <c r="AA16" s="83">
        <v>0.99583123835242093</v>
      </c>
      <c r="AC16" s="208" t="s">
        <v>200</v>
      </c>
      <c r="AD16" s="230">
        <f>1/AD15</f>
        <v>-1000000</v>
      </c>
      <c r="AE16" s="230"/>
      <c r="AF16" s="216"/>
      <c r="AG16" s="198">
        <v>43637</v>
      </c>
      <c r="AH16" s="261">
        <v>3.8276994422935086E-3</v>
      </c>
      <c r="AI16" s="261">
        <v>1</v>
      </c>
      <c r="AJ16" s="198">
        <v>43545</v>
      </c>
      <c r="AK16" s="198">
        <v>43637</v>
      </c>
      <c r="AL16" s="200">
        <v>92</v>
      </c>
      <c r="AM16" s="201" t="str">
        <v>FedFundsON Actual/360</v>
      </c>
      <c r="AN16" s="200">
        <v>0</v>
      </c>
      <c r="AO16" s="198">
        <v>43636</v>
      </c>
      <c r="AP16" s="200" t="str">
        <v>Actual/360</v>
      </c>
      <c r="AQ16" s="202">
        <v>0.25555555555555554</v>
      </c>
      <c r="AR16" s="203">
        <v>1.4977954339409382E-2</v>
      </c>
      <c r="AS16" s="245">
        <f>_xll.qlDayCounterYearFraction("actual/365 (fixed)",Evaluationdate,AJ16,,,Trigger)</f>
        <v>3.010958904109589</v>
      </c>
      <c r="AT16" s="246">
        <f>_xll.qlDayCounterYearFraction("actual/365 (fixed)",Evaluationdate,AK16,,,Trigger)</f>
        <v>3.2630136986301368</v>
      </c>
      <c r="AU16" s="246">
        <f>_xll.qlDayCounterYearFraction(AP16,AJ16,AK16,,,Trigger)</f>
        <v>0.25555555555555554</v>
      </c>
      <c r="AV16" s="247">
        <f>_xll.qlYieldTSDiscount("USDON",AJ16,,Trigger)</f>
        <v>0.97808623303667819</v>
      </c>
      <c r="AW16" s="247">
        <f>_xll.qlYieldTSDiscount("USDON",AK16,,Trigger)</f>
        <v>0.97533979172749208</v>
      </c>
      <c r="AX16" s="203">
        <f t="shared" si="2"/>
        <v>3.8258343903793216E-7</v>
      </c>
      <c r="AY16" s="203">
        <f t="shared" si="3"/>
        <v>-8.8490992311562877E-5</v>
      </c>
      <c r="AZ16" s="201" t="b">
        <f t="shared" si="4"/>
        <v>1</v>
      </c>
      <c r="BA16" s="195">
        <f t="shared" si="5"/>
        <v>1.4648666873318337E-2</v>
      </c>
      <c r="BB16" s="248">
        <f t="shared" si="6"/>
        <v>0</v>
      </c>
      <c r="BC16" s="248">
        <f t="shared" si="7"/>
        <v>0</v>
      </c>
      <c r="BD16" s="193"/>
      <c r="BE16" s="193" t="s">
        <v>100</v>
      </c>
      <c r="BF16" s="193" t="s">
        <v>59</v>
      </c>
      <c r="BG16" s="193" t="str">
        <f>Currency&amp;BE16&amp;BF16&amp;QuoteSuffix</f>
        <v>USDOIS10M_Quote</v>
      </c>
      <c r="BH16" s="252">
        <f>Evaluationdate</f>
        <v>42446</v>
      </c>
      <c r="BI16" s="252">
        <f>_xll.qlSwapStartDate(BO16,Trigger)</f>
        <v>42450</v>
      </c>
      <c r="BJ16" s="252">
        <f>_xll.qlSwapMaturityDate(BO16,Trigger)</f>
        <v>42758</v>
      </c>
      <c r="BK16" s="195">
        <f>_xll.qlOvernightIndexedSwapFairRate(BO16,Trigger)</f>
        <v>4.8300000000078688E-3</v>
      </c>
      <c r="BL16" s="195">
        <f>_xll.qlQuoteValue(BG16)</f>
        <v>4.7199999999999994E-3</v>
      </c>
      <c r="BM16" s="217">
        <f t="shared" si="8"/>
        <v>1.1000000000786943</v>
      </c>
      <c r="BO16" s="50" t="str">
        <f>_xll.qlMakeOIS(,2,IF(BF16="SW","1W",BF16),UPPER(Currency)&amp;"FedFunds",,$BQ$4,$BR$4,,Permanent,Trigger,ObjectOverwrite)</f>
        <v>obj_0041b#0310</v>
      </c>
    </row>
    <row r="17" spans="1:68" ht="11.25" customHeight="1" x14ac:dyDescent="0.2">
      <c r="A17" s="63" t="s">
        <v>100</v>
      </c>
      <c r="B17" s="64" t="s">
        <v>56</v>
      </c>
      <c r="C17" s="65">
        <f t="shared" si="13"/>
        <v>2</v>
      </c>
      <c r="D17" s="136"/>
      <c r="E17" s="66" t="str">
        <f t="shared" si="11"/>
        <v>USDFedFunds</v>
      </c>
      <c r="F17" s="68" t="str">
        <f t="shared" si="12"/>
        <v>USDOIS7M_Quote</v>
      </c>
      <c r="G17" s="136"/>
      <c r="H17" s="69" t="str">
        <f>_xll.qlOISRateHelper(,C17,B17,F17,$E17,,Permanent,Trigger,ObjectOverwrite)</f>
        <v>obj_0031b#0303</v>
      </c>
      <c r="I17" s="52"/>
      <c r="J17" s="11" t="str">
        <f t="shared" si="9"/>
        <v>OIS</v>
      </c>
      <c r="K17" s="105" t="str">
        <f t="shared" si="10"/>
        <v>obj_00311#0303</v>
      </c>
      <c r="L17" s="108" t="str">
        <f>IFERROR(_xll.qlRateHelperQuoteName(K17,Trigger),"--")</f>
        <v>USDOIS9M_Quote</v>
      </c>
      <c r="M17" s="109">
        <f>IFERROR(_xll.qlRateHelperQuoteValue($K17,Trigger),"--")</f>
        <v>4.6899999999999997E-3</v>
      </c>
      <c r="N17" s="108" t="b">
        <v>1</v>
      </c>
      <c r="O17" s="105">
        <v>50</v>
      </c>
      <c r="P17" s="105">
        <v>1</v>
      </c>
      <c r="Q17" s="110">
        <f>IFERROR(_xll.qlRateHelperEarliestDate(K17,Trigger),"--")</f>
        <v>42450</v>
      </c>
      <c r="R17" s="110">
        <f>IFERROR(_xll.qlRateHelperPillarDate(K17,Trigger),"--")</f>
        <v>42725</v>
      </c>
      <c r="T17" s="4" t="str">
        <f t="shared" si="0"/>
        <v>OIS</v>
      </c>
      <c r="U17" s="4" t="str">
        <v>obj_00315</v>
      </c>
      <c r="V17" s="4" t="str">
        <f>IFERROR(_xll.qlRateHelperQuoteName(U17,Trigger),"")</f>
        <v>USDOIS11M_Quote</v>
      </c>
      <c r="W17" s="75">
        <f>IFERROR(_xll.qlRateHelperRate(U17,Trigger),"")</f>
        <v>4.9499999999999995E-3</v>
      </c>
      <c r="X17" s="115" t="str">
        <f>IF(ISERROR(_xll.qlSwapRateHelperSpread($U17)),IF(ISERROR(_xll.qlFuturesRateHelperConvexityAdjustment($U17)),"",_xll.qlFuturesRateHelperConvexityAdjustment($U17)),_xll.qlSwapRateHelperSpread($U17))</f>
        <v/>
      </c>
      <c r="Y17" s="5">
        <f>IFERROR(_xll.qlRateHelperEarliestDate(U17,Trigger),"")</f>
        <v>42450</v>
      </c>
      <c r="Z17" s="5">
        <f>IFERROR(_xll.qlRateHelperPillarDate(U17,Trigger),"")</f>
        <v>42787</v>
      </c>
      <c r="AA17" s="83">
        <v>0.99533421505401987</v>
      </c>
      <c r="AC17" s="208" t="s">
        <v>174</v>
      </c>
      <c r="AD17" s="212">
        <f>H62</f>
        <v>2E-3</v>
      </c>
      <c r="AE17" s="199"/>
      <c r="AF17" s="216"/>
      <c r="AG17" s="198">
        <v>43731</v>
      </c>
      <c r="AH17" s="261">
        <v>3.9635925932042489E-3</v>
      </c>
      <c r="AI17" s="261">
        <v>1</v>
      </c>
      <c r="AJ17" s="198">
        <v>43637</v>
      </c>
      <c r="AK17" s="198">
        <v>43731</v>
      </c>
      <c r="AL17" s="200">
        <v>94</v>
      </c>
      <c r="AM17" s="201" t="str">
        <v>FedFundsON Actual/360</v>
      </c>
      <c r="AN17" s="200">
        <v>0</v>
      </c>
      <c r="AO17" s="198">
        <v>43728</v>
      </c>
      <c r="AP17" s="200" t="str">
        <v>Actual/360</v>
      </c>
      <c r="AQ17" s="202">
        <v>0.26111111111111113</v>
      </c>
      <c r="AR17" s="203">
        <v>1.5179716314399249E-2</v>
      </c>
      <c r="AS17" s="245">
        <f>_xll.qlDayCounterYearFraction("actual/365 (fixed)",Evaluationdate,AJ17,,,Trigger)</f>
        <v>3.2630136986301368</v>
      </c>
      <c r="AT17" s="246">
        <f>_xll.qlDayCounterYearFraction("actual/365 (fixed)",Evaluationdate,AK17,,,Trigger)</f>
        <v>3.5205479452054793</v>
      </c>
      <c r="AU17" s="246">
        <f>_xll.qlDayCounterYearFraction(AP17,AJ17,AK17,,,Trigger)</f>
        <v>0.26111111111111113</v>
      </c>
      <c r="AV17" s="247">
        <f>_xll.qlYieldTSDiscount("USDON",AJ17,,Trigger)</f>
        <v>0.97533979172749208</v>
      </c>
      <c r="AW17" s="247">
        <f>_xll.qlYieldTSDiscount("USDON",AK17,,Trigger)</f>
        <v>0.97235570187876208</v>
      </c>
      <c r="AX17" s="203">
        <f t="shared" si="2"/>
        <v>4.3283303483725246E-7</v>
      </c>
      <c r="AY17" s="203">
        <f t="shared" si="3"/>
        <v>4.8036574717968961E-5</v>
      </c>
      <c r="AZ17" s="201" t="b">
        <f t="shared" si="4"/>
        <v>1</v>
      </c>
      <c r="BA17" s="195">
        <f t="shared" si="5"/>
        <v>1.5383342100859055E-2</v>
      </c>
      <c r="BB17" s="248">
        <f t="shared" si="6"/>
        <v>0</v>
      </c>
      <c r="BC17" s="248">
        <f t="shared" si="7"/>
        <v>0</v>
      </c>
      <c r="BD17" s="193"/>
      <c r="BE17" s="193" t="s">
        <v>100</v>
      </c>
      <c r="BF17" s="193" t="s">
        <v>60</v>
      </c>
      <c r="BG17" s="193" t="str">
        <f>Currency&amp;BE17&amp;BF17&amp;QuoteSuffix</f>
        <v>USDOIS11M_Quote</v>
      </c>
      <c r="BH17" s="252">
        <f>Evaluationdate</f>
        <v>42446</v>
      </c>
      <c r="BI17" s="252">
        <f>_xll.qlSwapStartDate(BO17,Trigger)</f>
        <v>42450</v>
      </c>
      <c r="BJ17" s="252">
        <f>_xll.qlSwapMaturityDate(BO17,Trigger)</f>
        <v>42787</v>
      </c>
      <c r="BK17" s="195">
        <f>_xll.qlOvernightIndexedSwapFairRate(BO17,Trigger)</f>
        <v>4.9499999999954841E-3</v>
      </c>
      <c r="BL17" s="195">
        <f>_xll.qlQuoteValue(BG17)</f>
        <v>4.8300000000000001E-3</v>
      </c>
      <c r="BM17" s="217">
        <f t="shared" si="8"/>
        <v>1.1999999999548396</v>
      </c>
      <c r="BO17" s="50" t="str">
        <f>_xll.qlMakeOIS(,2,IF(BF17="SW","1W",BF17),UPPER(Currency)&amp;"FedFunds",,$BQ$4,$BR$4,,Permanent,Trigger,ObjectOverwrite)</f>
        <v>obj_0041a#0311</v>
      </c>
    </row>
    <row r="18" spans="1:68" ht="11.25" customHeight="1" x14ac:dyDescent="0.2">
      <c r="A18" s="63" t="s">
        <v>100</v>
      </c>
      <c r="B18" s="64" t="s">
        <v>57</v>
      </c>
      <c r="C18" s="65">
        <f t="shared" si="13"/>
        <v>2</v>
      </c>
      <c r="D18" s="136"/>
      <c r="E18" s="66" t="str">
        <f t="shared" si="11"/>
        <v>USDFedFunds</v>
      </c>
      <c r="F18" s="68" t="str">
        <f t="shared" si="12"/>
        <v>USDOIS8M_Quote</v>
      </c>
      <c r="G18" s="136"/>
      <c r="H18" s="69" t="str">
        <f>_xll.qlOISRateHelper(,C18,B18,F18,$E18,,Permanent,Trigger,ObjectOverwrite)</f>
        <v>obj_0031d#0303</v>
      </c>
      <c r="I18" s="52"/>
      <c r="J18" s="11" t="str">
        <f t="shared" si="9"/>
        <v>OIS</v>
      </c>
      <c r="K18" s="105" t="str">
        <f t="shared" si="10"/>
        <v>obj_0031f#0303</v>
      </c>
      <c r="L18" s="108" t="str">
        <f>IFERROR(_xll.qlRateHelperQuoteName(K18,Trigger),"--")</f>
        <v>USDOIS10M_Quote</v>
      </c>
      <c r="M18" s="109">
        <f>IFERROR(_xll.qlRateHelperQuoteValue($K18,Trigger),"--")</f>
        <v>4.8300000000000001E-3</v>
      </c>
      <c r="N18" s="108" t="b">
        <v>1</v>
      </c>
      <c r="O18" s="105">
        <v>50</v>
      </c>
      <c r="P18" s="105">
        <v>1</v>
      </c>
      <c r="Q18" s="110">
        <f>IFERROR(_xll.qlRateHelperEarliestDate(K18,Trigger),"--")</f>
        <v>42450</v>
      </c>
      <c r="R18" s="110">
        <f>IFERROR(_xll.qlRateHelperPillarDate(K18,Trigger),"--")</f>
        <v>42758</v>
      </c>
      <c r="T18" s="4" t="str">
        <f t="shared" si="0"/>
        <v>BasOIS</v>
      </c>
      <c r="U18" s="4" t="str">
        <v>obj_00271</v>
      </c>
      <c r="V18" s="4" t="str">
        <f>IFERROR(_xll.qlRateHelperQuoteName(U18,Trigger),"")</f>
        <v>USDAM3L1Y_Quote</v>
      </c>
      <c r="W18" s="75">
        <f>IFERROR(_xll.qlRateHelperRate(U18,Trigger),"")</f>
        <v>7.62E-3</v>
      </c>
      <c r="X18" s="115" t="str">
        <f>IF(ISERROR(_xll.qlSwapRateHelperSpread($U18)),IF(ISERROR(_xll.qlFuturesRateHelperConvexityAdjustment($U18)),"",_xll.qlFuturesRateHelperConvexityAdjustment($U18)),_xll.qlSwapRateHelperSpread($U18))</f>
        <v/>
      </c>
      <c r="Y18" s="5">
        <f>IFERROR(_xll.qlRateHelperEarliestDate(U18,Trigger),"")</f>
        <v>42450</v>
      </c>
      <c r="Z18" s="5">
        <f>IFERROR(_xll.qlRateHelperPillarDate(U18,Trigger),"")</f>
        <v>42815</v>
      </c>
      <c r="AA18" s="83">
        <v>0.99515014436547011</v>
      </c>
      <c r="AC18" s="50" t="s">
        <v>178</v>
      </c>
      <c r="AD18" s="215" t="str">
        <f>_xll.qlDiscountingSwapEngine(,Discounting,,,,Permanent,Trigger,ObjectOverwrite)</f>
        <v>obj_0027b#0316</v>
      </c>
      <c r="AE18" s="199"/>
      <c r="AF18" s="216"/>
      <c r="AG18" s="198">
        <v>43822</v>
      </c>
      <c r="AH18" s="261">
        <v>4.0377466756843384E-3</v>
      </c>
      <c r="AI18" s="261">
        <v>1</v>
      </c>
      <c r="AJ18" s="198">
        <v>43731</v>
      </c>
      <c r="AK18" s="198">
        <v>43822</v>
      </c>
      <c r="AL18" s="200">
        <v>91</v>
      </c>
      <c r="AM18" s="201" t="str">
        <v>FedFundsON Actual/360</v>
      </c>
      <c r="AN18" s="200">
        <v>0</v>
      </c>
      <c r="AO18" s="198">
        <v>43819</v>
      </c>
      <c r="AP18" s="200" t="str">
        <v>Actual/360</v>
      </c>
      <c r="AQ18" s="202">
        <v>0.25277777777777777</v>
      </c>
      <c r="AR18" s="203">
        <v>1.5973503332377605E-2</v>
      </c>
      <c r="AS18" s="245">
        <f>_xll.qlDayCounterYearFraction("actual/365 (fixed)",Evaluationdate,AJ18,,,Trigger)</f>
        <v>3.5205479452054793</v>
      </c>
      <c r="AT18" s="246">
        <f>_xll.qlDayCounterYearFraction("actual/365 (fixed)",Evaluationdate,AK18,,,Trigger)</f>
        <v>3.7698630136986302</v>
      </c>
      <c r="AU18" s="246">
        <f>_xll.qlDayCounterYearFraction(AP18,AJ18,AK18,,,Trigger)</f>
        <v>0.25277777777777777</v>
      </c>
      <c r="AV18" s="247">
        <f>_xll.qlYieldTSDiscount("USDON",AJ18,,Trigger)</f>
        <v>0.97235570187876208</v>
      </c>
      <c r="AW18" s="247">
        <f>_xll.qlYieldTSDiscount("USDON",AK18,,Trigger)</f>
        <v>0.96932677098627296</v>
      </c>
      <c r="AX18" s="203">
        <f t="shared" si="2"/>
        <v>4.3766211242679428E-7</v>
      </c>
      <c r="AY18" s="203">
        <f t="shared" si="3"/>
        <v>-6.9505512456657925E-7</v>
      </c>
      <c r="AZ18" s="201" t="b">
        <f t="shared" si="4"/>
        <v>1</v>
      </c>
      <c r="BA18" s="195">
        <f t="shared" si="5"/>
        <v>1.5991758809482039E-2</v>
      </c>
      <c r="BB18" s="248">
        <f t="shared" si="6"/>
        <v>0</v>
      </c>
      <c r="BC18" s="248">
        <f t="shared" si="7"/>
        <v>0</v>
      </c>
      <c r="BD18" s="193"/>
      <c r="BE18" s="256" t="s">
        <v>100</v>
      </c>
      <c r="BF18" s="256" t="s">
        <v>29</v>
      </c>
      <c r="BG18" s="256" t="str">
        <f>Currency&amp;BE18&amp;BF18&amp;QuoteSuffix</f>
        <v>USDOIS1Y_Quote</v>
      </c>
      <c r="BH18" s="257">
        <f>Evaluationdate</f>
        <v>42446</v>
      </c>
      <c r="BI18" s="257">
        <f>_xll.qlSwapStartDate(BO18,Trigger)</f>
        <v>42450</v>
      </c>
      <c r="BJ18" s="257">
        <f>_xll.qlSwapMaturityDate(BO18,Trigger)</f>
        <v>42815</v>
      </c>
      <c r="BK18" s="258">
        <f>_xll.qlOvernightIndexedSwapFairRate(BO18,Trigger)</f>
        <v>4.7535532764026115E-3</v>
      </c>
      <c r="BL18" s="258">
        <f>_xll.qlQuoteValue(BG18)</f>
        <v>4.9300000000000004E-3</v>
      </c>
      <c r="BM18" s="259">
        <f t="shared" si="8"/>
        <v>1.7644672359738884</v>
      </c>
      <c r="BN18" s="260"/>
      <c r="BO18" s="260" t="str">
        <f>_xll.qlMakeOIS(,2,IF(BF18="SW","1W",BF18),UPPER(Currency)&amp;"FedFunds",,$BQ$4,$BR$4,,Permanent,Trigger,ObjectOverwrite)</f>
        <v>obj_00419#0311</v>
      </c>
      <c r="BP18" s="260"/>
    </row>
    <row r="19" spans="1:68" ht="11.25" customHeight="1" x14ac:dyDescent="0.2">
      <c r="A19" s="63" t="s">
        <v>100</v>
      </c>
      <c r="B19" s="64" t="s">
        <v>58</v>
      </c>
      <c r="C19" s="65">
        <f t="shared" si="13"/>
        <v>2</v>
      </c>
      <c r="D19" s="136"/>
      <c r="E19" s="66" t="str">
        <f t="shared" si="11"/>
        <v>USDFedFunds</v>
      </c>
      <c r="F19" s="68" t="str">
        <f t="shared" si="12"/>
        <v>USDOIS9M_Quote</v>
      </c>
      <c r="G19" s="136"/>
      <c r="H19" s="69" t="str">
        <f>_xll.qlOISRateHelper(,C19,B19,F19,$E19,,Permanent,Trigger,ObjectOverwrite)</f>
        <v>obj_00311#0303</v>
      </c>
      <c r="I19" s="52"/>
      <c r="J19" s="11" t="str">
        <f t="shared" si="9"/>
        <v>OIS</v>
      </c>
      <c r="K19" s="105" t="str">
        <f t="shared" si="10"/>
        <v>obj_00315#0303</v>
      </c>
      <c r="L19" s="108" t="str">
        <f>IFERROR(_xll.qlRateHelperQuoteName(K19,Trigger),"--")</f>
        <v>USDOIS11M_Quote</v>
      </c>
      <c r="M19" s="109">
        <f>IFERROR(_xll.qlRateHelperQuoteValue($K19,Trigger),"--")</f>
        <v>4.9499999999999995E-3</v>
      </c>
      <c r="N19" s="108" t="b">
        <v>1</v>
      </c>
      <c r="O19" s="105">
        <v>50</v>
      </c>
      <c r="P19" s="105">
        <v>1</v>
      </c>
      <c r="Q19" s="110">
        <f>IFERROR(_xll.qlRateHelperEarliestDate(K19,Trigger),"--")</f>
        <v>42450</v>
      </c>
      <c r="R19" s="110">
        <f>IFERROR(_xll.qlRateHelperPillarDate(K19,Trigger),"--")</f>
        <v>42787</v>
      </c>
      <c r="T19" s="4" t="str">
        <f t="shared" si="0"/>
        <v>BasOIS</v>
      </c>
      <c r="U19" s="4" t="str">
        <v>obj_00274</v>
      </c>
      <c r="V19" s="4" t="str">
        <f>IFERROR(_xll.qlRateHelperQuoteName(U19,Trigger),"")</f>
        <v>USDAM3L2Y_Quote</v>
      </c>
      <c r="W19" s="75">
        <f>IFERROR(_xll.qlRateHelperRate(U19,Trigger),"")</f>
        <v>9.0200000000000002E-3</v>
      </c>
      <c r="X19" s="115" t="str">
        <f>IF(ISERROR(_xll.qlSwapRateHelperSpread($U19)),IF(ISERROR(_xll.qlFuturesRateHelperConvexityAdjustment($U19)),"",_xll.qlFuturesRateHelperConvexityAdjustment($U19)),_xll.qlSwapRateHelperSpread($U19))</f>
        <v/>
      </c>
      <c r="Y19" s="5">
        <f>IFERROR(_xll.qlRateHelperEarliestDate(U19,Trigger),"")</f>
        <v>42450</v>
      </c>
      <c r="Z19" s="5">
        <f>IFERROR(_xll.qlRateHelperPillarDate(U19,Trigger),"")</f>
        <v>43180</v>
      </c>
      <c r="AA19" s="83">
        <v>0.987796992831523</v>
      </c>
      <c r="AC19" s="198"/>
      <c r="AD19" s="209"/>
      <c r="AE19" s="199"/>
      <c r="AF19" s="216"/>
      <c r="AG19" s="198">
        <v>43913</v>
      </c>
      <c r="AH19" s="261">
        <v>4.1586973621539338E-3</v>
      </c>
      <c r="AI19" s="261">
        <v>1</v>
      </c>
      <c r="AJ19" s="198">
        <v>43822</v>
      </c>
      <c r="AK19" s="198">
        <v>43913</v>
      </c>
      <c r="AL19" s="200">
        <v>91</v>
      </c>
      <c r="AM19" s="201" t="str">
        <v>FedFundsON Actual/360</v>
      </c>
      <c r="AN19" s="200">
        <v>0</v>
      </c>
      <c r="AO19" s="198">
        <v>43910</v>
      </c>
      <c r="AP19" s="200" t="str">
        <v>Actual/360</v>
      </c>
      <c r="AQ19" s="202">
        <v>0.25277777777777777</v>
      </c>
      <c r="AR19" s="203">
        <v>1.6451989564565013E-2</v>
      </c>
      <c r="AS19" s="245">
        <f>_xll.qlDayCounterYearFraction("actual/365 (fixed)",Evaluationdate,AJ19,,,Trigger)</f>
        <v>3.7698630136986302</v>
      </c>
      <c r="AT19" s="246">
        <f>_xll.qlDayCounterYearFraction("actual/365 (fixed)",Evaluationdate,AK19,,,Trigger)</f>
        <v>4.0191780821917806</v>
      </c>
      <c r="AU19" s="246">
        <f>_xll.qlDayCounterYearFraction(AP19,AJ19,AK19,,,Trigger)</f>
        <v>0.25277777777777777</v>
      </c>
      <c r="AV19" s="247">
        <f>_xll.qlYieldTSDiscount("USDON",AJ19,,Trigger)</f>
        <v>0.96932677098627296</v>
      </c>
      <c r="AW19" s="247">
        <f>_xll.qlYieldTSDiscount("USDON",AK19,,Trigger)</f>
        <v>0.96619037779855943</v>
      </c>
      <c r="AX19" s="203">
        <f t="shared" si="2"/>
        <v>4.6865619988114004E-7</v>
      </c>
      <c r="AY19" s="203">
        <f t="shared" si="3"/>
        <v>-6.9594330298627938E-7</v>
      </c>
      <c r="AZ19" s="201" t="b">
        <f t="shared" si="4"/>
        <v>1</v>
      </c>
      <c r="BA19" s="195">
        <f t="shared" si="5"/>
        <v>1.6471888720007787E-2</v>
      </c>
      <c r="BB19" s="248">
        <f t="shared" si="6"/>
        <v>0</v>
      </c>
      <c r="BC19" s="248">
        <f t="shared" si="7"/>
        <v>0</v>
      </c>
      <c r="BD19" s="193"/>
      <c r="BE19" s="193" t="s">
        <v>100</v>
      </c>
      <c r="BF19" s="193" t="s">
        <v>61</v>
      </c>
      <c r="BG19" s="193" t="str">
        <f>Currency&amp;BE19&amp;BF19&amp;QuoteSuffix</f>
        <v>USDOIS13M_Quote</v>
      </c>
      <c r="BH19" s="252">
        <f>Evaluationdate</f>
        <v>42446</v>
      </c>
      <c r="BI19" s="252">
        <f>_xll.qlSwapStartDate(BO19,Trigger)</f>
        <v>42450</v>
      </c>
      <c r="BJ19" s="252">
        <f>_xll.qlSwapMaturityDate(BO19,Trigger)</f>
        <v>42846</v>
      </c>
      <c r="BK19" s="195">
        <f>_xll.qlOvernightIndexedSwapFairRate(BO19,Trigger)</f>
        <v>4.5737453796649103E-3</v>
      </c>
      <c r="BL19" s="195">
        <f>_xll.qlQuoteValue(BG19)</f>
        <v>5.0400000000000002E-3</v>
      </c>
      <c r="BM19" s="217">
        <f t="shared" si="8"/>
        <v>4.6625462033508986</v>
      </c>
      <c r="BO19" s="50" t="str">
        <f>_xll.qlMakeOIS(,2,IF(BF19="SW","1W",BF19),UPPER(Currency)&amp;"FedFunds",,$BQ$4,$BR$4,,Permanent,Trigger,ObjectOverwrite)</f>
        <v>obj_00418#0310</v>
      </c>
    </row>
    <row r="20" spans="1:68" ht="11.25" customHeight="1" x14ac:dyDescent="0.2">
      <c r="A20" s="63" t="s">
        <v>100</v>
      </c>
      <c r="B20" s="64" t="s">
        <v>59</v>
      </c>
      <c r="C20" s="65">
        <f t="shared" si="13"/>
        <v>2</v>
      </c>
      <c r="D20" s="136"/>
      <c r="E20" s="66" t="str">
        <f t="shared" si="11"/>
        <v>USDFedFunds</v>
      </c>
      <c r="F20" s="68" t="str">
        <f t="shared" si="12"/>
        <v>USDOIS10M_Quote</v>
      </c>
      <c r="G20" s="136"/>
      <c r="H20" s="69" t="str">
        <f>_xll.qlOISRateHelper(,C20,B20,F20,$E20,,Permanent,Trigger,ObjectOverwrite)</f>
        <v>obj_0031f#0303</v>
      </c>
      <c r="I20" s="52"/>
      <c r="J20" s="11" t="str">
        <f t="shared" si="9"/>
        <v>OIS</v>
      </c>
      <c r="K20" s="105" t="str">
        <f t="shared" si="10"/>
        <v>obj_00320#0303</v>
      </c>
      <c r="L20" s="108" t="str">
        <f>IFERROR(_xll.qlRateHelperQuoteName(K20,Trigger),"--")</f>
        <v>USDOIS1Y_Quote</v>
      </c>
      <c r="M20" s="109">
        <f>IFERROR(_xll.qlRateHelperQuoteValue($K20,Trigger),"--")</f>
        <v>5.0600000000000003E-3</v>
      </c>
      <c r="N20" s="108" t="b">
        <v>1</v>
      </c>
      <c r="O20" s="105">
        <v>50</v>
      </c>
      <c r="P20" s="105">
        <v>1</v>
      </c>
      <c r="Q20" s="110">
        <f>IFERROR(_xll.qlRateHelperEarliestDate(K20,Trigger),"--")</f>
        <v>42450</v>
      </c>
      <c r="R20" s="110">
        <f>IFERROR(_xll.qlRateHelperPillarDate(K20,Trigger),"--")</f>
        <v>42815</v>
      </c>
      <c r="T20" s="4" t="str">
        <f t="shared" si="0"/>
        <v>BasOIS</v>
      </c>
      <c r="U20" s="4" t="str">
        <v>obj_00277</v>
      </c>
      <c r="V20" s="4" t="str">
        <f>IFERROR(_xll.qlRateHelperQuoteName(U20,Trigger),"")</f>
        <v>USDAM3L3Y_Quote</v>
      </c>
      <c r="W20" s="75">
        <f>IFERROR(_xll.qlRateHelperRate(U20,Trigger),"")</f>
        <v>1.0369999999999999E-2</v>
      </c>
      <c r="X20" s="115" t="str">
        <f>IF(ISERROR(_xll.qlSwapRateHelperSpread($U20)),IF(ISERROR(_xll.qlFuturesRateHelperConvexityAdjustment($U20)),"",_xll.qlFuturesRateHelperConvexityAdjustment($U20)),_xll.qlSwapRateHelperSpread($U20))</f>
        <v/>
      </c>
      <c r="Y20" s="5">
        <f>IFERROR(_xll.qlRateHelperEarliestDate(U20,Trigger),"")</f>
        <v>42450</v>
      </c>
      <c r="Z20" s="5">
        <f>IFERROR(_xll.qlRateHelperPillarDate(U20,Trigger),"")</f>
        <v>43545</v>
      </c>
      <c r="AA20" s="83">
        <v>0.97808623303693421</v>
      </c>
      <c r="AC20" s="198"/>
      <c r="AD20" s="199"/>
      <c r="AE20" s="199"/>
      <c r="AF20" s="216"/>
      <c r="AG20" s="198">
        <v>44004</v>
      </c>
      <c r="AH20" s="261">
        <v>4.2554058724523711E-3</v>
      </c>
      <c r="AI20" s="261">
        <v>1</v>
      </c>
      <c r="AJ20" s="198">
        <v>43913</v>
      </c>
      <c r="AK20" s="198">
        <v>44004</v>
      </c>
      <c r="AL20" s="200">
        <v>91</v>
      </c>
      <c r="AM20" s="201" t="str">
        <v>FedFundsON Actual/360</v>
      </c>
      <c r="AN20" s="200">
        <v>0</v>
      </c>
      <c r="AO20" s="198">
        <v>44001</v>
      </c>
      <c r="AP20" s="200" t="str">
        <v>Actual/360</v>
      </c>
      <c r="AQ20" s="202">
        <v>0.25277777777777777</v>
      </c>
      <c r="AR20" s="203">
        <v>1.6834572682229161E-2</v>
      </c>
      <c r="AS20" s="245">
        <f>_xll.qlDayCounterYearFraction("actual/365 (fixed)",Evaluationdate,AJ20,,,Trigger)</f>
        <v>4.0191780821917806</v>
      </c>
      <c r="AT20" s="246">
        <f>_xll.qlDayCounterYearFraction("actual/365 (fixed)",Evaluationdate,AK20,,,Trigger)</f>
        <v>4.2684931506849315</v>
      </c>
      <c r="AU20" s="246">
        <f>_xll.qlDayCounterYearFraction(AP20,AJ20,AK20,,,Trigger)</f>
        <v>0.25277777777777777</v>
      </c>
      <c r="AV20" s="247">
        <f>_xll.qlYieldTSDiscount("USDON",AJ20,,Trigger)</f>
        <v>0.96619037779855943</v>
      </c>
      <c r="AW20" s="247">
        <f>_xll.qlYieldTSDiscount("USDON",AK20,,Trigger)</f>
        <v>0.96297097015649047</v>
      </c>
      <c r="AX20" s="203">
        <f t="shared" si="2"/>
        <v>4.9965030277975904E-7</v>
      </c>
      <c r="AY20" s="203">
        <f t="shared" si="3"/>
        <v>-6.9505512456657925E-7</v>
      </c>
      <c r="AZ20" s="201" t="b">
        <f t="shared" si="4"/>
        <v>1</v>
      </c>
      <c r="BA20" s="195">
        <f t="shared" si="5"/>
        <v>1.6855858867146419E-2</v>
      </c>
      <c r="BB20" s="248">
        <f t="shared" si="6"/>
        <v>0</v>
      </c>
      <c r="BC20" s="248">
        <f t="shared" si="7"/>
        <v>0</v>
      </c>
      <c r="BD20" s="193"/>
      <c r="BE20" s="193" t="s">
        <v>100</v>
      </c>
      <c r="BF20" s="193" t="s">
        <v>62</v>
      </c>
      <c r="BG20" s="193" t="str">
        <f>Currency&amp;BE20&amp;BF20&amp;QuoteSuffix</f>
        <v>USDOIS14M_Quote</v>
      </c>
      <c r="BH20" s="252">
        <f>Evaluationdate</f>
        <v>42446</v>
      </c>
      <c r="BI20" s="252">
        <f>_xll.qlSwapStartDate(BO20,Trigger)</f>
        <v>42450</v>
      </c>
      <c r="BJ20" s="252">
        <f>_xll.qlSwapMaturityDate(BO20,Trigger)</f>
        <v>42877</v>
      </c>
      <c r="BK20" s="195">
        <f>_xll.qlOvernightIndexedSwapFairRate(BO20,Trigger)</f>
        <v>4.5184493490536054E-3</v>
      </c>
      <c r="BL20" s="195">
        <f>_xll.qlQuoteValue(BG20)</f>
        <v>5.1500000000000001E-3</v>
      </c>
      <c r="BM20" s="217">
        <f t="shared" si="8"/>
        <v>6.3155065094639466</v>
      </c>
      <c r="BO20" s="50" t="str">
        <f>_xll.qlMakeOIS(,2,IF(BF20="SW","1W",BF20),UPPER(Currency)&amp;"FedFunds",,$BQ$4,$BR$4,,Permanent,Trigger,ObjectOverwrite)</f>
        <v>obj_00417#0310</v>
      </c>
    </row>
    <row r="21" spans="1:68" ht="11.25" customHeight="1" x14ac:dyDescent="0.2">
      <c r="A21" s="63" t="s">
        <v>100</v>
      </c>
      <c r="B21" s="64" t="s">
        <v>60</v>
      </c>
      <c r="C21" s="65">
        <f t="shared" si="13"/>
        <v>2</v>
      </c>
      <c r="D21" s="136"/>
      <c r="E21" s="66" t="str">
        <f t="shared" si="11"/>
        <v>USDFedFunds</v>
      </c>
      <c r="F21" s="68" t="str">
        <f t="shared" si="12"/>
        <v>USDOIS11M_Quote</v>
      </c>
      <c r="G21" s="136"/>
      <c r="H21" s="69" t="str">
        <f>_xll.qlOISRateHelper(,C21,B21,F21,$E21,,Permanent,Trigger,ObjectOverwrite)</f>
        <v>obj_00315#0303</v>
      </c>
      <c r="I21" s="52"/>
      <c r="J21" s="11" t="str">
        <f t="shared" si="9"/>
        <v>OIS</v>
      </c>
      <c r="K21" s="105" t="str">
        <f t="shared" si="10"/>
        <v>--</v>
      </c>
      <c r="L21" s="108" t="str">
        <f>IFERROR(_xll.qlRateHelperQuoteName(K21,Trigger),"--")</f>
        <v>--</v>
      </c>
      <c r="M21" s="109" t="str">
        <f>IFERROR(_xll.qlRateHelperQuoteValue($K21,Trigger),"--")</f>
        <v>--</v>
      </c>
      <c r="N21" s="108" t="b">
        <v>0</v>
      </c>
      <c r="O21" s="105">
        <v>50</v>
      </c>
      <c r="P21" s="105">
        <v>1</v>
      </c>
      <c r="Q21" s="110" t="str">
        <f>IFERROR(_xll.qlRateHelperEarliestDate(K21,Trigger),"--")</f>
        <v>--</v>
      </c>
      <c r="R21" s="110" t="str">
        <f>IFERROR(_xll.qlRateHelperPillarDate(K21,Trigger),"--")</f>
        <v>--</v>
      </c>
      <c r="T21" s="4" t="str">
        <f t="shared" si="0"/>
        <v>BasOIS</v>
      </c>
      <c r="U21" s="4" t="str">
        <v>obj_00276</v>
      </c>
      <c r="V21" s="4" t="str">
        <f>IFERROR(_xll.qlRateHelperQuoteName(U21,Trigger),"")</f>
        <v>USDAM3L4Y_Quote</v>
      </c>
      <c r="W21" s="75">
        <f>IFERROR(_xll.qlRateHelperRate(U21,Trigger),"")</f>
        <v>1.1599999999999999E-2</v>
      </c>
      <c r="X21" s="115" t="str">
        <f>IF(ISERROR(_xll.qlSwapRateHelperSpread($U21)),IF(ISERROR(_xll.qlFuturesRateHelperConvexityAdjustment($U21)),"",_xll.qlFuturesRateHelperConvexityAdjustment($U21)),_xll.qlSwapRateHelperSpread($U21))</f>
        <v/>
      </c>
      <c r="Y21" s="5">
        <f>IFERROR(_xll.qlRateHelperEarliestDate(U21,Trigger),"")</f>
        <v>42450</v>
      </c>
      <c r="Z21" s="5">
        <f>IFERROR(_xll.qlRateHelperPillarDate(U21,Trigger),"")</f>
        <v>43913</v>
      </c>
      <c r="AA21" s="83">
        <v>0.96619037779797834</v>
      </c>
      <c r="AC21" s="198"/>
      <c r="AD21" s="199"/>
      <c r="AE21" s="199"/>
      <c r="AF21" s="216"/>
      <c r="AG21" s="198">
        <v>44095</v>
      </c>
      <c r="AH21" s="261">
        <v>4.3496179812376329E-3</v>
      </c>
      <c r="AI21" s="261">
        <v>1</v>
      </c>
      <c r="AJ21" s="198">
        <v>44004</v>
      </c>
      <c r="AK21" s="198">
        <v>44095</v>
      </c>
      <c r="AL21" s="200">
        <v>91</v>
      </c>
      <c r="AM21" s="201" t="str">
        <v>FedFundsON Actual/360</v>
      </c>
      <c r="AN21" s="200">
        <v>0</v>
      </c>
      <c r="AO21" s="198">
        <v>44092</v>
      </c>
      <c r="AP21" s="200" t="str">
        <v>Actual/360</v>
      </c>
      <c r="AQ21" s="202">
        <v>0.25277777777777777</v>
      </c>
      <c r="AR21" s="203">
        <v>1.7207279925775251E-2</v>
      </c>
      <c r="AS21" s="245">
        <f>_xll.qlDayCounterYearFraction("actual/365 (fixed)",Evaluationdate,AJ21,,,Trigger)</f>
        <v>4.2684931506849315</v>
      </c>
      <c r="AT21" s="246">
        <f>_xll.qlDayCounterYearFraction("actual/365 (fixed)",Evaluationdate,AK21,,,Trigger)</f>
        <v>4.5178082191780824</v>
      </c>
      <c r="AU21" s="246">
        <f>_xll.qlDayCounterYearFraction(AP21,AJ21,AK21,,,Trigger)</f>
        <v>0.25277777777777777</v>
      </c>
      <c r="AV21" s="247">
        <f>_xll.qlYieldTSDiscount("USDON",AJ21,,Trigger)</f>
        <v>0.96297097015649047</v>
      </c>
      <c r="AW21" s="247">
        <f>_xll.qlYieldTSDiscount("USDON",AK21,,Trigger)</f>
        <v>0.95967184307076825</v>
      </c>
      <c r="AX21" s="203">
        <f t="shared" si="2"/>
        <v>5.306444211502549E-7</v>
      </c>
      <c r="AY21" s="203">
        <f t="shared" si="3"/>
        <v>-6.9505512456657925E-7</v>
      </c>
      <c r="AZ21" s="201" t="b">
        <f t="shared" si="4"/>
        <v>1</v>
      </c>
      <c r="BA21" s="195">
        <f t="shared" si="5"/>
        <v>1.7229952798374911E-2</v>
      </c>
      <c r="BB21" s="248">
        <f t="shared" si="6"/>
        <v>0</v>
      </c>
      <c r="BC21" s="248">
        <f t="shared" si="7"/>
        <v>0</v>
      </c>
      <c r="BD21" s="193"/>
      <c r="BE21" s="193" t="s">
        <v>100</v>
      </c>
      <c r="BF21" s="193" t="s">
        <v>63</v>
      </c>
      <c r="BG21" s="193" t="str">
        <f>Currency&amp;BE21&amp;BF21&amp;QuoteSuffix</f>
        <v>USDOIS15M_Quote</v>
      </c>
      <c r="BH21" s="252">
        <f>Evaluationdate</f>
        <v>42446</v>
      </c>
      <c r="BI21" s="252">
        <f>_xll.qlSwapStartDate(BO21,Trigger)</f>
        <v>42450</v>
      </c>
      <c r="BJ21" s="252">
        <f>_xll.qlSwapMaturityDate(BO21,Trigger)</f>
        <v>42907</v>
      </c>
      <c r="BK21" s="195">
        <f>_xll.qlOvernightIndexedSwapFairRate(BO21,Trigger)</f>
        <v>4.5508384114043652E-3</v>
      </c>
      <c r="BL21" s="195">
        <f>_xll.qlQuoteValue(BG21)</f>
        <v>5.2599999999999999E-3</v>
      </c>
      <c r="BM21" s="217">
        <f t="shared" si="8"/>
        <v>7.0916158859563474</v>
      </c>
      <c r="BO21" s="50" t="str">
        <f>_xll.qlMakeOIS(,2,IF(BF21="SW","1W",BF21),UPPER(Currency)&amp;"FedFunds",,$BQ$4,$BR$4,,Permanent,Trigger,ObjectOverwrite)</f>
        <v>obj_00416#0311</v>
      </c>
    </row>
    <row r="22" spans="1:68" ht="11.25" customHeight="1" x14ac:dyDescent="0.2">
      <c r="A22" s="63" t="s">
        <v>100</v>
      </c>
      <c r="B22" s="64" t="s">
        <v>29</v>
      </c>
      <c r="C22" s="65">
        <f t="shared" si="13"/>
        <v>2</v>
      </c>
      <c r="D22" s="136"/>
      <c r="E22" s="66" t="str">
        <f t="shared" si="11"/>
        <v>USDFedFunds</v>
      </c>
      <c r="F22" s="68" t="str">
        <f t="shared" si="12"/>
        <v>USDOIS1Y_Quote</v>
      </c>
      <c r="G22" s="136"/>
      <c r="H22" s="69" t="str">
        <f>_xll.qlOISRateHelper(,C22,B22,F22,$E22,,Permanent,Trigger,ObjectOverwrite)</f>
        <v>obj_00320#0303</v>
      </c>
      <c r="J22" s="11" t="str">
        <f t="shared" si="9"/>
        <v>OIS</v>
      </c>
      <c r="K22" s="105" t="str">
        <f t="shared" si="10"/>
        <v>--</v>
      </c>
      <c r="L22" s="108" t="str">
        <f>IFERROR(_xll.qlRateHelperQuoteName(K22,Trigger),"--")</f>
        <v>--</v>
      </c>
      <c r="M22" s="109" t="str">
        <f>IFERROR(_xll.qlRateHelperQuoteValue($K22,Trigger),"--")</f>
        <v>--</v>
      </c>
      <c r="N22" s="108" t="b">
        <v>0</v>
      </c>
      <c r="O22" s="105">
        <v>50</v>
      </c>
      <c r="P22" s="105">
        <v>1</v>
      </c>
      <c r="Q22" s="110" t="str">
        <f>IFERROR(_xll.qlRateHelperEarliestDate(K22,Trigger),"--")</f>
        <v>--</v>
      </c>
      <c r="R22" s="110" t="str">
        <f>IFERROR(_xll.qlRateHelperPillarDate(K22,Trigger),"--")</f>
        <v>--</v>
      </c>
      <c r="T22" s="4" t="str">
        <f t="shared" si="0"/>
        <v>BasOIS</v>
      </c>
      <c r="U22" s="4" t="str">
        <v>obj_00273</v>
      </c>
      <c r="V22" s="4" t="str">
        <f>IFERROR(_xll.qlRateHelperQuoteName(U22,Trigger),"")</f>
        <v>USDAM3L5Y_Quote</v>
      </c>
      <c r="W22" s="75">
        <f>IFERROR(_xll.qlRateHelperRate(U22,Trigger),"")</f>
        <v>1.272E-2</v>
      </c>
      <c r="X22" s="115" t="str">
        <f>IF(ISERROR(_xll.qlSwapRateHelperSpread($U22)),IF(ISERROR(_xll.qlFuturesRateHelperConvexityAdjustment($U22)),"",_xll.qlFuturesRateHelperConvexityAdjustment($U22)),_xll.qlSwapRateHelperSpread($U22))</f>
        <v/>
      </c>
      <c r="Y22" s="5">
        <f>IFERROR(_xll.qlRateHelperEarliestDate(U22,Trigger),"")</f>
        <v>42450</v>
      </c>
      <c r="Z22" s="5">
        <f>IFERROR(_xll.qlRateHelperPillarDate(U22,Trigger),"")</f>
        <v>44277</v>
      </c>
      <c r="AA22" s="83">
        <v>0.95282682561811416</v>
      </c>
      <c r="AC22" s="208" t="str">
        <f>_xll.qlMakeOISAA(,2,AD4,AD12,AD9,"0d",AD10,AD11,AD13,AD14,AD15,AD17,Permanent,Trigger,ObjectOverwrite)</f>
        <v>obj_00278#0496</v>
      </c>
      <c r="AD22" s="209" t="b">
        <f>_xll.qlInstrumentSetPricingEngine(AC22,AD18,Trigger)</f>
        <v>1</v>
      </c>
      <c r="AE22" s="231" t="s">
        <v>11</v>
      </c>
      <c r="AF22" s="216"/>
      <c r="AG22" s="198">
        <v>44186</v>
      </c>
      <c r="AH22" s="261">
        <v>4.4467685778628854E-3</v>
      </c>
      <c r="AI22" s="261">
        <v>1</v>
      </c>
      <c r="AJ22" s="198">
        <v>44095</v>
      </c>
      <c r="AK22" s="198">
        <v>44186</v>
      </c>
      <c r="AL22" s="200">
        <v>91</v>
      </c>
      <c r="AM22" s="201" t="str">
        <v>FedFundsON Actual/360</v>
      </c>
      <c r="AN22" s="200">
        <v>0</v>
      </c>
      <c r="AO22" s="198">
        <v>44183</v>
      </c>
      <c r="AP22" s="200" t="str">
        <v>Actual/360</v>
      </c>
      <c r="AQ22" s="202">
        <v>0.25277777777777777</v>
      </c>
      <c r="AR22" s="203">
        <v>1.7591611956380645E-2</v>
      </c>
      <c r="AS22" s="245">
        <f>_xll.qlDayCounterYearFraction("actual/365 (fixed)",Evaluationdate,AJ22,,,Trigger)</f>
        <v>4.5178082191780824</v>
      </c>
      <c r="AT22" s="246">
        <f>_xll.qlDayCounterYearFraction("actual/365 (fixed)",Evaluationdate,AK22,,,Trigger)</f>
        <v>4.7671232876712333</v>
      </c>
      <c r="AU22" s="246">
        <f>_xll.qlDayCounterYearFraction(AP22,AJ22,AK22,,,Trigger)</f>
        <v>0.25277777777777777</v>
      </c>
      <c r="AV22" s="247">
        <f>_xll.qlYieldTSDiscount("USDON",AJ22,,Trigger)</f>
        <v>0.95967184307076825</v>
      </c>
      <c r="AW22" s="247">
        <f>_xll.qlYieldTSDiscount("USDON",AK22,,Trigger)</f>
        <v>0.95629108035089161</v>
      </c>
      <c r="AX22" s="203">
        <f t="shared" si="2"/>
        <v>5.6163855496502415E-7</v>
      </c>
      <c r="AY22" s="203">
        <f t="shared" si="3"/>
        <v>-6.9505512456657925E-7</v>
      </c>
      <c r="AZ22" s="201" t="b">
        <f t="shared" si="4"/>
        <v>1</v>
      </c>
      <c r="BA22" s="195">
        <f t="shared" si="5"/>
        <v>1.7615747853968224E-2</v>
      </c>
      <c r="BB22" s="248">
        <f t="shared" si="6"/>
        <v>0</v>
      </c>
      <c r="BC22" s="248">
        <f t="shared" si="7"/>
        <v>0</v>
      </c>
      <c r="BD22" s="193"/>
      <c r="BE22" s="193" t="s">
        <v>100</v>
      </c>
      <c r="BF22" s="193" t="s">
        <v>64</v>
      </c>
      <c r="BG22" s="193" t="str">
        <f>Currency&amp;BE22&amp;BF22&amp;QuoteSuffix</f>
        <v>USDOIS16M_Quote</v>
      </c>
      <c r="BH22" s="252">
        <f>Evaluationdate</f>
        <v>42446</v>
      </c>
      <c r="BI22" s="252">
        <f>_xll.qlSwapStartDate(BO22,Trigger)</f>
        <v>42450</v>
      </c>
      <c r="BJ22" s="252">
        <f>_xll.qlSwapMaturityDate(BO22,Trigger)</f>
        <v>42937</v>
      </c>
      <c r="BK22" s="195">
        <f>_xll.qlOvernightIndexedSwapFairRate(BO22,Trigger)</f>
        <v>4.6437779937555657E-3</v>
      </c>
      <c r="BL22" s="195">
        <f>_xll.qlQuoteValue(BG22)</f>
        <v>5.3500000000000006E-3</v>
      </c>
      <c r="BM22" s="217">
        <f t="shared" si="8"/>
        <v>7.0622200624443492</v>
      </c>
      <c r="BO22" s="50" t="str">
        <f>_xll.qlMakeOIS(,2,IF(BF22="SW","1W",BF22),UPPER(Currency)&amp;"FedFunds",,$BQ$4,$BR$4,,Permanent,Trigger,ObjectOverwrite)</f>
        <v>obj_00415#0310</v>
      </c>
    </row>
    <row r="23" spans="1:68" ht="11.25" customHeight="1" x14ac:dyDescent="0.2">
      <c r="A23" s="63" t="s">
        <v>100</v>
      </c>
      <c r="B23" s="64" t="s">
        <v>61</v>
      </c>
      <c r="C23" s="65">
        <f t="shared" ref="C23:C61" si="14">IF(B23="O/N",0,IF(B23="T/N",1,2))</f>
        <v>2</v>
      </c>
      <c r="D23" s="136"/>
      <c r="E23" s="66" t="str">
        <f t="shared" si="11"/>
        <v>USDFedFunds</v>
      </c>
      <c r="F23" s="68" t="str">
        <f t="shared" si="12"/>
        <v>USDOIS13M_Quote</v>
      </c>
      <c r="G23" s="136"/>
      <c r="H23" s="69"/>
      <c r="J23" s="11" t="str">
        <f t="shared" si="9"/>
        <v>OIS</v>
      </c>
      <c r="K23" s="105" t="str">
        <f t="shared" si="10"/>
        <v>obj_00307#0307</v>
      </c>
      <c r="L23" s="108" t="str">
        <f>IFERROR(_xll.qlRateHelperQuoteName(K23,Trigger),"--")</f>
        <v>USDOIS15M_Quote</v>
      </c>
      <c r="M23" s="109">
        <f>IFERROR(_xll.qlRateHelperQuoteValue($K23,Trigger),"--")</f>
        <v>5.409999999999999E-3</v>
      </c>
      <c r="N23" s="108" t="b">
        <v>0</v>
      </c>
      <c r="O23" s="105">
        <v>50</v>
      </c>
      <c r="P23" s="105">
        <v>1</v>
      </c>
      <c r="Q23" s="110">
        <f>IFERROR(_xll.qlRateHelperEarliestDate(K23,Trigger),"--")</f>
        <v>42450</v>
      </c>
      <c r="R23" s="110">
        <f>IFERROR(_xll.qlRateHelperPillarDate(K23,Trigger),"--")</f>
        <v>42907</v>
      </c>
      <c r="T23" s="4" t="str">
        <f t="shared" si="0"/>
        <v>BasOIS</v>
      </c>
      <c r="U23" s="4" t="str">
        <v>obj_00275</v>
      </c>
      <c r="V23" s="4" t="str">
        <f>IFERROR(_xll.qlRateHelperQuoteName(U23,Trigger),"")</f>
        <v>USDAM3L7Y_Quote</v>
      </c>
      <c r="W23" s="75">
        <f>IFERROR(_xll.qlRateHelperRate(U23,Trigger),"")</f>
        <v>1.474E-2</v>
      </c>
      <c r="X23" s="115" t="str">
        <f>IF(ISERROR(_xll.qlSwapRateHelperSpread($U23)),IF(ISERROR(_xll.qlFuturesRateHelperConvexityAdjustment($U23)),"",_xll.qlFuturesRateHelperConvexityAdjustment($U23)),_xll.qlSwapRateHelperSpread($U23))</f>
        <v/>
      </c>
      <c r="Y23" s="5">
        <f>IFERROR(_xll.qlRateHelperEarliestDate(U23,Trigger),"")</f>
        <v>42450</v>
      </c>
      <c r="Z23" s="5">
        <f>IFERROR(_xll.qlRateHelperPillarDate(U23,Trigger),"")</f>
        <v>45006</v>
      </c>
      <c r="AA23" s="83">
        <v>0.92243299862366612</v>
      </c>
      <c r="AC23" s="208" t="s">
        <v>179</v>
      </c>
      <c r="AD23" s="213">
        <f>_xll.qlOvernightIndexedSwapFairRate(AC22,Trigger)</f>
        <v>2.1479999999986964E-2</v>
      </c>
      <c r="AE23" s="234">
        <f>AD23-AD9</f>
        <v>-1.3038181645441682E-14</v>
      </c>
      <c r="AF23" s="216"/>
      <c r="AG23" s="198">
        <v>44277</v>
      </c>
      <c r="AH23" s="261">
        <v>4.5468594386843756E-3</v>
      </c>
      <c r="AI23" s="261">
        <v>1</v>
      </c>
      <c r="AJ23" s="198">
        <v>44186</v>
      </c>
      <c r="AK23" s="198">
        <v>44277</v>
      </c>
      <c r="AL23" s="200">
        <v>91</v>
      </c>
      <c r="AM23" s="201" t="str">
        <v>FedFundsON Actual/360</v>
      </c>
      <c r="AN23" s="200">
        <v>0</v>
      </c>
      <c r="AO23" s="198">
        <v>44274</v>
      </c>
      <c r="AP23" s="200" t="str">
        <v>Actual/360</v>
      </c>
      <c r="AQ23" s="202">
        <v>0.25277777777777777</v>
      </c>
      <c r="AR23" s="203">
        <v>1.7987575801388739E-2</v>
      </c>
      <c r="AS23" s="245">
        <f>_xll.qlDayCounterYearFraction("actual/365 (fixed)",Evaluationdate,AJ23,,,Trigger)</f>
        <v>4.7671232876712333</v>
      </c>
      <c r="AT23" s="246">
        <f>_xll.qlDayCounterYearFraction("actual/365 (fixed)",Evaluationdate,AK23,,,Trigger)</f>
        <v>5.0164383561643833</v>
      </c>
      <c r="AU23" s="246">
        <f>_xll.qlDayCounterYearFraction(AP23,AJ23,AK23,,,Trigger)</f>
        <v>0.25277777777777777</v>
      </c>
      <c r="AV23" s="247">
        <f>_xll.qlYieldTSDiscount("USDON",AJ23,,Trigger)</f>
        <v>0.95629108035089161</v>
      </c>
      <c r="AW23" s="247">
        <f>_xll.qlYieldTSDiscount("USDON",AK23,,Trigger)</f>
        <v>0.9528268256178275</v>
      </c>
      <c r="AX23" s="203">
        <f t="shared" si="2"/>
        <v>5.9263270422406647E-7</v>
      </c>
      <c r="AY23" s="203">
        <f t="shared" si="3"/>
        <v>-6.968314814059795E-7</v>
      </c>
      <c r="AZ23" s="201" t="b">
        <f t="shared" si="4"/>
        <v>1</v>
      </c>
      <c r="BA23" s="195">
        <f t="shared" si="5"/>
        <v>1.8013247438534823E-2</v>
      </c>
      <c r="BB23" s="248">
        <f t="shared" si="6"/>
        <v>0</v>
      </c>
      <c r="BC23" s="248">
        <f t="shared" si="7"/>
        <v>0</v>
      </c>
      <c r="BD23" s="193"/>
      <c r="BE23" s="193" t="s">
        <v>100</v>
      </c>
      <c r="BF23" s="193" t="s">
        <v>65</v>
      </c>
      <c r="BG23" s="193" t="str">
        <f>Currency&amp;BE23&amp;BF23&amp;QuoteSuffix</f>
        <v>USDOIS17M_Quote</v>
      </c>
      <c r="BH23" s="252">
        <f>Evaluationdate</f>
        <v>42446</v>
      </c>
      <c r="BI23" s="252">
        <f>_xll.qlSwapStartDate(BO23,Trigger)</f>
        <v>42450</v>
      </c>
      <c r="BJ23" s="252">
        <f>_xll.qlSwapMaturityDate(BO23,Trigger)</f>
        <v>42968</v>
      </c>
      <c r="BK23" s="195">
        <f>_xll.qlOvernightIndexedSwapFairRate(BO23,Trigger)</f>
        <v>4.7842769126165098E-3</v>
      </c>
      <c r="BL23" s="195">
        <f>_xll.qlQuoteValue(BG23)</f>
        <v>5.4499999999999991E-3</v>
      </c>
      <c r="BM23" s="217">
        <f t="shared" si="8"/>
        <v>6.6572308738348935</v>
      </c>
      <c r="BO23" s="50" t="str">
        <f>_xll.qlMakeOIS(,2,IF(BF23="SW","1W",BF23),UPPER(Currency)&amp;"FedFunds",,$BQ$4,$BR$4,,Permanent,Trigger,ObjectOverwrite)</f>
        <v>obj_00414#0311</v>
      </c>
    </row>
    <row r="24" spans="1:68" ht="11.25" customHeight="1" x14ac:dyDescent="0.2">
      <c r="A24" s="63" t="s">
        <v>100</v>
      </c>
      <c r="B24" s="64" t="s">
        <v>62</v>
      </c>
      <c r="C24" s="65">
        <f t="shared" si="14"/>
        <v>2</v>
      </c>
      <c r="D24" s="136"/>
      <c r="E24" s="66" t="str">
        <f t="shared" si="11"/>
        <v>USDFedFunds</v>
      </c>
      <c r="F24" s="68" t="str">
        <f t="shared" si="12"/>
        <v>USDOIS14M_Quote</v>
      </c>
      <c r="G24" s="136"/>
      <c r="H24" s="69"/>
      <c r="J24" s="11" t="str">
        <f t="shared" si="9"/>
        <v>OIS</v>
      </c>
      <c r="K24" s="105" t="str">
        <f t="shared" si="10"/>
        <v>--</v>
      </c>
      <c r="L24" s="108" t="str">
        <f>IFERROR(_xll.qlRateHelperQuoteName(K24,Trigger),"--")</f>
        <v>--</v>
      </c>
      <c r="M24" s="109" t="str">
        <f>IFERROR(_xll.qlRateHelperQuoteValue($K24,Trigger),"--")</f>
        <v>--</v>
      </c>
      <c r="N24" s="108" t="b">
        <v>0</v>
      </c>
      <c r="O24" s="105">
        <v>50</v>
      </c>
      <c r="P24" s="105">
        <v>1</v>
      </c>
      <c r="Q24" s="110" t="str">
        <f>IFERROR(_xll.qlRateHelperEarliestDate(K24,Trigger),"--")</f>
        <v>--</v>
      </c>
      <c r="R24" s="110" t="str">
        <f>IFERROR(_xll.qlRateHelperPillarDate(K24,Trigger),"--")</f>
        <v>--</v>
      </c>
      <c r="T24" s="4" t="str">
        <f t="shared" si="0"/>
        <v>BasOIS</v>
      </c>
      <c r="U24" s="4" t="str">
        <v>obj_00272</v>
      </c>
      <c r="V24" s="4" t="str">
        <f>IFERROR(_xll.qlRateHelperQuoteName(U24,Trigger),"")</f>
        <v>USDAM3L10Y_Quote</v>
      </c>
      <c r="W24" s="75">
        <f>IFERROR(_xll.qlRateHelperRate(U24,Trigger),"")</f>
        <v>1.7000000000000001E-2</v>
      </c>
      <c r="X24" s="115" t="str">
        <f>IF(ISERROR(_xll.qlSwapRateHelperSpread($U24)),IF(ISERROR(_xll.qlFuturesRateHelperConvexityAdjustment($U24)),"",_xll.qlFuturesRateHelperConvexityAdjustment($U24)),_xll.qlSwapRateHelperSpread($U24))</f>
        <v/>
      </c>
      <c r="Y24" s="5">
        <f>IFERROR(_xll.qlRateHelperEarliestDate(U24,Trigger),"")</f>
        <v>42450</v>
      </c>
      <c r="Z24" s="5">
        <f>IFERROR(_xll.qlRateHelperPillarDate(U24,Trigger),"")</f>
        <v>46104</v>
      </c>
      <c r="AA24" s="83">
        <v>0.87102176813025789</v>
      </c>
      <c r="AC24" s="208" t="s">
        <v>180</v>
      </c>
      <c r="AD24" s="213">
        <f>_xll.qlOvernightIndexedSwapFairSpread(AC22,Trigger)</f>
        <v>3.630000000013036E-3</v>
      </c>
      <c r="AE24" s="234">
        <f>AD24-AD13</f>
        <v>1.3036446921965705E-14</v>
      </c>
      <c r="AF24" s="216"/>
      <c r="AG24" s="198">
        <v>44368</v>
      </c>
      <c r="AH24" s="261">
        <v>4.648674546090685E-3</v>
      </c>
      <c r="AI24" s="261">
        <v>1</v>
      </c>
      <c r="AJ24" s="198">
        <v>44277</v>
      </c>
      <c r="AK24" s="198">
        <v>44368</v>
      </c>
      <c r="AL24" s="200">
        <v>91</v>
      </c>
      <c r="AM24" s="201" t="str">
        <v>FedFundsON Actual/360</v>
      </c>
      <c r="AN24" s="200">
        <v>0</v>
      </c>
      <c r="AO24" s="198">
        <v>44365</v>
      </c>
      <c r="AP24" s="200" t="str">
        <v>Actual/360</v>
      </c>
      <c r="AQ24" s="202">
        <v>0.25277777777777777</v>
      </c>
      <c r="AR24" s="203">
        <v>1.8390360841677438E-2</v>
      </c>
      <c r="AS24" s="245">
        <f>_xll.qlDayCounterYearFraction("actual/365 (fixed)",Evaluationdate,AJ24,,,Trigger)</f>
        <v>5.0164383561643833</v>
      </c>
      <c r="AT24" s="246">
        <f>_xll.qlDayCounterYearFraction("actual/365 (fixed)",Evaluationdate,AK24,,,Trigger)</f>
        <v>5.2657534246575342</v>
      </c>
      <c r="AU24" s="246">
        <f>_xll.qlDayCounterYearFraction(AP24,AJ24,AK24,,,Trigger)</f>
        <v>0.25277777777777777</v>
      </c>
      <c r="AV24" s="247">
        <f>_xll.qlYieldTSDiscount("USDON",AJ24,,Trigger)</f>
        <v>0.9528268256178275</v>
      </c>
      <c r="AW24" s="247">
        <f>_xll.qlYieldTSDiscount("USDON",AK24,,Trigger)</f>
        <v>0.94927843355701857</v>
      </c>
      <c r="AX24" s="203">
        <f t="shared" si="2"/>
        <v>6.2362686895498581E-7</v>
      </c>
      <c r="AY24" s="203">
        <f t="shared" si="3"/>
        <v>-6.9505512456657925E-7</v>
      </c>
      <c r="AZ24" s="201" t="b">
        <f t="shared" si="4"/>
        <v>1</v>
      </c>
      <c r="BA24" s="195">
        <f t="shared" si="5"/>
        <v>1.8417647616977079E-2</v>
      </c>
      <c r="BB24" s="248">
        <f t="shared" si="6"/>
        <v>0</v>
      </c>
      <c r="BC24" s="248">
        <f t="shared" si="7"/>
        <v>0</v>
      </c>
      <c r="BD24" s="193"/>
      <c r="BE24" s="193" t="s">
        <v>100</v>
      </c>
      <c r="BF24" s="193" t="s">
        <v>66</v>
      </c>
      <c r="BG24" s="193" t="str">
        <f>Currency&amp;BE24&amp;BF24&amp;QuoteSuffix</f>
        <v>USDOIS18M_Quote</v>
      </c>
      <c r="BH24" s="252">
        <f>Evaluationdate</f>
        <v>42446</v>
      </c>
      <c r="BI24" s="252">
        <f>_xll.qlSwapStartDate(BO24,Trigger)</f>
        <v>42450</v>
      </c>
      <c r="BJ24" s="252">
        <f>_xll.qlSwapMaturityDate(BO24,Trigger)</f>
        <v>42999</v>
      </c>
      <c r="BK24" s="195">
        <f>_xll.qlOvernightIndexedSwapFairRate(BO24,Trigger)</f>
        <v>4.9547450649057769E-3</v>
      </c>
      <c r="BL24" s="195">
        <f>_xll.qlQuoteValue(BG24)</f>
        <v>5.5500000000000002E-3</v>
      </c>
      <c r="BM24" s="217">
        <f t="shared" si="8"/>
        <v>5.9525493509422329</v>
      </c>
      <c r="BO24" s="50" t="str">
        <f>_xll.qlMakeOIS(,2,IF(BF24="SW","1W",BF24),UPPER(Currency)&amp;"FedFunds",,$BQ$4,$BR$4,,Permanent,Trigger,ObjectOverwrite)</f>
        <v>obj_00413#0311</v>
      </c>
    </row>
    <row r="25" spans="1:68" ht="11.25" customHeight="1" x14ac:dyDescent="0.2">
      <c r="A25" s="63" t="s">
        <v>100</v>
      </c>
      <c r="B25" s="64" t="s">
        <v>63</v>
      </c>
      <c r="C25" s="65">
        <f t="shared" si="14"/>
        <v>2</v>
      </c>
      <c r="D25" s="136"/>
      <c r="E25" s="66" t="str">
        <f t="shared" si="11"/>
        <v>USDFedFunds</v>
      </c>
      <c r="F25" s="68" t="str">
        <f t="shared" si="12"/>
        <v>USDOIS15M_Quote</v>
      </c>
      <c r="G25" s="136"/>
      <c r="H25" s="69" t="str">
        <f>_xll.qlOISRateHelper(,C25,B25,F25,$E25,,Permanent,Trigger,ObjectOverwrite)</f>
        <v>obj_00307#0307</v>
      </c>
      <c r="J25" s="11" t="str">
        <f t="shared" si="9"/>
        <v>OIS</v>
      </c>
      <c r="K25" s="105" t="str">
        <f t="shared" si="10"/>
        <v>--</v>
      </c>
      <c r="L25" s="108" t="str">
        <f>IFERROR(_xll.qlRateHelperQuoteName(K25,Trigger),"--")</f>
        <v>--</v>
      </c>
      <c r="M25" s="109" t="str">
        <f>IFERROR(_xll.qlRateHelperQuoteValue($K25,Trigger),"--")</f>
        <v>--</v>
      </c>
      <c r="N25" s="108" t="b">
        <v>0</v>
      </c>
      <c r="O25" s="105">
        <v>50</v>
      </c>
      <c r="P25" s="105">
        <v>1</v>
      </c>
      <c r="Q25" s="110" t="str">
        <f>IFERROR(_xll.qlRateHelperEarliestDate(K25,Trigger),"--")</f>
        <v>--</v>
      </c>
      <c r="R25" s="110" t="str">
        <f>IFERROR(_xll.qlRateHelperPillarDate(K25,Trigger),"--")</f>
        <v>--</v>
      </c>
      <c r="T25" s="4" t="str">
        <f t="shared" si="0"/>
        <v>BasOIS</v>
      </c>
      <c r="U25" s="4" t="str">
        <v>obj_003f1</v>
      </c>
      <c r="V25" s="4" t="str">
        <f>IFERROR(_xll.qlRateHelperQuoteName(U25,Trigger),"")</f>
        <v>USDAM3L12Y_Quote</v>
      </c>
      <c r="W25" s="75">
        <f>IFERROR(_xll.qlRateHelperRate(U25,Trigger),"")</f>
        <v>1.8149999999999999E-2</v>
      </c>
      <c r="X25" s="115" t="str">
        <f>IF(ISERROR(_xll.qlSwapRateHelperSpread($U25)),IF(ISERROR(_xll.qlFuturesRateHelperConvexityAdjustment($U25)),"",_xll.qlFuturesRateHelperConvexityAdjustment($U25)),_xll.qlSwapRateHelperSpread($U25))</f>
        <v/>
      </c>
      <c r="Y25" s="5">
        <f>IFERROR(_xll.qlRateHelperEarliestDate(U25,Trigger),"")</f>
        <v>42450</v>
      </c>
      <c r="Z25" s="5">
        <f>IFERROR(_xll.qlRateHelperPillarDate(U25,Trigger),"")</f>
        <v>46833</v>
      </c>
      <c r="AA25" s="83">
        <v>0.83518154058536243</v>
      </c>
      <c r="AC25" s="208"/>
      <c r="AD25" s="213"/>
      <c r="AE25" s="199"/>
      <c r="AG25" s="198">
        <v>44460</v>
      </c>
      <c r="AH25" s="261">
        <v>4.8878579286089864E-3</v>
      </c>
      <c r="AI25" s="261">
        <v>1</v>
      </c>
      <c r="AJ25" s="198">
        <v>44368</v>
      </c>
      <c r="AK25" s="198">
        <v>44460</v>
      </c>
      <c r="AL25" s="200">
        <v>92</v>
      </c>
      <c r="AM25" s="201" t="str">
        <v>FedFundsON Actual/360</v>
      </c>
      <c r="AN25" s="200">
        <v>0</v>
      </c>
      <c r="AO25" s="198">
        <v>44459</v>
      </c>
      <c r="AP25" s="200" t="str">
        <v>Actual/360</v>
      </c>
      <c r="AQ25" s="202">
        <v>0.25555555555555554</v>
      </c>
      <c r="AR25" s="203">
        <v>1.9126400590209078E-2</v>
      </c>
      <c r="AS25" s="245">
        <f>_xll.qlDayCounterYearFraction("actual/365 (fixed)",Evaluationdate,AJ25,,,Trigger)</f>
        <v>5.2657534246575342</v>
      </c>
      <c r="AT25" s="246">
        <f>_xll.qlDayCounterYearFraction("actual/365 (fixed)",Evaluationdate,AK25,,,Trigger)</f>
        <v>5.5178082191780824</v>
      </c>
      <c r="AU25" s="246">
        <f>_xll.qlDayCounterYearFraction(AP25,AJ25,AK25,,,Trigger)</f>
        <v>0.25555555555555554</v>
      </c>
      <c r="AV25" s="247">
        <f>_xll.qlYieldTSDiscount("USDON",AJ25,,Trigger)</f>
        <v>0.94927843355701857</v>
      </c>
      <c r="AW25" s="247">
        <f>_xll.qlYieldTSDiscount("USDON",AK25,,Trigger)</f>
        <v>0.94560958415275731</v>
      </c>
      <c r="AX25" s="203">
        <f t="shared" si="2"/>
        <v>6.6908737748163345E-7</v>
      </c>
      <c r="AY25" s="203">
        <f t="shared" si="3"/>
        <v>-8.8490104133143177E-5</v>
      </c>
      <c r="AZ25" s="201" t="b">
        <f t="shared" si="4"/>
        <v>1</v>
      </c>
      <c r="BA25" s="195">
        <f t="shared" si="5"/>
        <v>1.8812129575102397E-2</v>
      </c>
      <c r="BB25" s="248">
        <f t="shared" si="6"/>
        <v>0</v>
      </c>
      <c r="BC25" s="248">
        <f t="shared" si="7"/>
        <v>0</v>
      </c>
      <c r="BD25" s="193"/>
      <c r="BE25" s="193" t="s">
        <v>100</v>
      </c>
      <c r="BF25" s="193" t="s">
        <v>67</v>
      </c>
      <c r="BG25" s="193" t="str">
        <f>Currency&amp;BE25&amp;BF25&amp;QuoteSuffix</f>
        <v>USDOIS19M_Quote</v>
      </c>
      <c r="BH25" s="252">
        <f>Evaluationdate</f>
        <v>42446</v>
      </c>
      <c r="BI25" s="252">
        <f>_xll.qlSwapStartDate(BO25,Trigger)</f>
        <v>42450</v>
      </c>
      <c r="BJ25" s="252">
        <f>_xll.qlSwapMaturityDate(BO25,Trigger)</f>
        <v>43031</v>
      </c>
      <c r="BK25" s="195">
        <f>_xll.qlOvernightIndexedSwapFairRate(BO25,Trigger)</f>
        <v>5.1492849184860846E-3</v>
      </c>
      <c r="BL25" s="195">
        <f>_xll.qlQuoteValue(BG25)</f>
        <v>5.6499999999999996E-3</v>
      </c>
      <c r="BM25" s="217">
        <f t="shared" si="8"/>
        <v>5.0071508151391511</v>
      </c>
      <c r="BO25" s="50" t="str">
        <f>_xll.qlMakeOIS(,2,IF(BF25="SW","1W",BF25),UPPER(Currency)&amp;"FedFunds",,$BQ$4,$BR$4,,Permanent,Trigger,ObjectOverwrite)</f>
        <v>obj_00412#0311</v>
      </c>
    </row>
    <row r="26" spans="1:68" ht="11.25" customHeight="1" x14ac:dyDescent="0.2">
      <c r="A26" s="63" t="s">
        <v>100</v>
      </c>
      <c r="B26" s="64" t="s">
        <v>64</v>
      </c>
      <c r="C26" s="65">
        <f t="shared" si="14"/>
        <v>2</v>
      </c>
      <c r="D26" s="136"/>
      <c r="E26" s="66" t="str">
        <f t="shared" si="11"/>
        <v>USDFedFunds</v>
      </c>
      <c r="F26" s="68" t="str">
        <f t="shared" si="12"/>
        <v>USDOIS16M_Quote</v>
      </c>
      <c r="G26" s="136"/>
      <c r="H26" s="69"/>
      <c r="J26" s="11" t="str">
        <f t="shared" si="9"/>
        <v>OIS</v>
      </c>
      <c r="K26" s="105" t="str">
        <f t="shared" si="10"/>
        <v>obj_002fc#0314</v>
      </c>
      <c r="L26" s="108" t="str">
        <f>IFERROR(_xll.qlRateHelperQuoteName(K26,Trigger),"--")</f>
        <v>USDOIS18M_Quote</v>
      </c>
      <c r="M26" s="109">
        <f>IFERROR(_xll.qlRateHelperQuoteValue($K26,Trigger),"--")</f>
        <v>5.7099999999999998E-3</v>
      </c>
      <c r="N26" s="108" t="b">
        <v>0</v>
      </c>
      <c r="O26" s="105">
        <v>50</v>
      </c>
      <c r="P26" s="105">
        <v>1</v>
      </c>
      <c r="Q26" s="110">
        <f>IFERROR(_xll.qlRateHelperEarliestDate(K26,Trigger),"--")</f>
        <v>42450</v>
      </c>
      <c r="R26" s="110">
        <f>IFERROR(_xll.qlRateHelperPillarDate(K26,Trigger),"--")</f>
        <v>42999</v>
      </c>
      <c r="T26" s="4" t="str">
        <f t="shared" si="0"/>
        <v>BasOIS</v>
      </c>
      <c r="U26" s="4" t="str">
        <v>obj_003ee</v>
      </c>
      <c r="V26" s="4" t="str">
        <f>IFERROR(_xll.qlRateHelperQuoteName(U26,Trigger),"")</f>
        <v>USDAM3L15Y_Quote</v>
      </c>
      <c r="W26" s="75">
        <f>IFERROR(_xll.qlRateHelperRate(U26,Trigger),"")</f>
        <v>1.9349999999999999E-2</v>
      </c>
      <c r="X26" s="115" t="str">
        <f>IF(ISERROR(_xll.qlSwapRateHelperSpread($U26)),IF(ISERROR(_xll.qlFuturesRateHelperConvexityAdjustment($U26)),"",_xll.qlFuturesRateHelperConvexityAdjustment($U26)),_xll.qlSwapRateHelperSpread($U26))</f>
        <v/>
      </c>
      <c r="Y26" s="5">
        <f>IFERROR(_xll.qlRateHelperEarliestDate(U26,Trigger),"")</f>
        <v>42450</v>
      </c>
      <c r="Z26" s="5">
        <f>IFERROR(_xll.qlRateHelperPillarDate(U26,Trigger),"")</f>
        <v>47928</v>
      </c>
      <c r="AA26" s="83">
        <v>0.78383118097088877</v>
      </c>
      <c r="AC26" s="198"/>
      <c r="AD26" s="230"/>
      <c r="AE26" s="230"/>
      <c r="AF26" s="232"/>
      <c r="AG26" s="198">
        <v>44551</v>
      </c>
      <c r="AH26" s="261">
        <v>4.8427658340671788E-3</v>
      </c>
      <c r="AI26" s="261">
        <v>1</v>
      </c>
      <c r="AJ26" s="198">
        <v>44460</v>
      </c>
      <c r="AK26" s="198">
        <v>44551</v>
      </c>
      <c r="AL26" s="200">
        <v>91</v>
      </c>
      <c r="AM26" s="201" t="str">
        <v>FedFundsON Actual/360</v>
      </c>
      <c r="AN26" s="200">
        <v>0</v>
      </c>
      <c r="AO26" s="198">
        <v>44550</v>
      </c>
      <c r="AP26" s="200" t="str">
        <v>Actual/360</v>
      </c>
      <c r="AQ26" s="202">
        <v>0.25277777777777777</v>
      </c>
      <c r="AR26" s="203">
        <v>1.9158194508397629E-2</v>
      </c>
      <c r="AS26" s="245">
        <f>_xll.qlDayCounterYearFraction("actual/365 (fixed)",Evaluationdate,AJ26,,,Trigger)</f>
        <v>5.5178082191780824</v>
      </c>
      <c r="AT26" s="246">
        <f>_xll.qlDayCounterYearFraction("actual/365 (fixed)",Evaluationdate,AK26,,,Trigger)</f>
        <v>5.7671232876712333</v>
      </c>
      <c r="AU26" s="246">
        <f>_xll.qlDayCounterYearFraction(AP26,AJ26,AK26,,,Trigger)</f>
        <v>0.25277777777777777</v>
      </c>
      <c r="AV26" s="247">
        <f>_xll.qlYieldTSDiscount("USDON",AJ26,,Trigger)</f>
        <v>0.94560958415275731</v>
      </c>
      <c r="AW26" s="247">
        <f>_xll.qlYieldTSDiscount("USDON",AK26,,Trigger)</f>
        <v>0.94190517754018077</v>
      </c>
      <c r="AX26" s="203">
        <f t="shared" si="2"/>
        <v>6.8595584041267676E-7</v>
      </c>
      <c r="AY26" s="203">
        <f t="shared" si="3"/>
        <v>-6.9505512456657925E-7</v>
      </c>
      <c r="AZ26" s="201" t="b">
        <f t="shared" si="4"/>
        <v>1</v>
      </c>
      <c r="BA26" s="195">
        <f t="shared" si="5"/>
        <v>1.9188673781456354E-2</v>
      </c>
      <c r="BB26" s="248">
        <f t="shared" si="6"/>
        <v>0</v>
      </c>
      <c r="BC26" s="248">
        <f t="shared" si="7"/>
        <v>0</v>
      </c>
      <c r="BD26" s="193"/>
      <c r="BE26" s="193" t="s">
        <v>100</v>
      </c>
      <c r="BF26" s="193" t="s">
        <v>68</v>
      </c>
      <c r="BG26" s="193" t="str">
        <f>Currency&amp;BE26&amp;BF26&amp;QuoteSuffix</f>
        <v>USDOIS20M_Quote</v>
      </c>
      <c r="BH26" s="252">
        <f>Evaluationdate</f>
        <v>42446</v>
      </c>
      <c r="BI26" s="252">
        <f>_xll.qlSwapStartDate(BO26,Trigger)</f>
        <v>42450</v>
      </c>
      <c r="BJ26" s="252">
        <f>_xll.qlSwapMaturityDate(BO26,Trigger)</f>
        <v>43060</v>
      </c>
      <c r="BK26" s="195">
        <f>_xll.qlOvernightIndexedSwapFairRate(BO26,Trigger)</f>
        <v>5.3329310123478146E-3</v>
      </c>
      <c r="BL26" s="195">
        <f>_xll.qlQuoteValue(BG26)</f>
        <v>5.7499999999999999E-3</v>
      </c>
      <c r="BM26" s="217">
        <f t="shared" si="8"/>
        <v>4.1706898765218536</v>
      </c>
      <c r="BO26" s="50" t="str">
        <f>_xll.qlMakeOIS(,2,IF(BF26="SW","1W",BF26),UPPER(Currency)&amp;"FedFunds",,$BQ$4,$BR$4,,Permanent,Trigger,ObjectOverwrite)</f>
        <v>obj_00411#0311</v>
      </c>
    </row>
    <row r="27" spans="1:68" ht="11.25" customHeight="1" x14ac:dyDescent="0.2">
      <c r="A27" s="63" t="s">
        <v>100</v>
      </c>
      <c r="B27" s="64" t="s">
        <v>65</v>
      </c>
      <c r="C27" s="65">
        <f t="shared" si="14"/>
        <v>2</v>
      </c>
      <c r="D27" s="136"/>
      <c r="E27" s="66" t="str">
        <f t="shared" si="11"/>
        <v>USDFedFunds</v>
      </c>
      <c r="F27" s="68" t="str">
        <f t="shared" si="12"/>
        <v>USDOIS17M_Quote</v>
      </c>
      <c r="G27" s="136"/>
      <c r="H27" s="69"/>
      <c r="J27" s="11" t="str">
        <f t="shared" si="9"/>
        <v>OIS</v>
      </c>
      <c r="K27" s="105" t="str">
        <f t="shared" si="10"/>
        <v>--</v>
      </c>
      <c r="L27" s="108" t="str">
        <f>IFERROR(_xll.qlRateHelperQuoteName(K27,Trigger),"--")</f>
        <v>--</v>
      </c>
      <c r="M27" s="109" t="str">
        <f>IFERROR(_xll.qlRateHelperQuoteValue($K27,Trigger),"--")</f>
        <v>--</v>
      </c>
      <c r="N27" s="108" t="b">
        <v>0</v>
      </c>
      <c r="O27" s="105">
        <v>50</v>
      </c>
      <c r="P27" s="105">
        <v>1</v>
      </c>
      <c r="Q27" s="110" t="str">
        <f>IFERROR(_xll.qlRateHelperEarliestDate(K27,Trigger),"--")</f>
        <v>--</v>
      </c>
      <c r="R27" s="110" t="str">
        <f>IFERROR(_xll.qlRateHelperPillarDate(K27,Trigger),"--")</f>
        <v>--</v>
      </c>
      <c r="T27" s="4" t="str">
        <f t="shared" si="0"/>
        <v>BasOIS</v>
      </c>
      <c r="U27" s="4" t="str">
        <v>obj_003f0</v>
      </c>
      <c r="V27" s="4" t="str">
        <f>IFERROR(_xll.qlRateHelperQuoteName(U27,Trigger),"")</f>
        <v>USDAM3L20Y_Quote</v>
      </c>
      <c r="W27" s="75">
        <f>IFERROR(_xll.qlRateHelperRate(U27,Trigger),"")</f>
        <v>2.0550000000000002E-2</v>
      </c>
      <c r="X27" s="115" t="str">
        <f>IF(ISERROR(_xll.qlSwapRateHelperSpread($U27)),IF(ISERROR(_xll.qlFuturesRateHelperConvexityAdjustment($U27)),"",_xll.qlFuturesRateHelperConvexityAdjustment($U27)),_xll.qlSwapRateHelperSpread($U27))</f>
        <v/>
      </c>
      <c r="Y27" s="5">
        <f>IFERROR(_xll.qlRateHelperEarliestDate(U27,Trigger),"")</f>
        <v>42450</v>
      </c>
      <c r="Z27" s="5">
        <f>IFERROR(_xll.qlRateHelperPillarDate(U27,Trigger),"")</f>
        <v>49755</v>
      </c>
      <c r="AA27" s="83">
        <v>0.70444991545312208</v>
      </c>
      <c r="AC27" s="198"/>
      <c r="AD27" s="230"/>
      <c r="AE27" s="230"/>
      <c r="AF27" s="232"/>
      <c r="AG27" s="198">
        <v>44641</v>
      </c>
      <c r="AH27" s="261">
        <v>4.982331518830636E-3</v>
      </c>
      <c r="AI27" s="261">
        <v>1</v>
      </c>
      <c r="AJ27" s="198">
        <v>44551</v>
      </c>
      <c r="AK27" s="198">
        <v>44641</v>
      </c>
      <c r="AL27" s="200">
        <v>90</v>
      </c>
      <c r="AM27" s="201" t="str">
        <v>FedFundsON Actual/360</v>
      </c>
      <c r="AN27" s="200">
        <v>0</v>
      </c>
      <c r="AO27" s="198">
        <v>44638</v>
      </c>
      <c r="AP27" s="200" t="str">
        <v>Actual/360</v>
      </c>
      <c r="AQ27" s="202">
        <v>0.25</v>
      </c>
      <c r="AR27" s="203">
        <v>1.9929326075322544E-2</v>
      </c>
      <c r="AS27" s="245">
        <f>_xll.qlDayCounterYearFraction("actual/365 (fixed)",Evaluationdate,AJ27,,,Trigger)</f>
        <v>5.7671232876712333</v>
      </c>
      <c r="AT27" s="246">
        <f>_xll.qlDayCounterYearFraction("actual/365 (fixed)",Evaluationdate,AK27,,,Trigger)</f>
        <v>6.0136986301369859</v>
      </c>
      <c r="AU27" s="246">
        <f>_xll.qlDayCounterYearFraction(AP27,AJ27,AK27,,,Trigger)</f>
        <v>0.25</v>
      </c>
      <c r="AV27" s="247">
        <f>_xll.qlYieldTSDiscount("USDON",AJ27,,Trigger)</f>
        <v>0.94190517754018077</v>
      </c>
      <c r="AW27" s="247">
        <f>_xll.qlYieldTSDiscount("USDON",AK27,,Trigger)</f>
        <v>0.93817265389339077</v>
      </c>
      <c r="AX27" s="203">
        <f t="shared" si="2"/>
        <v>7.0127948243483883E-7</v>
      </c>
      <c r="AY27" s="203">
        <f t="shared" si="3"/>
        <v>-1.049221265425615E-4</v>
      </c>
      <c r="AZ27" s="201" t="b">
        <f t="shared" si="4"/>
        <v>1</v>
      </c>
      <c r="BA27" s="195">
        <f t="shared" si="5"/>
        <v>1.9544015959856088E-2</v>
      </c>
      <c r="BB27" s="248">
        <f t="shared" si="6"/>
        <v>0</v>
      </c>
      <c r="BC27" s="248">
        <f t="shared" si="7"/>
        <v>0</v>
      </c>
      <c r="BD27" s="193"/>
      <c r="BE27" s="193" t="s">
        <v>100</v>
      </c>
      <c r="BF27" s="193" t="s">
        <v>69</v>
      </c>
      <c r="BG27" s="193" t="str">
        <f>Currency&amp;BE27&amp;BF27&amp;QuoteSuffix</f>
        <v>USDOIS21M_Quote</v>
      </c>
      <c r="BH27" s="252">
        <f>Evaluationdate</f>
        <v>42446</v>
      </c>
      <c r="BI27" s="252">
        <f>_xll.qlSwapStartDate(BO27,Trigger)</f>
        <v>42450</v>
      </c>
      <c r="BJ27" s="252">
        <f>_xll.qlSwapMaturityDate(BO27,Trigger)</f>
        <v>43090</v>
      </c>
      <c r="BK27" s="195">
        <f>_xll.qlOvernightIndexedSwapFairRate(BO27,Trigger)</f>
        <v>5.5233979640739511E-3</v>
      </c>
      <c r="BL27" s="195">
        <f>_xll.qlQuoteValue(BG27)</f>
        <v>5.8499999999999993E-3</v>
      </c>
      <c r="BM27" s="217">
        <f t="shared" si="8"/>
        <v>3.266020359260482</v>
      </c>
      <c r="BO27" s="50" t="str">
        <f>_xll.qlMakeOIS(,2,IF(BF27="SW","1W",BF27),UPPER(Currency)&amp;"FedFunds",,$BQ$4,$BR$4,,Permanent,Trigger,ObjectOverwrite)</f>
        <v>obj_00410#0311</v>
      </c>
    </row>
    <row r="28" spans="1:68" ht="11.25" customHeight="1" x14ac:dyDescent="0.2">
      <c r="A28" s="63" t="s">
        <v>100</v>
      </c>
      <c r="B28" s="64" t="s">
        <v>66</v>
      </c>
      <c r="C28" s="65">
        <f t="shared" si="14"/>
        <v>2</v>
      </c>
      <c r="D28" s="136"/>
      <c r="E28" s="66" t="str">
        <f t="shared" si="11"/>
        <v>USDFedFunds</v>
      </c>
      <c r="F28" s="68" t="str">
        <f t="shared" si="12"/>
        <v>USDOIS18M_Quote</v>
      </c>
      <c r="G28" s="136"/>
      <c r="H28" s="69" t="str">
        <f>_xll.qlOISRateHelper(,C28,B28,F28,$E28,,Permanent,Trigger,ObjectOverwrite)</f>
        <v>obj_002fc#0314</v>
      </c>
      <c r="J28" s="11" t="str">
        <f t="shared" si="9"/>
        <v>OIS</v>
      </c>
      <c r="K28" s="105" t="str">
        <f t="shared" si="10"/>
        <v>--</v>
      </c>
      <c r="L28" s="108" t="str">
        <f>IFERROR(_xll.qlRateHelperQuoteName(K28,Trigger),"--")</f>
        <v>--</v>
      </c>
      <c r="M28" s="109" t="str">
        <f>IFERROR(_xll.qlRateHelperQuoteValue($K28,Trigger),"--")</f>
        <v>--</v>
      </c>
      <c r="N28" s="108" t="b">
        <v>0</v>
      </c>
      <c r="O28" s="105">
        <v>50</v>
      </c>
      <c r="P28" s="105">
        <v>1</v>
      </c>
      <c r="Q28" s="110" t="str">
        <f>IFERROR(_xll.qlRateHelperEarliestDate(K28,Trigger),"--")</f>
        <v>--</v>
      </c>
      <c r="R28" s="110" t="str">
        <f>IFERROR(_xll.qlRateHelperPillarDate(K28,Trigger),"--")</f>
        <v>--</v>
      </c>
      <c r="T28" s="4" t="str">
        <f t="shared" si="0"/>
        <v>BasOIS</v>
      </c>
      <c r="U28" s="4" t="str">
        <v>obj_003ef</v>
      </c>
      <c r="V28" s="4" t="str">
        <f>IFERROR(_xll.qlRateHelperQuoteName(U28,Trigger),"")</f>
        <v>USDAM3L25Y_Quote</v>
      </c>
      <c r="W28" s="75">
        <f>IFERROR(_xll.qlRateHelperRate(U28,Trigger),"")</f>
        <v>2.1129999999999999E-2</v>
      </c>
      <c r="X28" s="115" t="str">
        <f>IF(ISERROR(_xll.qlSwapRateHelperSpread($U28)),IF(ISERROR(_xll.qlFuturesRateHelperConvexityAdjustment($U28)),"",_xll.qlFuturesRateHelperConvexityAdjustment($U28)),_xll.qlSwapRateHelperSpread($U28))</f>
        <v/>
      </c>
      <c r="Y28" s="5">
        <f>IFERROR(_xll.qlRateHelperEarliestDate(U28,Trigger),"")</f>
        <v>42450</v>
      </c>
      <c r="Z28" s="5">
        <f>IFERROR(_xll.qlRateHelperPillarDate(U28,Trigger),"")</f>
        <v>51581</v>
      </c>
      <c r="AA28" s="83">
        <v>0.63569449071255457</v>
      </c>
      <c r="AC28" s="198"/>
      <c r="AD28" s="230"/>
      <c r="AE28" s="230"/>
      <c r="AG28" s="198">
        <v>44733</v>
      </c>
      <c r="AH28" s="261">
        <v>5.1609054389813846E-3</v>
      </c>
      <c r="AI28" s="261">
        <v>1</v>
      </c>
      <c r="AJ28" s="198">
        <v>44641</v>
      </c>
      <c r="AK28" s="198">
        <v>44733</v>
      </c>
      <c r="AL28" s="200">
        <v>92</v>
      </c>
      <c r="AM28" s="201" t="str">
        <v>FedFundsON Actual/360</v>
      </c>
      <c r="AN28" s="200">
        <v>0</v>
      </c>
      <c r="AO28" s="198">
        <v>44732</v>
      </c>
      <c r="AP28" s="200" t="str">
        <v>Actual/360</v>
      </c>
      <c r="AQ28" s="202">
        <v>0.25555555555555554</v>
      </c>
      <c r="AR28" s="203">
        <v>2.019484736992716E-2</v>
      </c>
      <c r="AS28" s="245">
        <f>_xll.qlDayCounterYearFraction("actual/365 (fixed)",Evaluationdate,AJ28,,,Trigger)</f>
        <v>6.0136986301369859</v>
      </c>
      <c r="AT28" s="246">
        <f>_xll.qlDayCounterYearFraction("actual/365 (fixed)",Evaluationdate,AK28,,,Trigger)</f>
        <v>6.2657534246575342</v>
      </c>
      <c r="AU28" s="246">
        <f>_xll.qlDayCounterYearFraction(AP28,AJ28,AK28,,,Trigger)</f>
        <v>0.25555555555555554</v>
      </c>
      <c r="AV28" s="247">
        <f>_xll.qlYieldTSDiscount("USDON",AJ28,,Trigger)</f>
        <v>0.93817265389339077</v>
      </c>
      <c r="AW28" s="247">
        <f>_xll.qlYieldTSDiscount("USDON",AK28,,Trigger)</f>
        <v>0.93429149740480222</v>
      </c>
      <c r="AX28" s="203">
        <f t="shared" si="2"/>
        <v>7.6412481375424793E-7</v>
      </c>
      <c r="AY28" s="203">
        <f t="shared" si="3"/>
        <v>-8.8490104133143177E-5</v>
      </c>
      <c r="AZ28" s="201" t="b">
        <f t="shared" si="4"/>
        <v>1</v>
      </c>
      <c r="BA28" s="195">
        <f t="shared" si="5"/>
        <v>1.9885241675608796E-2</v>
      </c>
      <c r="BB28" s="248">
        <f t="shared" si="6"/>
        <v>0</v>
      </c>
      <c r="BC28" s="248">
        <f t="shared" si="7"/>
        <v>0</v>
      </c>
      <c r="BD28" s="193"/>
      <c r="BE28" s="193" t="s">
        <v>100</v>
      </c>
      <c r="BF28" s="193" t="s">
        <v>70</v>
      </c>
      <c r="BG28" s="193" t="str">
        <f>Currency&amp;BE28&amp;BF28&amp;QuoteSuffix</f>
        <v>USDOIS22M_Quote</v>
      </c>
      <c r="BH28" s="252">
        <f>Evaluationdate</f>
        <v>42446</v>
      </c>
      <c r="BI28" s="252">
        <f>_xll.qlSwapStartDate(BO28,Trigger)</f>
        <v>42450</v>
      </c>
      <c r="BJ28" s="252">
        <f>_xll.qlSwapMaturityDate(BO28,Trigger)</f>
        <v>43122</v>
      </c>
      <c r="BK28" s="195">
        <f>_xll.qlOvernightIndexedSwapFairRate(BO28,Trigger)</f>
        <v>5.7204645739370738E-3</v>
      </c>
      <c r="BL28" s="195">
        <f>_xll.qlQuoteValue(BG28)</f>
        <v>5.96E-3</v>
      </c>
      <c r="BM28" s="217">
        <f t="shared" si="8"/>
        <v>2.3953542606292619</v>
      </c>
      <c r="BO28" s="50" t="str">
        <f>_xll.qlMakeOIS(,2,IF(BF28="SW","1W",BF28),UPPER(Currency)&amp;"FedFunds",,$BQ$4,$BR$4,,Permanent,Trigger,ObjectOverwrite)</f>
        <v>obj_0040f#0311</v>
      </c>
    </row>
    <row r="29" spans="1:68" ht="11.25" customHeight="1" x14ac:dyDescent="0.2">
      <c r="A29" s="63" t="s">
        <v>100</v>
      </c>
      <c r="B29" s="64" t="s">
        <v>67</v>
      </c>
      <c r="C29" s="65">
        <f t="shared" si="14"/>
        <v>2</v>
      </c>
      <c r="D29" s="136"/>
      <c r="E29" s="66" t="str">
        <f t="shared" si="11"/>
        <v>USDFedFunds</v>
      </c>
      <c r="F29" s="68" t="str">
        <f t="shared" si="12"/>
        <v>USDOIS19M_Quote</v>
      </c>
      <c r="G29" s="136"/>
      <c r="H29" s="69"/>
      <c r="J29" s="11" t="str">
        <f t="shared" si="9"/>
        <v>OIS</v>
      </c>
      <c r="K29" s="105" t="str">
        <f t="shared" si="10"/>
        <v>obj_0030d#0304</v>
      </c>
      <c r="L29" s="108" t="str">
        <f>IFERROR(_xll.qlRateHelperQuoteName(K29,Trigger),"--")</f>
        <v>USDOIS21M_Quote</v>
      </c>
      <c r="M29" s="109">
        <f>IFERROR(_xll.qlRateHelperQuoteValue($K29,Trigger),"--")</f>
        <v>6.0299999999999998E-3</v>
      </c>
      <c r="N29" s="108" t="b">
        <v>0</v>
      </c>
      <c r="O29" s="105">
        <v>50</v>
      </c>
      <c r="P29" s="105">
        <v>1</v>
      </c>
      <c r="Q29" s="110">
        <f>IFERROR(_xll.qlRateHelperEarliestDate(K29,Trigger),"--")</f>
        <v>42450</v>
      </c>
      <c r="R29" s="110">
        <f>IFERROR(_xll.qlRateHelperPillarDate(K29,Trigger),"--")</f>
        <v>43090</v>
      </c>
      <c r="T29" s="4" t="str">
        <f t="shared" si="0"/>
        <v>BasOIS</v>
      </c>
      <c r="U29" s="4" t="str">
        <v>obj_003ed</v>
      </c>
      <c r="V29" s="4" t="str">
        <f>IFERROR(_xll.qlRateHelperQuoteName(U29,Trigger),"")</f>
        <v>USDAM3L30Y_Quote</v>
      </c>
      <c r="W29" s="75">
        <f>IFERROR(_xll.qlRateHelperRate(U29,Trigger),"")</f>
        <v>2.1480000000000003E-2</v>
      </c>
      <c r="X29" s="115" t="str">
        <f>IF(ISERROR(_xll.qlSwapRateHelperSpread($U29)),IF(ISERROR(_xll.qlFuturesRateHelperConvexityAdjustment($U29)),"",_xll.qlFuturesRateHelperConvexityAdjustment($U29)),_xll.qlSwapRateHelperSpread($U29))</f>
        <v/>
      </c>
      <c r="Y29" s="5">
        <f>IFERROR(_xll.qlRateHelperEarliestDate(U29,Trigger),"")</f>
        <v>42450</v>
      </c>
      <c r="Z29" s="5">
        <f>IFERROR(_xll.qlRateHelperPillarDate(U29,Trigger),"")</f>
        <v>53407</v>
      </c>
      <c r="AA29" s="83">
        <v>0.5741390551308887</v>
      </c>
      <c r="AC29" s="198"/>
      <c r="AD29" s="230"/>
      <c r="AE29" s="230"/>
      <c r="AG29" s="198">
        <v>44825</v>
      </c>
      <c r="AH29" s="261">
        <v>5.2440546876030072E-3</v>
      </c>
      <c r="AI29" s="261">
        <v>1</v>
      </c>
      <c r="AJ29" s="198">
        <v>44733</v>
      </c>
      <c r="AK29" s="198">
        <v>44825</v>
      </c>
      <c r="AL29" s="200">
        <v>92</v>
      </c>
      <c r="AM29" s="201" t="str">
        <v>FedFundsON Actual/360</v>
      </c>
      <c r="AN29" s="200">
        <v>0</v>
      </c>
      <c r="AO29" s="198">
        <v>44824</v>
      </c>
      <c r="AP29" s="200" t="str">
        <v>Actual/360</v>
      </c>
      <c r="AQ29" s="202">
        <v>0.25555555555555554</v>
      </c>
      <c r="AR29" s="203">
        <v>2.0520213994968291E-2</v>
      </c>
      <c r="AS29" s="245">
        <f>_xll.qlDayCounterYearFraction("actual/365 (fixed)",Evaluationdate,AJ29,,,Trigger)</f>
        <v>6.2657534246575342</v>
      </c>
      <c r="AT29" s="246">
        <f>_xll.qlDayCounterYearFraction("actual/365 (fixed)",Evaluationdate,AK29,,,Trigger)</f>
        <v>6.5178082191780824</v>
      </c>
      <c r="AU29" s="246">
        <f>_xll.qlDayCounterYearFraction(AP29,AJ29,AK29,,,Trigger)</f>
        <v>0.25555555555555554</v>
      </c>
      <c r="AV29" s="247">
        <f>_xll.qlYieldTSDiscount("USDON",AJ29,,Trigger)</f>
        <v>0.93429149740480222</v>
      </c>
      <c r="AW29" s="247">
        <f>_xll.qlYieldTSDiscount("USDON",AK29,,Trigger)</f>
        <v>0.93034900616067662</v>
      </c>
      <c r="AX29" s="203">
        <f t="shared" si="2"/>
        <v>7.961521136888517E-7</v>
      </c>
      <c r="AY29" s="203">
        <f t="shared" si="3"/>
        <v>-8.8490104133143177E-5</v>
      </c>
      <c r="AZ29" s="201" t="b">
        <f t="shared" si="4"/>
        <v>1</v>
      </c>
      <c r="BA29" s="195">
        <f t="shared" si="5"/>
        <v>2.0212099350640819E-2</v>
      </c>
      <c r="BB29" s="248">
        <f t="shared" si="6"/>
        <v>0</v>
      </c>
      <c r="BC29" s="248">
        <f t="shared" si="7"/>
        <v>0</v>
      </c>
      <c r="BD29" s="193"/>
      <c r="BE29" s="193" t="s">
        <v>100</v>
      </c>
      <c r="BF29" s="193" t="s">
        <v>71</v>
      </c>
      <c r="BG29" s="193" t="str">
        <f>Currency&amp;BE29&amp;BF29&amp;QuoteSuffix</f>
        <v>USDOIS23M_Quote</v>
      </c>
      <c r="BH29" s="252">
        <f>Evaluationdate</f>
        <v>42446</v>
      </c>
      <c r="BI29" s="252">
        <f>_xll.qlSwapStartDate(BO29,Trigger)</f>
        <v>42450</v>
      </c>
      <c r="BJ29" s="252">
        <f>_xll.qlSwapMaturityDate(BO29,Trigger)</f>
        <v>43152</v>
      </c>
      <c r="BK29" s="195">
        <f>_xll.qlOvernightIndexedSwapFairRate(BO29,Trigger)</f>
        <v>5.8945011163778109E-3</v>
      </c>
      <c r="BL29" s="195">
        <f>_xll.qlQuoteValue(BG29)</f>
        <v>6.0699999999999999E-3</v>
      </c>
      <c r="BM29" s="217">
        <f t="shared" si="8"/>
        <v>1.7549888362218893</v>
      </c>
      <c r="BO29" s="50" t="str">
        <f>_xll.qlMakeOIS(,2,IF(BF29="SW","1W",BF29),UPPER(Currency)&amp;"FedFunds",,$BQ$4,$BR$4,,Permanent,Trigger,ObjectOverwrite)</f>
        <v>obj_0040e#0311</v>
      </c>
    </row>
    <row r="30" spans="1:68" ht="11.25" customHeight="1" x14ac:dyDescent="0.2">
      <c r="A30" s="63" t="s">
        <v>100</v>
      </c>
      <c r="B30" s="64" t="s">
        <v>68</v>
      </c>
      <c r="C30" s="65">
        <f t="shared" si="14"/>
        <v>2</v>
      </c>
      <c r="D30" s="136"/>
      <c r="E30" s="66" t="str">
        <f t="shared" si="11"/>
        <v>USDFedFunds</v>
      </c>
      <c r="F30" s="68" t="str">
        <f t="shared" si="12"/>
        <v>USDOIS20M_Quote</v>
      </c>
      <c r="G30" s="136"/>
      <c r="H30" s="69"/>
      <c r="J30" s="11" t="str">
        <f t="shared" si="9"/>
        <v>OIS</v>
      </c>
      <c r="K30" s="105" t="str">
        <f t="shared" si="10"/>
        <v>--</v>
      </c>
      <c r="L30" s="108" t="str">
        <f>IFERROR(_xll.qlRateHelperQuoteName(K30,Trigger),"--")</f>
        <v>--</v>
      </c>
      <c r="M30" s="109" t="str">
        <f>IFERROR(_xll.qlRateHelperQuoteValue($K30,Trigger),"--")</f>
        <v>--</v>
      </c>
      <c r="N30" s="108" t="b">
        <v>0</v>
      </c>
      <c r="O30" s="105">
        <v>50</v>
      </c>
      <c r="P30" s="105">
        <v>1</v>
      </c>
      <c r="Q30" s="110" t="str">
        <f>IFERROR(_xll.qlRateHelperEarliestDate(K30,Trigger),"--")</f>
        <v>--</v>
      </c>
      <c r="R30" s="110" t="str">
        <f>IFERROR(_xll.qlRateHelperPillarDate(K30,Trigger),"--")</f>
        <v>--</v>
      </c>
      <c r="T30" s="4" t="str">
        <f t="shared" si="0"/>
        <v>OIS</v>
      </c>
      <c r="U30" s="4" t="str">
        <v>obj_00303</v>
      </c>
      <c r="V30" s="4" t="str">
        <f>IFERROR(_xll.qlRateHelperQuoteName(U30,Trigger),"")</f>
        <v>USDOIS40Y_Quote</v>
      </c>
      <c r="W30" s="75">
        <f>IFERROR(_xll.qlRateHelperRate(U30,Trigger),"")</f>
        <v>1.806E-2</v>
      </c>
      <c r="X30" s="115" t="str">
        <f>IF(ISERROR(_xll.qlSwapRateHelperSpread($U30)),IF(ISERROR(_xll.qlFuturesRateHelperConvexityAdjustment($U30)),"",_xll.qlFuturesRateHelperConvexityAdjustment($U30)),_xll.qlSwapRateHelperSpread($U30))</f>
        <v/>
      </c>
      <c r="Y30" s="5">
        <f>IFERROR(_xll.qlRateHelperEarliestDate(U30,Trigger),"")</f>
        <v>42450</v>
      </c>
      <c r="Z30" s="5">
        <f>IFERROR(_xll.qlRateHelperPillarDate(U30,Trigger),"")</f>
        <v>57060</v>
      </c>
      <c r="AA30" s="83">
        <v>0.47501160623032956</v>
      </c>
      <c r="AC30" s="198"/>
      <c r="AD30" s="230"/>
      <c r="AE30" s="230"/>
      <c r="AG30" s="198">
        <v>44916</v>
      </c>
      <c r="AH30" s="261">
        <v>5.1776468168506966E-3</v>
      </c>
      <c r="AI30" s="261">
        <v>1</v>
      </c>
      <c r="AJ30" s="198">
        <v>44825</v>
      </c>
      <c r="AK30" s="198">
        <v>44916</v>
      </c>
      <c r="AL30" s="200">
        <v>91</v>
      </c>
      <c r="AM30" s="201" t="str">
        <v>FedFundsON Actual/360</v>
      </c>
      <c r="AN30" s="200">
        <v>0</v>
      </c>
      <c r="AO30" s="198">
        <v>44915</v>
      </c>
      <c r="AP30" s="200" t="str">
        <v>Actual/360</v>
      </c>
      <c r="AQ30" s="202">
        <v>0.25277777777777777</v>
      </c>
      <c r="AR30" s="203">
        <v>2.0482998396332427E-2</v>
      </c>
      <c r="AS30" s="245">
        <f>_xll.qlDayCounterYearFraction("actual/365 (fixed)",Evaluationdate,AJ30,,,Trigger)</f>
        <v>6.5178082191780824</v>
      </c>
      <c r="AT30" s="246">
        <f>_xll.qlDayCounterYearFraction("actual/365 (fixed)",Evaluationdate,AK30,,,Trigger)</f>
        <v>6.7671232876712333</v>
      </c>
      <c r="AU30" s="246">
        <f>_xll.qlDayCounterYearFraction(AP30,AJ30,AK30,,,Trigger)</f>
        <v>0.25277777777777777</v>
      </c>
      <c r="AV30" s="247">
        <f>_xll.qlYieldTSDiscount("USDON",AJ30,,Trigger)</f>
        <v>0.93034900616067662</v>
      </c>
      <c r="AW30" s="247">
        <f>_xll.qlYieldTSDiscount("USDON",AK30,,Trigger)</f>
        <v>0.92639398367238579</v>
      </c>
      <c r="AX30" s="203">
        <f t="shared" si="2"/>
        <v>8.1027337448690511E-7</v>
      </c>
      <c r="AY30" s="203">
        <f t="shared" si="3"/>
        <v>-6.9505512456657925E-7</v>
      </c>
      <c r="AZ30" s="201" t="b">
        <f t="shared" si="4"/>
        <v>1</v>
      </c>
      <c r="BA30" s="195">
        <f t="shared" si="5"/>
        <v>2.0519404601696691E-2</v>
      </c>
      <c r="BB30" s="248">
        <f t="shared" si="6"/>
        <v>0</v>
      </c>
      <c r="BC30" s="248">
        <f t="shared" si="7"/>
        <v>0</v>
      </c>
      <c r="BD30" s="193"/>
      <c r="BE30" s="256" t="s">
        <v>100</v>
      </c>
      <c r="BF30" s="256" t="s">
        <v>72</v>
      </c>
      <c r="BG30" s="256" t="str">
        <f>Currency&amp;BE30&amp;BF30&amp;QuoteSuffix</f>
        <v>USDOIS2Y_Quote</v>
      </c>
      <c r="BH30" s="257">
        <f>Evaluationdate</f>
        <v>42446</v>
      </c>
      <c r="BI30" s="257">
        <f>_xll.qlSwapStartDate(BO30,Trigger)</f>
        <v>42450</v>
      </c>
      <c r="BJ30" s="257">
        <f>_xll.qlSwapMaturityDate(BO30,Trigger)</f>
        <v>43180</v>
      </c>
      <c r="BK30" s="258">
        <f>_xll.qlOvernightIndexedSwapFairRate(BO30,Trigger)</f>
        <v>6.0429864392466618E-3</v>
      </c>
      <c r="BL30" s="258">
        <f>_xll.qlQuoteValue(BG30)</f>
        <v>6.1599999999999997E-3</v>
      </c>
      <c r="BM30" s="259">
        <f t="shared" si="8"/>
        <v>1.1701356075333786</v>
      </c>
      <c r="BN30" s="260"/>
      <c r="BO30" s="260" t="str">
        <f>_xll.qlMakeOIS(,2,IF(BF30="SW","1W",BF30),UPPER(Currency)&amp;"FedFunds",,$BQ$4,$BR$4,,Permanent,Trigger,ObjectOverwrite)</f>
        <v>obj_0040d#0311</v>
      </c>
      <c r="BP30" s="260"/>
    </row>
    <row r="31" spans="1:68" ht="11.25" customHeight="1" x14ac:dyDescent="0.2">
      <c r="A31" s="63" t="s">
        <v>100</v>
      </c>
      <c r="B31" s="64" t="s">
        <v>69</v>
      </c>
      <c r="C31" s="65">
        <f t="shared" si="14"/>
        <v>2</v>
      </c>
      <c r="D31" s="136"/>
      <c r="E31" s="66" t="str">
        <f t="shared" si="11"/>
        <v>USDFedFunds</v>
      </c>
      <c r="F31" s="68" t="str">
        <f t="shared" si="12"/>
        <v>USDOIS21M_Quote</v>
      </c>
      <c r="G31" s="136"/>
      <c r="H31" s="69" t="str">
        <f>_xll.qlOISRateHelper(,C31,B31,F31,$E31,,Permanent,Trigger,ObjectOverwrite)</f>
        <v>obj_0030d#0304</v>
      </c>
      <c r="J31" s="11" t="str">
        <f t="shared" si="9"/>
        <v>OIS</v>
      </c>
      <c r="K31" s="105" t="str">
        <f t="shared" si="10"/>
        <v>--</v>
      </c>
      <c r="L31" s="108" t="str">
        <f>IFERROR(_xll.qlRateHelperQuoteName(K31,Trigger),"--")</f>
        <v>--</v>
      </c>
      <c r="M31" s="109" t="str">
        <f>IFERROR(_xll.qlRateHelperQuoteValue($K31,Trigger),"--")</f>
        <v>--</v>
      </c>
      <c r="N31" s="108" t="b">
        <v>0</v>
      </c>
      <c r="O31" s="105">
        <v>50</v>
      </c>
      <c r="P31" s="105">
        <v>1</v>
      </c>
      <c r="Q31" s="110" t="str">
        <f>IFERROR(_xll.qlRateHelperEarliestDate(K31,Trigger),"--")</f>
        <v>--</v>
      </c>
      <c r="R31" s="110" t="str">
        <f>IFERROR(_xll.qlRateHelperPillarDate(K31,Trigger),"--")</f>
        <v>--</v>
      </c>
      <c r="T31" s="4" t="str">
        <f t="shared" si="0"/>
        <v>OIS</v>
      </c>
      <c r="U31" s="4" t="str">
        <v>obj_0030a</v>
      </c>
      <c r="V31" s="4" t="str">
        <f>IFERROR(_xll.qlRateHelperQuoteName(U31,Trigger),"")</f>
        <v>USDOIS50Y_Quote</v>
      </c>
      <c r="W31" s="75">
        <f>IFERROR(_xll.qlRateHelperRate(U31,Trigger),"")</f>
        <v>1.7940000000000001E-2</v>
      </c>
      <c r="X31" s="115" t="str">
        <f>IF(ISERROR(_xll.qlSwapRateHelperSpread($U31)),IF(ISERROR(_xll.qlFuturesRateHelperConvexityAdjustment($U31)),"",_xll.qlFuturesRateHelperConvexityAdjustment($U31)),_xll.qlSwapRateHelperSpread($U31))</f>
        <v/>
      </c>
      <c r="Y31" s="5">
        <f>IFERROR(_xll.qlRateHelperEarliestDate(U31,Trigger),"")</f>
        <v>42450</v>
      </c>
      <c r="Z31" s="5">
        <f>IFERROR(_xll.qlRateHelperPillarDate(U31,Trigger),"")</f>
        <v>60713</v>
      </c>
      <c r="AA31" s="83">
        <v>0.39981692215149178</v>
      </c>
      <c r="AC31" s="198"/>
      <c r="AD31" s="230"/>
      <c r="AE31" s="230"/>
      <c r="AF31" s="216"/>
      <c r="AG31" s="198">
        <v>45006</v>
      </c>
      <c r="AH31" s="261">
        <v>5.2964686769686343E-3</v>
      </c>
      <c r="AI31" s="261">
        <v>1</v>
      </c>
      <c r="AJ31" s="198">
        <v>44916</v>
      </c>
      <c r="AK31" s="198">
        <v>45006</v>
      </c>
      <c r="AL31" s="200">
        <v>90</v>
      </c>
      <c r="AM31" s="201" t="str">
        <v>FedFundsON Actual/360</v>
      </c>
      <c r="AN31" s="200">
        <v>0</v>
      </c>
      <c r="AO31" s="198">
        <v>45005</v>
      </c>
      <c r="AP31" s="200" t="str">
        <v>Actual/360</v>
      </c>
      <c r="AQ31" s="202">
        <v>0.25</v>
      </c>
      <c r="AR31" s="203">
        <v>2.1185874707874537E-2</v>
      </c>
      <c r="AS31" s="245">
        <f>_xll.qlDayCounterYearFraction("actual/365 (fixed)",Evaluationdate,AJ31,,,Trigger)</f>
        <v>6.7671232876712333</v>
      </c>
      <c r="AT31" s="246">
        <f>_xll.qlDayCounterYearFraction("actual/365 (fixed)",Evaluationdate,AK31,,,Trigger)</f>
        <v>7.0136986301369859</v>
      </c>
      <c r="AU31" s="246">
        <f>_xll.qlDayCounterYearFraction(AP31,AJ31,AK31,,,Trigger)</f>
        <v>0.25</v>
      </c>
      <c r="AV31" s="247">
        <f>_xll.qlYieldTSDiscount("USDON",AJ31,,Trigger)</f>
        <v>0.92639398367238579</v>
      </c>
      <c r="AW31" s="247">
        <f>_xll.qlYieldTSDiscount("USDON",AK31,,Trigger)</f>
        <v>0.92243299862358474</v>
      </c>
      <c r="AX31" s="203">
        <f t="shared" si="2"/>
        <v>8.2287983552497715E-7</v>
      </c>
      <c r="AY31" s="203">
        <f t="shared" si="3"/>
        <v>-1.049221265425615E-4</v>
      </c>
      <c r="AZ31" s="201" t="b">
        <f t="shared" si="4"/>
        <v>1</v>
      </c>
      <c r="BA31" s="195">
        <f t="shared" si="5"/>
        <v>2.0806250436450326E-2</v>
      </c>
      <c r="BB31" s="248">
        <f t="shared" si="6"/>
        <v>0</v>
      </c>
      <c r="BC31" s="248">
        <f t="shared" si="7"/>
        <v>0</v>
      </c>
      <c r="BD31" s="193"/>
      <c r="BE31" s="193" t="s">
        <v>100</v>
      </c>
      <c r="BF31" s="193" t="s">
        <v>73</v>
      </c>
      <c r="BG31" s="193" t="str">
        <f>Currency&amp;BE31&amp;BF31&amp;QuoteSuffix</f>
        <v>USDOIS27M_Quote</v>
      </c>
      <c r="BH31" s="252">
        <f>Evaluationdate</f>
        <v>42446</v>
      </c>
      <c r="BI31" s="252">
        <f>_xll.qlSwapStartDate(BO31,Trigger)</f>
        <v>42450</v>
      </c>
      <c r="BJ31" s="252">
        <f>_xll.qlSwapMaturityDate(BO31,Trigger)</f>
        <v>43272</v>
      </c>
      <c r="BK31" s="195">
        <f>_xll.qlOvernightIndexedSwapFairRate(BO31,Trigger)</f>
        <v>6.4358176516904767E-3</v>
      </c>
      <c r="BL31" s="195">
        <f>_xll.qlQuoteValue(BG31)</f>
        <v>6.4600000000000005E-3</v>
      </c>
      <c r="BM31" s="217">
        <f t="shared" si="8"/>
        <v>0.24182348309523782</v>
      </c>
      <c r="BO31" s="50" t="str">
        <f>_xll.qlMakeOIS(,2,IF(BF31="SW","1W",BF31),UPPER(Currency)&amp;"FedFunds",,$BQ$4,$BR$4,,Permanent,Trigger,ObjectOverwrite)</f>
        <v>obj_0040c#0311</v>
      </c>
    </row>
    <row r="32" spans="1:68" ht="11.25" customHeight="1" x14ac:dyDescent="0.2">
      <c r="A32" s="63" t="s">
        <v>100</v>
      </c>
      <c r="B32" s="64" t="s">
        <v>70</v>
      </c>
      <c r="C32" s="65">
        <f t="shared" si="14"/>
        <v>2</v>
      </c>
      <c r="D32" s="136"/>
      <c r="E32" s="66" t="str">
        <f t="shared" si="11"/>
        <v>USDFedFunds</v>
      </c>
      <c r="F32" s="68" t="str">
        <f t="shared" si="12"/>
        <v>USDOIS22M_Quote</v>
      </c>
      <c r="G32" s="136"/>
      <c r="H32" s="69"/>
      <c r="J32" s="11" t="str">
        <f t="shared" si="9"/>
        <v>OIS</v>
      </c>
      <c r="K32" s="105" t="str">
        <f t="shared" si="10"/>
        <v>obj_00301#0312</v>
      </c>
      <c r="L32" s="108" t="str">
        <f>IFERROR(_xll.qlRateHelperQuoteName(K32,Trigger),"--")</f>
        <v>USDOIS2Y_Quote</v>
      </c>
      <c r="M32" s="109">
        <f>IFERROR(_xll.qlRateHelperQuoteValue($K32,Trigger),"--")</f>
        <v>6.3499999999999997E-3</v>
      </c>
      <c r="N32" s="108" t="b">
        <v>1</v>
      </c>
      <c r="O32" s="105">
        <v>50</v>
      </c>
      <c r="P32" s="105">
        <v>1</v>
      </c>
      <c r="Q32" s="110">
        <f>IFERROR(_xll.qlRateHelperEarliestDate(K32,Trigger),"--")</f>
        <v>42450</v>
      </c>
      <c r="R32" s="110">
        <f>IFERROR(_xll.qlRateHelperPillarDate(K32,Trigger),"--")</f>
        <v>43180</v>
      </c>
      <c r="T32" s="4" t="str">
        <f t="shared" si="0"/>
        <v/>
      </c>
      <c r="U32" s="4" t="e">
        <v>#N/A</v>
      </c>
      <c r="V32" s="4" t="str">
        <f>IFERROR(_xll.qlRateHelperQuoteName(U32,Trigger),"")</f>
        <v/>
      </c>
      <c r="W32" s="75" t="str">
        <f>IFERROR(_xll.qlRateHelperRate(U32,Trigger),"")</f>
        <v/>
      </c>
      <c r="X32" s="115" t="str">
        <f>IF(ISERROR(_xll.qlSwapRateHelperSpread($U32)),IF(ISERROR(_xll.qlFuturesRateHelperConvexityAdjustment($U32)),"",_xll.qlFuturesRateHelperConvexityAdjustment($U32)),_xll.qlSwapRateHelperSpread($U32))</f>
        <v/>
      </c>
      <c r="Y32" s="5" t="str">
        <f>IFERROR(_xll.qlRateHelperEarliestDate(U32,Trigger),"")</f>
        <v/>
      </c>
      <c r="Z32" s="5" t="str">
        <f>IFERROR(_xll.qlRateHelperPillarDate(U32,Trigger),"")</f>
        <v/>
      </c>
      <c r="AA32" s="83" t="e">
        <v>#N/A</v>
      </c>
      <c r="AC32" s="198"/>
      <c r="AD32" s="230"/>
      <c r="AE32" s="230"/>
      <c r="AF32" s="231"/>
      <c r="AG32" s="198">
        <v>45098</v>
      </c>
      <c r="AH32" s="261">
        <v>5.4650343933375116E-3</v>
      </c>
      <c r="AI32" s="261">
        <v>1</v>
      </c>
      <c r="AJ32" s="198">
        <v>45006</v>
      </c>
      <c r="AK32" s="198">
        <v>45098</v>
      </c>
      <c r="AL32" s="200">
        <v>92</v>
      </c>
      <c r="AM32" s="201" t="str">
        <v>FedFundsON Actual/360</v>
      </c>
      <c r="AN32" s="200">
        <v>0</v>
      </c>
      <c r="AO32" s="198">
        <v>45097</v>
      </c>
      <c r="AP32" s="200" t="str">
        <v>Actual/360</v>
      </c>
      <c r="AQ32" s="202">
        <v>0.25555555555555554</v>
      </c>
      <c r="AR32" s="203">
        <v>2.1384917191320699E-2</v>
      </c>
      <c r="AS32" s="245">
        <f>_xll.qlDayCounterYearFraction("actual/365 (fixed)",Evaluationdate,AJ32,,,Trigger)</f>
        <v>7.0136986301369859</v>
      </c>
      <c r="AT32" s="246">
        <f>_xll.qlDayCounterYearFraction("actual/365 (fixed)",Evaluationdate,AK32,,,Trigger)</f>
        <v>7.2657534246575342</v>
      </c>
      <c r="AU32" s="246">
        <f>_xll.qlDayCounterYearFraction(AP32,AJ32,AK32,,,Trigger)</f>
        <v>0.25555555555555554</v>
      </c>
      <c r="AV32" s="247">
        <f>_xll.qlYieldTSDiscount("USDON",AJ32,,Trigger)</f>
        <v>0.92243299862358474</v>
      </c>
      <c r="AW32" s="247">
        <f>_xll.qlYieldTSDiscount("USDON",AK32,,Trigger)</f>
        <v>0.91833750379518808</v>
      </c>
      <c r="AX32" s="203">
        <f t="shared" si="2"/>
        <v>8.911897400372562E-7</v>
      </c>
      <c r="AY32" s="203">
        <f t="shared" si="3"/>
        <v>-8.8490104133143177E-5</v>
      </c>
      <c r="AZ32" s="201" t="b">
        <f t="shared" si="4"/>
        <v>1</v>
      </c>
      <c r="BA32" s="195">
        <f t="shared" si="5"/>
        <v>2.1080936352135454E-2</v>
      </c>
      <c r="BB32" s="248">
        <f t="shared" si="6"/>
        <v>0</v>
      </c>
      <c r="BC32" s="248">
        <f t="shared" si="7"/>
        <v>0</v>
      </c>
      <c r="BD32" s="193"/>
      <c r="BE32" s="193" t="s">
        <v>100</v>
      </c>
      <c r="BF32" s="193" t="s">
        <v>74</v>
      </c>
      <c r="BG32" s="193" t="str">
        <f>Currency&amp;BE32&amp;BF32&amp;QuoteSuffix</f>
        <v>USDOIS30M_Quote</v>
      </c>
      <c r="BH32" s="252">
        <f>Evaluationdate</f>
        <v>42446</v>
      </c>
      <c r="BI32" s="252">
        <f>_xll.qlSwapStartDate(BO32,Trigger)</f>
        <v>42450</v>
      </c>
      <c r="BJ32" s="252">
        <f>_xll.qlSwapMaturityDate(BO32,Trigger)</f>
        <v>43364</v>
      </c>
      <c r="BK32" s="195">
        <f>_xll.qlOvernightIndexedSwapFairRate(BO32,Trigger)</f>
        <v>6.7431631514566215E-3</v>
      </c>
      <c r="BL32" s="195">
        <f>_xll.qlQuoteValue(BG32)</f>
        <v>6.7599999999999995E-3</v>
      </c>
      <c r="BM32" s="217">
        <f t="shared" si="8"/>
        <v>0.1683684854337803</v>
      </c>
      <c r="BO32" s="50" t="str">
        <f>_xll.qlMakeOIS(,2,IF(BF32="SW","1W",BF32),UPPER(Currency)&amp;"FedFunds",,$BQ$4,$BR$4,,Permanent,Trigger,ObjectOverwrite)</f>
        <v>obj_0040b#0311</v>
      </c>
    </row>
    <row r="33" spans="1:70" ht="11.25" customHeight="1" x14ac:dyDescent="0.2">
      <c r="A33" s="63" t="s">
        <v>100</v>
      </c>
      <c r="B33" s="64" t="s">
        <v>71</v>
      </c>
      <c r="C33" s="65">
        <f t="shared" si="14"/>
        <v>2</v>
      </c>
      <c r="D33" s="136"/>
      <c r="E33" s="66" t="str">
        <f t="shared" si="11"/>
        <v>USDFedFunds</v>
      </c>
      <c r="F33" s="68" t="str">
        <f t="shared" si="12"/>
        <v>USDOIS23M_Quote</v>
      </c>
      <c r="G33" s="136"/>
      <c r="H33" s="69"/>
      <c r="J33" s="11" t="str">
        <f t="shared" si="9"/>
        <v>OIS</v>
      </c>
      <c r="K33" s="105" t="str">
        <f t="shared" si="10"/>
        <v>--</v>
      </c>
      <c r="L33" s="108" t="str">
        <f>IFERROR(_xll.qlRateHelperQuoteName(K33,Trigger),"--")</f>
        <v>--</v>
      </c>
      <c r="M33" s="109" t="str">
        <f>IFERROR(_xll.qlRateHelperQuoteValue($K33,Trigger),"--")</f>
        <v>--</v>
      </c>
      <c r="N33" s="108" t="b">
        <v>0</v>
      </c>
      <c r="O33" s="105">
        <v>50</v>
      </c>
      <c r="P33" s="105">
        <v>1</v>
      </c>
      <c r="Q33" s="110" t="str">
        <f>IFERROR(_xll.qlRateHelperEarliestDate(K33,Trigger),"--")</f>
        <v>--</v>
      </c>
      <c r="R33" s="110" t="str">
        <f>IFERROR(_xll.qlRateHelperPillarDate(K33,Trigger),"--")</f>
        <v>--</v>
      </c>
      <c r="T33" s="4" t="str">
        <f t="shared" si="0"/>
        <v/>
      </c>
      <c r="U33" s="4" t="e">
        <v>#N/A</v>
      </c>
      <c r="V33" s="4" t="str">
        <f>IFERROR(_xll.qlRateHelperQuoteName(U33,Trigger),"")</f>
        <v/>
      </c>
      <c r="W33" s="75" t="str">
        <f>IFERROR(_xll.qlRateHelperRate(U33,Trigger),"")</f>
        <v/>
      </c>
      <c r="X33" s="115" t="str">
        <f>IF(ISERROR(_xll.qlSwapRateHelperSpread($U33)),IF(ISERROR(_xll.qlFuturesRateHelperConvexityAdjustment($U33)),"",_xll.qlFuturesRateHelperConvexityAdjustment($U33)),_xll.qlSwapRateHelperSpread($U33))</f>
        <v/>
      </c>
      <c r="Y33" s="5" t="str">
        <f>IFERROR(_xll.qlRateHelperEarliestDate(U33,Trigger),"")</f>
        <v/>
      </c>
      <c r="Z33" s="5" t="str">
        <f>IFERROR(_xll.qlRateHelperPillarDate(U33,Trigger),"")</f>
        <v/>
      </c>
      <c r="AA33" s="83" t="e">
        <v>#N/A</v>
      </c>
      <c r="AC33" s="198"/>
      <c r="AD33" s="230"/>
      <c r="AE33" s="230"/>
      <c r="AF33" s="233"/>
      <c r="AG33" s="198">
        <v>45190</v>
      </c>
      <c r="AH33" s="261">
        <v>5.5337771263274027E-3</v>
      </c>
      <c r="AI33" s="261">
        <v>1</v>
      </c>
      <c r="AJ33" s="198">
        <v>45098</v>
      </c>
      <c r="AK33" s="198">
        <v>45190</v>
      </c>
      <c r="AL33" s="200">
        <v>92</v>
      </c>
      <c r="AM33" s="201" t="str">
        <v>FedFundsON Actual/360</v>
      </c>
      <c r="AN33" s="200">
        <v>0</v>
      </c>
      <c r="AO33" s="198">
        <v>45189</v>
      </c>
      <c r="AP33" s="200" t="str">
        <v>Actual/360</v>
      </c>
      <c r="AQ33" s="202">
        <v>0.25555555555555554</v>
      </c>
      <c r="AR33" s="203">
        <v>2.1653910494324621E-2</v>
      </c>
      <c r="AS33" s="245">
        <f>_xll.qlDayCounterYearFraction("actual/365 (fixed)",Evaluationdate,AJ33,,,Trigger)</f>
        <v>7.2657534246575342</v>
      </c>
      <c r="AT33" s="246">
        <f>_xll.qlDayCounterYearFraction("actual/365 (fixed)",Evaluationdate,AK33,,,Trigger)</f>
        <v>7.5178082191780824</v>
      </c>
      <c r="AU33" s="246">
        <f>_xll.qlDayCounterYearFraction(AP33,AJ33,AK33,,,Trigger)</f>
        <v>0.25555555555555554</v>
      </c>
      <c r="AV33" s="247">
        <f>_xll.qlYieldTSDiscount("USDON",AJ33,,Trigger)</f>
        <v>0.91833750379518808</v>
      </c>
      <c r="AW33" s="247">
        <f>_xll.qlYieldTSDiscount("USDON",AK33,,Trigger)</f>
        <v>0.91419731662224013</v>
      </c>
      <c r="AX33" s="203">
        <f t="shared" si="2"/>
        <v>9.2321710403109713E-7</v>
      </c>
      <c r="AY33" s="203">
        <f t="shared" si="3"/>
        <v>-8.8490104133143177E-5</v>
      </c>
      <c r="AZ33" s="201" t="b">
        <f t="shared" si="4"/>
        <v>1</v>
      </c>
      <c r="BA33" s="195">
        <f t="shared" si="5"/>
        <v>2.1351264459341587E-2</v>
      </c>
      <c r="BB33" s="248">
        <f t="shared" si="6"/>
        <v>0</v>
      </c>
      <c r="BC33" s="248">
        <f t="shared" si="7"/>
        <v>0</v>
      </c>
      <c r="BD33" s="193"/>
      <c r="BE33" s="193" t="s">
        <v>100</v>
      </c>
      <c r="BF33" s="193" t="s">
        <v>75</v>
      </c>
      <c r="BG33" s="193" t="str">
        <f>Currency&amp;BE33&amp;BF33&amp;QuoteSuffix</f>
        <v>USDOIS33M_Quote</v>
      </c>
      <c r="BH33" s="252">
        <f>Evaluationdate</f>
        <v>42446</v>
      </c>
      <c r="BI33" s="252">
        <f>_xll.qlSwapStartDate(BO33,Trigger)</f>
        <v>42450</v>
      </c>
      <c r="BJ33" s="252">
        <f>_xll.qlSwapMaturityDate(BO33,Trigger)</f>
        <v>43455</v>
      </c>
      <c r="BK33" s="195">
        <f>_xll.qlOvernightIndexedSwapFairRate(BO33,Trigger)</f>
        <v>7.0140405262924853E-3</v>
      </c>
      <c r="BL33" s="195">
        <f>_xll.qlQuoteValue(BG33)</f>
        <v>7.0399999999999994E-3</v>
      </c>
      <c r="BM33" s="217">
        <f t="shared" si="8"/>
        <v>0.25959473707514064</v>
      </c>
      <c r="BO33" s="50" t="str">
        <f>_xll.qlMakeOIS(,2,IF(BF33="SW","1W",BF33),UPPER(Currency)&amp;"FedFunds",,$BQ$4,$BR$4,,Permanent,Trigger,ObjectOverwrite)</f>
        <v>obj_0040a#0311</v>
      </c>
    </row>
    <row r="34" spans="1:70" ht="11.25" customHeight="1" x14ac:dyDescent="0.2">
      <c r="A34" s="63" t="s">
        <v>100</v>
      </c>
      <c r="B34" s="64" t="s">
        <v>72</v>
      </c>
      <c r="C34" s="65">
        <f t="shared" si="14"/>
        <v>2</v>
      </c>
      <c r="D34" s="136"/>
      <c r="E34" s="66" t="str">
        <f t="shared" si="11"/>
        <v>USDFedFunds</v>
      </c>
      <c r="F34" s="68" t="str">
        <f t="shared" si="12"/>
        <v>USDOIS2Y_Quote</v>
      </c>
      <c r="G34" s="136"/>
      <c r="H34" s="69" t="str">
        <f>_xll.qlOISRateHelper(,C34,B34,F34,$E34,,Permanent,Trigger,ObjectOverwrite)</f>
        <v>obj_00301#0312</v>
      </c>
      <c r="J34" s="11" t="str">
        <f t="shared" si="9"/>
        <v>OIS</v>
      </c>
      <c r="K34" s="105" t="str">
        <f t="shared" si="10"/>
        <v>--</v>
      </c>
      <c r="L34" s="108" t="str">
        <f>IFERROR(_xll.qlRateHelperQuoteName(K34,Trigger),"--")</f>
        <v>--</v>
      </c>
      <c r="M34" s="109" t="str">
        <f>IFERROR(_xll.qlRateHelperQuoteValue($K34,Trigger),"--")</f>
        <v>--</v>
      </c>
      <c r="N34" s="108" t="b">
        <v>0</v>
      </c>
      <c r="O34" s="105">
        <v>50</v>
      </c>
      <c r="P34" s="105">
        <v>1</v>
      </c>
      <c r="Q34" s="110" t="str">
        <f>IFERROR(_xll.qlRateHelperEarliestDate(K34,Trigger),"--")</f>
        <v>--</v>
      </c>
      <c r="R34" s="110" t="str">
        <f>IFERROR(_xll.qlRateHelperPillarDate(K34,Trigger),"--")</f>
        <v>--</v>
      </c>
      <c r="T34" s="4" t="str">
        <f t="shared" si="0"/>
        <v/>
      </c>
      <c r="U34" s="4" t="e">
        <v>#N/A</v>
      </c>
      <c r="V34" s="4" t="str">
        <f>IFERROR(_xll.qlRateHelperQuoteName(U34,Trigger),"")</f>
        <v/>
      </c>
      <c r="W34" s="75" t="str">
        <f>IFERROR(_xll.qlRateHelperRate(U34,Trigger),"")</f>
        <v/>
      </c>
      <c r="X34" s="115" t="str">
        <f>IF(ISERROR(_xll.qlSwapRateHelperSpread($U34)),IF(ISERROR(_xll.qlFuturesRateHelperConvexityAdjustment($U34)),"",_xll.qlFuturesRateHelperConvexityAdjustment($U34)),_xll.qlSwapRateHelperSpread($U34))</f>
        <v/>
      </c>
      <c r="Y34" s="5" t="str">
        <f>IFERROR(_xll.qlRateHelperEarliestDate(U34,Trigger),"")</f>
        <v/>
      </c>
      <c r="Z34" s="5" t="str">
        <f>IFERROR(_xll.qlRateHelperPillarDate(U34,Trigger),"")</f>
        <v/>
      </c>
      <c r="AA34" s="83" t="e">
        <v>#N/A</v>
      </c>
      <c r="AC34" s="198"/>
      <c r="AD34" s="230"/>
      <c r="AE34" s="230"/>
      <c r="AF34" s="233"/>
      <c r="AG34" s="198">
        <v>45281</v>
      </c>
      <c r="AH34" s="261">
        <v>5.4533100889712707E-3</v>
      </c>
      <c r="AI34" s="261">
        <v>1</v>
      </c>
      <c r="AJ34" s="198">
        <v>45190</v>
      </c>
      <c r="AK34" s="198">
        <v>45281</v>
      </c>
      <c r="AL34" s="200">
        <v>91</v>
      </c>
      <c r="AM34" s="201" t="str">
        <v>FedFundsON Actual/360</v>
      </c>
      <c r="AN34" s="200">
        <v>0</v>
      </c>
      <c r="AO34" s="198">
        <v>45280</v>
      </c>
      <c r="AP34" s="200" t="str">
        <v>Actual/360</v>
      </c>
      <c r="AQ34" s="202">
        <v>0.25277777777777777</v>
      </c>
      <c r="AR34" s="203">
        <v>2.1573534417908324E-2</v>
      </c>
      <c r="AS34" s="245">
        <f>_xll.qlDayCounterYearFraction("actual/365 (fixed)",Evaluationdate,AJ34,,,Trigger)</f>
        <v>7.5178082191780824</v>
      </c>
      <c r="AT34" s="246">
        <f>_xll.qlDayCounterYearFraction("actual/365 (fixed)",Evaluationdate,AK34,,,Trigger)</f>
        <v>7.7671232876712333</v>
      </c>
      <c r="AU34" s="246">
        <f>_xll.qlDayCounterYearFraction(AP34,AJ34,AK34,,,Trigger)</f>
        <v>0.25277777777777777</v>
      </c>
      <c r="AV34" s="247">
        <f>_xll.qlYieldTSDiscount("USDON",AJ34,,Trigger)</f>
        <v>0.91419731662224013</v>
      </c>
      <c r="AW34" s="247">
        <f>_xll.qlYieldTSDiscount("USDON",AK34,,Trigger)</f>
        <v>0.91005993900667892</v>
      </c>
      <c r="AX34" s="203">
        <f t="shared" si="2"/>
        <v>9.3459115720151075E-7</v>
      </c>
      <c r="AY34" s="203">
        <f t="shared" si="3"/>
        <v>-6.9505512456657925E-7</v>
      </c>
      <c r="AZ34" s="201" t="b">
        <f t="shared" si="4"/>
        <v>1</v>
      </c>
      <c r="BA34" s="195">
        <f t="shared" si="5"/>
        <v>2.1615241420227423E-2</v>
      </c>
      <c r="BB34" s="248">
        <f t="shared" si="6"/>
        <v>0</v>
      </c>
      <c r="BC34" s="248">
        <f t="shared" si="7"/>
        <v>0</v>
      </c>
      <c r="BD34" s="193"/>
      <c r="BE34" s="256" t="s">
        <v>100</v>
      </c>
      <c r="BF34" s="256" t="s">
        <v>76</v>
      </c>
      <c r="BG34" s="256" t="str">
        <f>Currency&amp;BE34&amp;BF34&amp;QuoteSuffix</f>
        <v>USDOIS3Y_Quote</v>
      </c>
      <c r="BH34" s="257">
        <f>Evaluationdate</f>
        <v>42446</v>
      </c>
      <c r="BI34" s="257">
        <f>_xll.qlSwapStartDate(BO34,Trigger)</f>
        <v>42450</v>
      </c>
      <c r="BJ34" s="257">
        <f>_xll.qlSwapMaturityDate(BO34,Trigger)</f>
        <v>43545</v>
      </c>
      <c r="BK34" s="258">
        <f>_xll.qlOvernightIndexedSwapFairRate(BO34,Trigger)</f>
        <v>7.2814641556005191E-3</v>
      </c>
      <c r="BL34" s="258">
        <f>_xll.qlQuoteValue(BG34)</f>
        <v>7.3299999999999997E-3</v>
      </c>
      <c r="BM34" s="259">
        <f t="shared" si="8"/>
        <v>0.48535844399480615</v>
      </c>
      <c r="BN34" s="260"/>
      <c r="BO34" s="260" t="str">
        <f>_xll.qlMakeOIS(,2,IF(BF34="SW","1W",BF34),UPPER(Currency)&amp;"FedFunds",,$BQ$4,$BR$4,,Permanent,Trigger,ObjectOverwrite)</f>
        <v>obj_00409#0311</v>
      </c>
      <c r="BP34" s="260"/>
    </row>
    <row r="35" spans="1:70" ht="11.25" customHeight="1" x14ac:dyDescent="0.2">
      <c r="A35" s="63" t="s">
        <v>100</v>
      </c>
      <c r="B35" s="64" t="s">
        <v>73</v>
      </c>
      <c r="C35" s="65">
        <f t="shared" si="14"/>
        <v>2</v>
      </c>
      <c r="D35" s="136"/>
      <c r="E35" s="66" t="str">
        <f t="shared" si="11"/>
        <v>USDFedFunds</v>
      </c>
      <c r="F35" s="68" t="str">
        <f t="shared" si="12"/>
        <v>USDOIS27M_Quote</v>
      </c>
      <c r="G35" s="136"/>
      <c r="H35" s="69"/>
      <c r="J35" s="11" t="str">
        <f t="shared" si="9"/>
        <v>OIS</v>
      </c>
      <c r="K35" s="105" t="str">
        <f t="shared" si="10"/>
        <v>--</v>
      </c>
      <c r="L35" s="108" t="str">
        <f>IFERROR(_xll.qlRateHelperQuoteName(K35,Trigger),"--")</f>
        <v>--</v>
      </c>
      <c r="M35" s="109" t="str">
        <f>IFERROR(_xll.qlRateHelperQuoteValue($K35,Trigger),"--")</f>
        <v>--</v>
      </c>
      <c r="N35" s="108" t="b">
        <v>0</v>
      </c>
      <c r="O35" s="105">
        <v>50</v>
      </c>
      <c r="P35" s="105">
        <v>1</v>
      </c>
      <c r="Q35" s="110" t="str">
        <f>IFERROR(_xll.qlRateHelperEarliestDate(K35,Trigger),"--")</f>
        <v>--</v>
      </c>
      <c r="R35" s="110" t="str">
        <f>IFERROR(_xll.qlRateHelperPillarDate(K35,Trigger),"--")</f>
        <v>--</v>
      </c>
      <c r="T35" s="4" t="str">
        <f t="shared" si="0"/>
        <v/>
      </c>
      <c r="U35" s="4" t="e">
        <v>#N/A</v>
      </c>
      <c r="V35" s="4" t="str">
        <f>IFERROR(_xll.qlRateHelperQuoteName(U35,Trigger),"")</f>
        <v/>
      </c>
      <c r="W35" s="75" t="str">
        <f>IFERROR(_xll.qlRateHelperRate(U35,Trigger),"")</f>
        <v/>
      </c>
      <c r="X35" s="115" t="str">
        <f>IF(ISERROR(_xll.qlSwapRateHelperSpread($U35)),IF(ISERROR(_xll.qlFuturesRateHelperConvexityAdjustment($U35)),"",_xll.qlFuturesRateHelperConvexityAdjustment($U35)),_xll.qlSwapRateHelperSpread($U35))</f>
        <v/>
      </c>
      <c r="Y35" s="5" t="str">
        <f>IFERROR(_xll.qlRateHelperEarliestDate(U35,Trigger),"")</f>
        <v/>
      </c>
      <c r="Z35" s="5" t="str">
        <f>IFERROR(_xll.qlRateHelperPillarDate(U35,Trigger),"")</f>
        <v/>
      </c>
      <c r="AA35" s="83" t="e">
        <v>#N/A</v>
      </c>
      <c r="AC35" s="198"/>
      <c r="AD35" s="230"/>
      <c r="AE35" s="230"/>
      <c r="AF35" s="233"/>
      <c r="AG35" s="198">
        <v>45372</v>
      </c>
      <c r="AH35" s="261">
        <v>5.5183428256209361E-3</v>
      </c>
      <c r="AI35" s="261">
        <v>1</v>
      </c>
      <c r="AJ35" s="198">
        <v>45281</v>
      </c>
      <c r="AK35" s="198">
        <v>45372</v>
      </c>
      <c r="AL35" s="200">
        <v>91</v>
      </c>
      <c r="AM35" s="201" t="str">
        <v>FedFundsON Actual/360</v>
      </c>
      <c r="AN35" s="200">
        <v>0</v>
      </c>
      <c r="AO35" s="198">
        <v>45371</v>
      </c>
      <c r="AP35" s="200" t="str">
        <v>Actual/360</v>
      </c>
      <c r="AQ35" s="202">
        <v>0.25277777777777777</v>
      </c>
      <c r="AR35" s="203">
        <v>2.1830806782676231E-2</v>
      </c>
      <c r="AS35" s="245">
        <f>_xll.qlDayCounterYearFraction("actual/365 (fixed)",Evaluationdate,AJ35,,,Trigger)</f>
        <v>7.7671232876712333</v>
      </c>
      <c r="AT35" s="246">
        <f>_xll.qlDayCounterYearFraction("actual/365 (fixed)",Evaluationdate,AK35,,,Trigger)</f>
        <v>8.0164383561643842</v>
      </c>
      <c r="AU35" s="246">
        <f>_xll.qlDayCounterYearFraction(AP35,AJ35,AK35,,,Trigger)</f>
        <v>0.25277777777777777</v>
      </c>
      <c r="AV35" s="247">
        <f>_xll.qlYieldTSDiscount("USDON",AJ35,,Trigger)</f>
        <v>0.91005993900667892</v>
      </c>
      <c r="AW35" s="247">
        <f>_xll.qlYieldTSDiscount("USDON",AK35,,Trigger)</f>
        <v>0.90588234389494837</v>
      </c>
      <c r="AX35" s="203">
        <f t="shared" si="2"/>
        <v>9.6558549244051898E-7</v>
      </c>
      <c r="AY35" s="203">
        <f t="shared" si="3"/>
        <v>-6.9505512456657925E-7</v>
      </c>
      <c r="AZ35" s="201" t="b">
        <f t="shared" si="4"/>
        <v>1</v>
      </c>
      <c r="BA35" s="195">
        <f t="shared" si="5"/>
        <v>2.1873814998647038E-2</v>
      </c>
      <c r="BB35" s="248">
        <f t="shared" si="6"/>
        <v>0</v>
      </c>
      <c r="BC35" s="248">
        <f t="shared" si="7"/>
        <v>0</v>
      </c>
      <c r="BD35" s="193"/>
      <c r="BE35" s="193" t="s">
        <v>100</v>
      </c>
      <c r="BF35" s="193" t="s">
        <v>77</v>
      </c>
      <c r="BG35" s="193" t="str">
        <f>Currency&amp;BE35&amp;BF35&amp;QuoteSuffix</f>
        <v>USDOIS39M_Quote</v>
      </c>
      <c r="BH35" s="252">
        <f>Evaluationdate</f>
        <v>42446</v>
      </c>
      <c r="BI35" s="252">
        <f>_xll.qlSwapStartDate(BO35,Trigger)</f>
        <v>42450</v>
      </c>
      <c r="BJ35" s="252">
        <f>_xll.qlSwapMaturityDate(BO35,Trigger)</f>
        <v>43637</v>
      </c>
      <c r="BK35" s="195">
        <f>_xll.qlOvernightIndexedSwapFairRate(BO35,Trigger)</f>
        <v>7.5683137725792013E-3</v>
      </c>
      <c r="BL35" s="195">
        <f>_xll.qlQuoteValue(BG35)</f>
        <v>7.6100000000000004E-3</v>
      </c>
      <c r="BM35" s="217">
        <f t="shared" si="8"/>
        <v>0.41686227420799188</v>
      </c>
      <c r="BO35" s="50" t="str">
        <f>_xll.qlMakeOIS(,2,IF(BF35="SW","1W",BF35),UPPER(Currency)&amp;"FedFunds",,$BQ$4,$BR$4,,Permanent,Trigger,ObjectOverwrite)</f>
        <v>obj_00408#0311</v>
      </c>
    </row>
    <row r="36" spans="1:70" ht="11.25" customHeight="1" x14ac:dyDescent="0.2">
      <c r="A36" s="63" t="s">
        <v>100</v>
      </c>
      <c r="B36" s="64" t="s">
        <v>74</v>
      </c>
      <c r="C36" s="65">
        <f t="shared" si="14"/>
        <v>2</v>
      </c>
      <c r="D36" s="136"/>
      <c r="E36" s="66" t="str">
        <f t="shared" si="11"/>
        <v>USDFedFunds</v>
      </c>
      <c r="F36" s="68" t="str">
        <f t="shared" si="12"/>
        <v>USDOIS30M_Quote</v>
      </c>
      <c r="G36" s="136"/>
      <c r="H36" s="69"/>
      <c r="J36" s="11" t="str">
        <f t="shared" si="9"/>
        <v>OIS</v>
      </c>
      <c r="K36" s="105" t="str">
        <f t="shared" si="10"/>
        <v>obj_002fe#0312</v>
      </c>
      <c r="L36" s="108" t="str">
        <f>IFERROR(_xll.qlRateHelperQuoteName(K36,Trigger),"--")</f>
        <v>USDOIS3Y_Quote</v>
      </c>
      <c r="M36" s="109">
        <f>IFERROR(_xll.qlRateHelperQuoteValue($K36,Trigger),"--")</f>
        <v>7.5599999999999999E-3</v>
      </c>
      <c r="N36" s="108" t="b">
        <v>1</v>
      </c>
      <c r="O36" s="105">
        <v>50</v>
      </c>
      <c r="P36" s="105">
        <v>1</v>
      </c>
      <c r="Q36" s="110">
        <f>IFERROR(_xll.qlRateHelperEarliestDate(K36,Trigger),"--")</f>
        <v>42450</v>
      </c>
      <c r="R36" s="110">
        <f>IFERROR(_xll.qlRateHelperPillarDate(K36,Trigger),"--")</f>
        <v>43545</v>
      </c>
      <c r="T36" s="4" t="str">
        <f t="shared" si="0"/>
        <v/>
      </c>
      <c r="U36" s="4" t="e">
        <v>#N/A</v>
      </c>
      <c r="V36" s="4" t="str">
        <f>IFERROR(_xll.qlRateHelperQuoteName(U36,Trigger),"")</f>
        <v/>
      </c>
      <c r="W36" s="75" t="str">
        <f>IFERROR(_xll.qlRateHelperRate(U36,Trigger),"")</f>
        <v/>
      </c>
      <c r="X36" s="115" t="str">
        <f>IF(ISERROR(_xll.qlSwapRateHelperSpread($U36)),IF(ISERROR(_xll.qlFuturesRateHelperConvexityAdjustment($U36)),"",_xll.qlFuturesRateHelperConvexityAdjustment($U36)),_xll.qlSwapRateHelperSpread($U36))</f>
        <v/>
      </c>
      <c r="Y36" s="5" t="str">
        <f>IFERROR(_xll.qlRateHelperEarliestDate(U36,Trigger),"")</f>
        <v/>
      </c>
      <c r="Z36" s="5" t="str">
        <f>IFERROR(_xll.qlRateHelperPillarDate(U36,Trigger),"")</f>
        <v/>
      </c>
      <c r="AA36" s="83" t="e">
        <v>#N/A</v>
      </c>
      <c r="AC36" s="198"/>
      <c r="AD36" s="230"/>
      <c r="AE36" s="230"/>
      <c r="AF36" s="216"/>
      <c r="AG36" s="198">
        <v>45464</v>
      </c>
      <c r="AH36" s="261">
        <v>5.7317442872639578E-3</v>
      </c>
      <c r="AI36" s="261">
        <v>1</v>
      </c>
      <c r="AJ36" s="198">
        <v>45372</v>
      </c>
      <c r="AK36" s="198">
        <v>45464</v>
      </c>
      <c r="AL36" s="200">
        <v>92</v>
      </c>
      <c r="AM36" s="201" t="str">
        <v>FedFundsON Actual/360</v>
      </c>
      <c r="AN36" s="200">
        <v>0</v>
      </c>
      <c r="AO36" s="198">
        <v>45463</v>
      </c>
      <c r="AP36" s="200" t="str">
        <v>Actual/360</v>
      </c>
      <c r="AQ36" s="202">
        <v>0.25555555555555554</v>
      </c>
      <c r="AR36" s="203">
        <v>2.2428564602337227E-2</v>
      </c>
      <c r="AS36" s="245">
        <f>_xll.qlDayCounterYearFraction("actual/365 (fixed)",Evaluationdate,AJ36,,,Trigger)</f>
        <v>8.0164383561643842</v>
      </c>
      <c r="AT36" s="246">
        <f>_xll.qlDayCounterYearFraction("actual/365 (fixed)",Evaluationdate,AK36,,,Trigger)</f>
        <v>8.2684931506849306</v>
      </c>
      <c r="AU36" s="246">
        <f>_xll.qlDayCounterYearFraction(AP36,AJ36,AK36,,,Trigger)</f>
        <v>0.25555555555555554</v>
      </c>
      <c r="AV36" s="247">
        <f>_xll.qlYieldTSDiscount("USDON",AJ36,,Trigger)</f>
        <v>0.90588234389494837</v>
      </c>
      <c r="AW36" s="247">
        <f>_xll.qlYieldTSDiscount("USDON",AK36,,Trigger)</f>
        <v>0.90161971736644886</v>
      </c>
      <c r="AX36" s="203">
        <f t="shared" si="2"/>
        <v>1.0186030445889252E-6</v>
      </c>
      <c r="AY36" s="203">
        <f t="shared" si="3"/>
        <v>-8.8493656846821978E-5</v>
      </c>
      <c r="AZ36" s="201" t="b">
        <f t="shared" si="4"/>
        <v>1</v>
      </c>
      <c r="BA36" s="195">
        <f t="shared" si="5"/>
        <v>2.212986487243998E-2</v>
      </c>
      <c r="BB36" s="248">
        <f t="shared" si="6"/>
        <v>0</v>
      </c>
      <c r="BC36" s="248">
        <f t="shared" si="7"/>
        <v>0</v>
      </c>
      <c r="BD36" s="193"/>
      <c r="BE36" s="193" t="s">
        <v>100</v>
      </c>
      <c r="BF36" s="193" t="s">
        <v>78</v>
      </c>
      <c r="BG36" s="193" t="str">
        <f>Currency&amp;BE36&amp;BF36&amp;QuoteSuffix</f>
        <v>USDOIS42M_Quote</v>
      </c>
      <c r="BH36" s="252">
        <f>Evaluationdate</f>
        <v>42446</v>
      </c>
      <c r="BI36" s="252">
        <f>_xll.qlSwapStartDate(BO36,Trigger)</f>
        <v>42450</v>
      </c>
      <c r="BJ36" s="252">
        <f>_xll.qlSwapMaturityDate(BO36,Trigger)</f>
        <v>43731</v>
      </c>
      <c r="BK36" s="195">
        <f>_xll.qlOvernightIndexedSwapFairRate(BO36,Trigger)</f>
        <v>7.8737984998947606E-3</v>
      </c>
      <c r="BL36" s="195">
        <f>_xll.qlQuoteValue(BG36)</f>
        <v>7.8499999999999993E-3</v>
      </c>
      <c r="BM36" s="217">
        <f t="shared" si="8"/>
        <v>0.23798499894761224</v>
      </c>
      <c r="BO36" s="50" t="str">
        <f>_xll.qlMakeOIS(,2,IF(BF36="SW","1W",BF36),UPPER(Currency)&amp;"FedFunds",,$BQ$4,$BR$4,,Permanent,Trigger,ObjectOverwrite)</f>
        <v>obj_00407#0311</v>
      </c>
    </row>
    <row r="37" spans="1:70" ht="11.25" customHeight="1" x14ac:dyDescent="0.2">
      <c r="A37" s="63" t="s">
        <v>100</v>
      </c>
      <c r="B37" s="64" t="s">
        <v>75</v>
      </c>
      <c r="C37" s="65">
        <f t="shared" si="14"/>
        <v>2</v>
      </c>
      <c r="D37" s="136"/>
      <c r="E37" s="66" t="str">
        <f t="shared" si="11"/>
        <v>USDFedFunds</v>
      </c>
      <c r="F37" s="68" t="str">
        <f t="shared" si="12"/>
        <v>USDOIS33M_Quote</v>
      </c>
      <c r="G37" s="136"/>
      <c r="H37" s="69"/>
      <c r="J37" s="11" t="str">
        <f t="shared" si="9"/>
        <v>OIS</v>
      </c>
      <c r="K37" s="105" t="str">
        <f t="shared" si="10"/>
        <v>--</v>
      </c>
      <c r="L37" s="108" t="str">
        <f>IFERROR(_xll.qlRateHelperQuoteName(K37,Trigger),"--")</f>
        <v>--</v>
      </c>
      <c r="M37" s="109" t="str">
        <f>IFERROR(_xll.qlRateHelperQuoteValue($K37,Trigger),"--")</f>
        <v>--</v>
      </c>
      <c r="N37" s="108" t="b">
        <v>0</v>
      </c>
      <c r="O37" s="105">
        <v>50</v>
      </c>
      <c r="P37" s="105">
        <v>1</v>
      </c>
      <c r="Q37" s="110" t="str">
        <f>IFERROR(_xll.qlRateHelperEarliestDate(K37,Trigger),"--")</f>
        <v>--</v>
      </c>
      <c r="R37" s="110" t="str">
        <f>IFERROR(_xll.qlRateHelperPillarDate(K37,Trigger),"--")</f>
        <v>--</v>
      </c>
      <c r="T37" s="4" t="str">
        <f t="shared" si="0"/>
        <v/>
      </c>
      <c r="U37" s="4" t="e">
        <v>#N/A</v>
      </c>
      <c r="V37" s="4" t="str">
        <f>IFERROR(_xll.qlRateHelperQuoteName(U37,Trigger),"")</f>
        <v/>
      </c>
      <c r="W37" s="75" t="str">
        <f>IFERROR(_xll.qlRateHelperRate(U37,Trigger),"")</f>
        <v/>
      </c>
      <c r="X37" s="115" t="str">
        <f>IF(ISERROR(_xll.qlSwapRateHelperSpread($U37)),IF(ISERROR(_xll.qlFuturesRateHelperConvexityAdjustment($U37)),"",_xll.qlFuturesRateHelperConvexityAdjustment($U37)),_xll.qlSwapRateHelperSpread($U37))</f>
        <v/>
      </c>
      <c r="Y37" s="5" t="str">
        <f>IFERROR(_xll.qlRateHelperEarliestDate(U37,Trigger),"")</f>
        <v/>
      </c>
      <c r="Z37" s="5" t="str">
        <f>IFERROR(_xll.qlRateHelperPillarDate(U37,Trigger),"")</f>
        <v/>
      </c>
      <c r="AA37" s="83" t="e">
        <v>#N/A</v>
      </c>
      <c r="AC37" s="198"/>
      <c r="AD37" s="230"/>
      <c r="AE37" s="230"/>
      <c r="AF37" s="216"/>
      <c r="AG37" s="198">
        <v>45558</v>
      </c>
      <c r="AH37" s="261">
        <v>5.7841658555084661E-3</v>
      </c>
      <c r="AI37" s="261">
        <v>1</v>
      </c>
      <c r="AJ37" s="198">
        <v>45464</v>
      </c>
      <c r="AK37" s="198">
        <v>45558</v>
      </c>
      <c r="AL37" s="200">
        <v>94</v>
      </c>
      <c r="AM37" s="201" t="str">
        <v>FedFundsON Actual/360</v>
      </c>
      <c r="AN37" s="200">
        <v>0</v>
      </c>
      <c r="AO37" s="198">
        <v>45555</v>
      </c>
      <c r="AP37" s="200" t="str">
        <v>Actual/360</v>
      </c>
      <c r="AQ37" s="202">
        <v>0.26111111111111113</v>
      </c>
      <c r="AR37" s="203">
        <v>2.2152124553011146E-2</v>
      </c>
      <c r="AS37" s="245">
        <f>_xll.qlDayCounterYearFraction("actual/365 (fixed)",Evaluationdate,AJ37,,,Trigger)</f>
        <v>8.2684931506849306</v>
      </c>
      <c r="AT37" s="246">
        <f>_xll.qlDayCounterYearFraction("actual/365 (fixed)",Evaluationdate,AK37,,,Trigger)</f>
        <v>8.5260273972602736</v>
      </c>
      <c r="AU37" s="246">
        <f>_xll.qlDayCounterYearFraction(AP37,AJ37,AK37,,,Trigger)</f>
        <v>0.26111111111111113</v>
      </c>
      <c r="AV37" s="247">
        <f>_xll.qlYieldTSDiscount("USDON",AJ37,,Trigger)</f>
        <v>0.90161971736644886</v>
      </c>
      <c r="AW37" s="247">
        <f>_xll.qlYieldTSDiscount("USDON",AK37,,Trigger)</f>
        <v>0.89722562651079829</v>
      </c>
      <c r="AX37" s="203">
        <f t="shared" si="2"/>
        <v>1.0968065808237524E-6</v>
      </c>
      <c r="AY37" s="203">
        <f t="shared" si="3"/>
        <v>4.8037462896388661E-5</v>
      </c>
      <c r="AZ37" s="201" t="b">
        <f t="shared" si="4"/>
        <v>1</v>
      </c>
      <c r="BA37" s="195">
        <f t="shared" si="5"/>
        <v>2.2386077141529528E-2</v>
      </c>
      <c r="BB37" s="248">
        <f t="shared" si="6"/>
        <v>0</v>
      </c>
      <c r="BC37" s="248">
        <f t="shared" si="7"/>
        <v>0</v>
      </c>
      <c r="BD37" s="193"/>
      <c r="BE37" s="193" t="s">
        <v>100</v>
      </c>
      <c r="BF37" s="193" t="s">
        <v>79</v>
      </c>
      <c r="BG37" s="193" t="str">
        <f>Currency&amp;BE37&amp;BF37&amp;QuoteSuffix</f>
        <v>USDOIS45M_Quote</v>
      </c>
      <c r="BH37" s="252">
        <f>Evaluationdate</f>
        <v>42446</v>
      </c>
      <c r="BI37" s="252">
        <f>_xll.qlSwapStartDate(BO37,Trigger)</f>
        <v>42450</v>
      </c>
      <c r="BJ37" s="252">
        <f>_xll.qlSwapMaturityDate(BO37,Trigger)</f>
        <v>43822</v>
      </c>
      <c r="BK37" s="195">
        <f>_xll.qlOvernightIndexedSwapFairRate(BO37,Trigger)</f>
        <v>8.1707590026348677E-3</v>
      </c>
      <c r="BL37" s="195">
        <f>_xll.qlQuoteValue(BG37)</f>
        <v>8.1700000000000002E-3</v>
      </c>
      <c r="BM37" s="217">
        <f t="shared" si="8"/>
        <v>7.5900263486750053E-3</v>
      </c>
      <c r="BO37" s="50" t="str">
        <f>_xll.qlMakeOIS(,2,IF(BF37="SW","1W",BF37),UPPER(Currency)&amp;"FedFunds",,$BQ$4,$BR$4,,Permanent,Trigger,ObjectOverwrite)</f>
        <v>obj_00406#0311</v>
      </c>
    </row>
    <row r="38" spans="1:70" ht="11.25" customHeight="1" x14ac:dyDescent="0.2">
      <c r="A38" s="63" t="s">
        <v>100</v>
      </c>
      <c r="B38" s="64" t="s">
        <v>76</v>
      </c>
      <c r="C38" s="65">
        <f t="shared" si="14"/>
        <v>2</v>
      </c>
      <c r="D38" s="136"/>
      <c r="E38" s="66" t="str">
        <f t="shared" si="11"/>
        <v>USDFedFunds</v>
      </c>
      <c r="F38" s="68" t="str">
        <f t="shared" si="12"/>
        <v>USDOIS3Y_Quote</v>
      </c>
      <c r="G38" s="136"/>
      <c r="H38" s="69" t="str">
        <f>_xll.qlOISRateHelper(,C38,B38,F38,$E38,,Permanent,Trigger,ObjectOverwrite)</f>
        <v>obj_002fe#0312</v>
      </c>
      <c r="J38" s="11" t="str">
        <f t="shared" ref="J38:J55" si="15">A40</f>
        <v>OIS</v>
      </c>
      <c r="K38" s="105" t="str">
        <f t="shared" si="10"/>
        <v>--</v>
      </c>
      <c r="L38" s="108" t="str">
        <f>IFERROR(_xll.qlRateHelperQuoteName(K38,Trigger),"--")</f>
        <v>--</v>
      </c>
      <c r="M38" s="109" t="str">
        <f>IFERROR(_xll.qlRateHelperQuoteValue($K38,Trigger),"--")</f>
        <v>--</v>
      </c>
      <c r="N38" s="108" t="b">
        <v>0</v>
      </c>
      <c r="O38" s="105">
        <v>50</v>
      </c>
      <c r="P38" s="105">
        <v>1</v>
      </c>
      <c r="Q38" s="110" t="str">
        <f>IFERROR(_xll.qlRateHelperEarliestDate(K38,Trigger),"--")</f>
        <v>--</v>
      </c>
      <c r="R38" s="110" t="str">
        <f>IFERROR(_xll.qlRateHelperPillarDate(K38,Trigger),"--")</f>
        <v>--</v>
      </c>
      <c r="T38" s="4" t="str">
        <f t="shared" si="0"/>
        <v/>
      </c>
      <c r="U38" s="4" t="e">
        <v>#N/A</v>
      </c>
      <c r="V38" s="4" t="str">
        <f>IFERROR(_xll.qlRateHelperQuoteName(U38,Trigger),"")</f>
        <v/>
      </c>
      <c r="W38" s="75" t="str">
        <f>IFERROR(_xll.qlRateHelperRate(U38,Trigger),"")</f>
        <v/>
      </c>
      <c r="X38" s="115" t="str">
        <f>IF(ISERROR(_xll.qlSwapRateHelperSpread($U38)),IF(ISERROR(_xll.qlFuturesRateHelperConvexityAdjustment($U38)),"",_xll.qlFuturesRateHelperConvexityAdjustment($U38)),_xll.qlSwapRateHelperSpread($U38))</f>
        <v/>
      </c>
      <c r="Y38" s="5" t="str">
        <f>IFERROR(_xll.qlRateHelperEarliestDate(U38,Trigger),"")</f>
        <v/>
      </c>
      <c r="Z38" s="5" t="str">
        <f>IFERROR(_xll.qlRateHelperPillarDate(U38,Trigger),"")</f>
        <v/>
      </c>
      <c r="AA38" s="83" t="e">
        <v>#N/A</v>
      </c>
      <c r="AC38" s="198"/>
      <c r="AD38" s="230"/>
      <c r="AE38" s="230"/>
      <c r="AF38" s="216"/>
      <c r="AG38" s="198">
        <v>45649</v>
      </c>
      <c r="AH38" s="261">
        <v>5.7094909320394892E-3</v>
      </c>
      <c r="AI38" s="261">
        <v>1</v>
      </c>
      <c r="AJ38" s="198">
        <v>45558</v>
      </c>
      <c r="AK38" s="198">
        <v>45649</v>
      </c>
      <c r="AL38" s="200">
        <v>91</v>
      </c>
      <c r="AM38" s="201" t="str">
        <v>FedFundsON Actual/360</v>
      </c>
      <c r="AN38" s="200">
        <v>0</v>
      </c>
      <c r="AO38" s="198">
        <v>45646</v>
      </c>
      <c r="AP38" s="200" t="str">
        <v>Actual/360</v>
      </c>
      <c r="AQ38" s="202">
        <v>0.25277777777777777</v>
      </c>
      <c r="AR38" s="203">
        <v>2.2586997093782597E-2</v>
      </c>
      <c r="AS38" s="245">
        <f>_xll.qlDayCounterYearFraction("actual/365 (fixed)",Evaluationdate,AJ38,,,Trigger)</f>
        <v>8.5260273972602736</v>
      </c>
      <c r="AT38" s="246">
        <f>_xll.qlDayCounterYearFraction("actual/365 (fixed)",Evaluationdate,AK38,,,Trigger)</f>
        <v>8.7753424657534254</v>
      </c>
      <c r="AU38" s="246">
        <f>_xll.qlDayCounterYearFraction(AP38,AJ38,AK38,,,Trigger)</f>
        <v>0.25277777777777777</v>
      </c>
      <c r="AV38" s="247">
        <f>_xll.qlYieldTSDiscount("USDON",AJ38,,Trigger)</f>
        <v>0.89722562651079829</v>
      </c>
      <c r="AW38" s="247">
        <f>_xll.qlYieldTSDiscount("USDON",AK38,,Trigger)</f>
        <v>0.8929361615990079</v>
      </c>
      <c r="AX38" s="203">
        <f t="shared" si="2"/>
        <v>1.0599309816322087E-6</v>
      </c>
      <c r="AY38" s="203">
        <f t="shared" si="3"/>
        <v>-6.93278767727179E-7</v>
      </c>
      <c r="AZ38" s="201" t="b">
        <f t="shared" si="4"/>
        <v>1</v>
      </c>
      <c r="BA38" s="195">
        <f t="shared" si="5"/>
        <v>2.2633947279460394E-2</v>
      </c>
      <c r="BB38" s="248">
        <f t="shared" si="6"/>
        <v>0</v>
      </c>
      <c r="BC38" s="248">
        <f t="shared" si="7"/>
        <v>0</v>
      </c>
      <c r="BD38" s="193"/>
      <c r="BE38" s="256" t="s">
        <v>100</v>
      </c>
      <c r="BF38" s="256" t="s">
        <v>80</v>
      </c>
      <c r="BG38" s="256" t="str">
        <f>Currency&amp;BE38&amp;BF38&amp;QuoteSuffix</f>
        <v>USDOIS4Y_Quote</v>
      </c>
      <c r="BH38" s="257">
        <f>Evaluationdate</f>
        <v>42446</v>
      </c>
      <c r="BI38" s="257">
        <f>_xll.qlSwapStartDate(BO38,Trigger)</f>
        <v>42450</v>
      </c>
      <c r="BJ38" s="257">
        <f>_xll.qlSwapMaturityDate(BO38,Trigger)</f>
        <v>43913</v>
      </c>
      <c r="BK38" s="258">
        <f>_xll.qlOvernightIndexedSwapFairRate(BO38,Trigger)</f>
        <v>8.4605235962401486E-3</v>
      </c>
      <c r="BL38" s="258">
        <f>_xll.qlQuoteValue(BG38)</f>
        <v>8.43E-3</v>
      </c>
      <c r="BM38" s="259">
        <f t="shared" si="8"/>
        <v>0.30523596240148582</v>
      </c>
      <c r="BN38" s="260"/>
      <c r="BO38" s="260" t="str">
        <f>_xll.qlMakeOIS(,2,IF(BF38="SW","1W",BF38),UPPER(Currency)&amp;"FedFunds",,$BQ$4,$BR$4,,Permanent,Trigger,ObjectOverwrite)</f>
        <v>obj_00405#0311</v>
      </c>
      <c r="BP38" s="260"/>
    </row>
    <row r="39" spans="1:70" ht="11.25" customHeight="1" x14ac:dyDescent="0.2">
      <c r="A39" s="63" t="s">
        <v>100</v>
      </c>
      <c r="B39" s="64" t="s">
        <v>77</v>
      </c>
      <c r="C39" s="65">
        <f t="shared" si="14"/>
        <v>2</v>
      </c>
      <c r="D39" s="136"/>
      <c r="E39" s="66" t="str">
        <f t="shared" si="11"/>
        <v>USDFedFunds</v>
      </c>
      <c r="F39" s="68" t="str">
        <f t="shared" si="12"/>
        <v>USDOIS39M_Quote</v>
      </c>
      <c r="G39" s="136"/>
      <c r="H39" s="69"/>
      <c r="J39" s="11" t="str">
        <f t="shared" si="15"/>
        <v>OIS</v>
      </c>
      <c r="K39" s="105" t="str">
        <f t="shared" si="10"/>
        <v>--</v>
      </c>
      <c r="L39" s="108" t="str">
        <f>IFERROR(_xll.qlRateHelperQuoteName(K39,Trigger),"--")</f>
        <v>--</v>
      </c>
      <c r="M39" s="109" t="str">
        <f>IFERROR(_xll.qlRateHelperQuoteValue($K39,Trigger),"--")</f>
        <v>--</v>
      </c>
      <c r="N39" s="108" t="b">
        <v>0</v>
      </c>
      <c r="O39" s="105">
        <v>50</v>
      </c>
      <c r="P39" s="105">
        <v>1</v>
      </c>
      <c r="Q39" s="110" t="str">
        <f>IFERROR(_xll.qlRateHelperEarliestDate(K39,Trigger),"--")</f>
        <v>--</v>
      </c>
      <c r="R39" s="110" t="str">
        <f>IFERROR(_xll.qlRateHelperPillarDate(K39,Trigger),"--")</f>
        <v>--</v>
      </c>
      <c r="T39" s="4" t="str">
        <f t="shared" si="0"/>
        <v/>
      </c>
      <c r="U39" s="4" t="e">
        <v>#N/A</v>
      </c>
      <c r="V39" s="4" t="str">
        <f>IFERROR(_xll.qlRateHelperQuoteName(U39,Trigger),"")</f>
        <v/>
      </c>
      <c r="W39" s="75" t="str">
        <f>IFERROR(_xll.qlRateHelperRate(U39,Trigger),"")</f>
        <v/>
      </c>
      <c r="X39" s="115" t="str">
        <f>IF(ISERROR(_xll.qlSwapRateHelperSpread($U39)),IF(ISERROR(_xll.qlFuturesRateHelperConvexityAdjustment($U39)),"",_xll.qlFuturesRateHelperConvexityAdjustment($U39)),_xll.qlSwapRateHelperSpread($U39))</f>
        <v/>
      </c>
      <c r="Y39" s="5" t="str">
        <f>IFERROR(_xll.qlRateHelperEarliestDate(U39,Trigger),"")</f>
        <v/>
      </c>
      <c r="Z39" s="5" t="str">
        <f>IFERROR(_xll.qlRateHelperPillarDate(U39,Trigger),"")</f>
        <v/>
      </c>
      <c r="AA39" s="83" t="e">
        <v>#N/A</v>
      </c>
      <c r="AC39" s="198"/>
      <c r="AD39" s="230"/>
      <c r="AE39" s="230"/>
      <c r="AF39" s="216"/>
      <c r="AG39" s="198">
        <v>45737</v>
      </c>
      <c r="AH39" s="261">
        <v>5.5794925916902577E-3</v>
      </c>
      <c r="AI39" s="261">
        <v>1</v>
      </c>
      <c r="AJ39" s="198">
        <v>45649</v>
      </c>
      <c r="AK39" s="198">
        <v>45737</v>
      </c>
      <c r="AL39" s="200">
        <v>88</v>
      </c>
      <c r="AM39" s="201" t="str">
        <v>FedFundsON Actual/360</v>
      </c>
      <c r="AN39" s="200">
        <v>0</v>
      </c>
      <c r="AO39" s="198">
        <v>45736</v>
      </c>
      <c r="AP39" s="200" t="str">
        <v>Actual/360</v>
      </c>
      <c r="AQ39" s="202">
        <v>0.24444444444444444</v>
      </c>
      <c r="AR39" s="203">
        <v>2.2825196966005601E-2</v>
      </c>
      <c r="AS39" s="245">
        <f>_xll.qlDayCounterYearFraction("actual/365 (fixed)",Evaluationdate,AJ39,,,Trigger)</f>
        <v>8.7753424657534254</v>
      </c>
      <c r="AT39" s="246">
        <f>_xll.qlDayCounterYearFraction("actual/365 (fixed)",Evaluationdate,AK39,,,Trigger)</f>
        <v>9.0164383561643842</v>
      </c>
      <c r="AU39" s="246">
        <f>_xll.qlDayCounterYearFraction(AP39,AJ39,AK39,,,Trigger)</f>
        <v>0.24444444444444444</v>
      </c>
      <c r="AV39" s="247">
        <f>_xll.qlYieldTSDiscount("USDON",AJ39,,Trigger)</f>
        <v>0.8929361615990079</v>
      </c>
      <c r="AW39" s="247">
        <f>_xll.qlYieldTSDiscount("USDON",AK39,,Trigger)</f>
        <v>0.88875638383642408</v>
      </c>
      <c r="AX39" s="203">
        <f t="shared" si="2"/>
        <v>1.0201818692987282E-6</v>
      </c>
      <c r="AY39" s="203">
        <f t="shared" si="3"/>
        <v>-1.2527201498357954E-6</v>
      </c>
      <c r="AZ39" s="201" t="b">
        <f t="shared" si="4"/>
        <v>1</v>
      </c>
      <c r="BA39" s="195">
        <f t="shared" si="5"/>
        <v>2.2869345177047737E-2</v>
      </c>
      <c r="BB39" s="248">
        <f t="shared" si="6"/>
        <v>0</v>
      </c>
      <c r="BC39" s="248">
        <f t="shared" si="7"/>
        <v>0</v>
      </c>
      <c r="BD39" s="193"/>
      <c r="BE39" s="193" t="s">
        <v>100</v>
      </c>
      <c r="BF39" s="193" t="s">
        <v>81</v>
      </c>
      <c r="BG39" s="193" t="str">
        <f>Currency&amp;BE39&amp;BF39&amp;QuoteSuffix</f>
        <v>USDOIS51M_Quote</v>
      </c>
      <c r="BH39" s="252">
        <f>Evaluationdate</f>
        <v>42446</v>
      </c>
      <c r="BI39" s="252">
        <f>_xll.qlSwapStartDate(BO39,Trigger)</f>
        <v>42450</v>
      </c>
      <c r="BJ39" s="252">
        <f>_xll.qlSwapMaturityDate(BO39,Trigger)</f>
        <v>44004</v>
      </c>
      <c r="BK39" s="195">
        <f>_xll.qlOvernightIndexedSwapFairRate(BO39,Trigger)</f>
        <v>8.7351210354951712E-3</v>
      </c>
      <c r="BL39" s="195">
        <f>_xll.qlQuoteValue(BG39)</f>
        <v>8.7299999999999999E-3</v>
      </c>
      <c r="BM39" s="217">
        <f t="shared" si="8"/>
        <v>5.1210354951713305E-2</v>
      </c>
      <c r="BO39" s="50" t="str">
        <f>_xll.qlMakeOIS(,2,IF(BF39="SW","1W",BF39),UPPER(Currency)&amp;"FedFunds",,$BQ$4,$BR$4,,Permanent,Trigger,ObjectOverwrite)</f>
        <v>obj_00404#0311</v>
      </c>
    </row>
    <row r="40" spans="1:70" ht="11.25" customHeight="1" x14ac:dyDescent="0.2">
      <c r="A40" s="63" t="s">
        <v>100</v>
      </c>
      <c r="B40" s="64" t="s">
        <v>78</v>
      </c>
      <c r="C40" s="65">
        <f t="shared" si="14"/>
        <v>2</v>
      </c>
      <c r="D40" s="136"/>
      <c r="E40" s="66" t="str">
        <f t="shared" ref="E40:E61" si="16">Currency&amp;Tenor</f>
        <v>USDFedFunds</v>
      </c>
      <c r="F40" s="68" t="str">
        <f t="shared" ref="F40:F61" si="17">Currency&amp;$A40&amp;IF($B40="1W","SW",$B40)&amp;QuoteSuffix</f>
        <v>USDOIS42M_Quote</v>
      </c>
      <c r="G40" s="136"/>
      <c r="H40" s="69"/>
      <c r="J40" s="11" t="str">
        <f t="shared" si="15"/>
        <v>OIS</v>
      </c>
      <c r="K40" s="105" t="str">
        <f t="shared" si="10"/>
        <v>obj_00302#0311</v>
      </c>
      <c r="L40" s="108" t="str">
        <f>IFERROR(_xll.qlRateHelperQuoteName(K40,Trigger),"--")</f>
        <v>USDOIS4Y_Quote</v>
      </c>
      <c r="M40" s="109">
        <f>IFERROR(_xll.qlRateHelperQuoteValue($K40,Trigger),"--")</f>
        <v>8.6300000000000005E-3</v>
      </c>
      <c r="N40" s="108" t="b">
        <v>1</v>
      </c>
      <c r="O40" s="105">
        <v>50</v>
      </c>
      <c r="P40" s="105">
        <v>1</v>
      </c>
      <c r="Q40" s="110">
        <f>IFERROR(_xll.qlRateHelperEarliestDate(K40,Trigger),"--")</f>
        <v>42450</v>
      </c>
      <c r="R40" s="110">
        <f>IFERROR(_xll.qlRateHelperPillarDate(K40,Trigger),"--")</f>
        <v>43913</v>
      </c>
      <c r="T40" s="4" t="str">
        <f t="shared" si="0"/>
        <v/>
      </c>
      <c r="U40" s="4" t="e">
        <v>#N/A</v>
      </c>
      <c r="V40" s="4" t="str">
        <f>IFERROR(_xll.qlRateHelperQuoteName(U40,Trigger),"")</f>
        <v/>
      </c>
      <c r="W40" s="75" t="str">
        <f>IFERROR(_xll.qlRateHelperRate(U40,Trigger),"")</f>
        <v/>
      </c>
      <c r="X40" s="115" t="str">
        <f>IF(ISERROR(_xll.qlSwapRateHelperSpread($U40)),IF(ISERROR(_xll.qlFuturesRateHelperConvexityAdjustment($U40)),"",_xll.qlFuturesRateHelperConvexityAdjustment($U40)),_xll.qlSwapRateHelperSpread($U40))</f>
        <v/>
      </c>
      <c r="Y40" s="5" t="str">
        <f>IFERROR(_xll.qlRateHelperEarliestDate(U40,Trigger),"")</f>
        <v/>
      </c>
      <c r="Z40" s="5" t="str">
        <f>IFERROR(_xll.qlRateHelperPillarDate(U40,Trigger),"")</f>
        <v/>
      </c>
      <c r="AA40" s="83" t="e">
        <v>#N/A</v>
      </c>
      <c r="AC40" s="198"/>
      <c r="AD40" s="230"/>
      <c r="AE40" s="230"/>
      <c r="AF40" s="216"/>
      <c r="AG40" s="198">
        <v>45831</v>
      </c>
      <c r="AH40" s="261">
        <v>5.971893198808381E-3</v>
      </c>
      <c r="AI40" s="261">
        <v>1</v>
      </c>
      <c r="AJ40" s="198">
        <v>45737</v>
      </c>
      <c r="AK40" s="198">
        <v>45831</v>
      </c>
      <c r="AL40" s="200">
        <v>94</v>
      </c>
      <c r="AM40" s="201" t="str">
        <v>FedFundsON Actual/360</v>
      </c>
      <c r="AN40" s="200">
        <v>0</v>
      </c>
      <c r="AO40" s="198">
        <v>45828</v>
      </c>
      <c r="AP40" s="200" t="str">
        <v>Actual/360</v>
      </c>
      <c r="AQ40" s="202">
        <v>0.26111111111111113</v>
      </c>
      <c r="AR40" s="203">
        <v>2.2871080335861882E-2</v>
      </c>
      <c r="AS40" s="245">
        <f>_xll.qlDayCounterYearFraction("actual/365 (fixed)",Evaluationdate,AJ40,,,Trigger)</f>
        <v>9.0164383561643842</v>
      </c>
      <c r="AT40" s="246">
        <f>_xll.qlDayCounterYearFraction("actual/365 (fixed)",Evaluationdate,AK40,,,Trigger)</f>
        <v>9.2739726027397253</v>
      </c>
      <c r="AU40" s="246">
        <f>_xll.qlDayCounterYearFraction(AP40,AJ40,AK40,,,Trigger)</f>
        <v>0.26111111111111113</v>
      </c>
      <c r="AV40" s="247">
        <f>_xll.qlYieldTSDiscount("USDON",AJ40,,Trigger)</f>
        <v>0.88875638383642408</v>
      </c>
      <c r="AW40" s="247">
        <f>_xll.qlYieldTSDiscount("USDON",AK40,,Trigger)</f>
        <v>0.88425888335021907</v>
      </c>
      <c r="AX40" s="203">
        <f t="shared" si="2"/>
        <v>1.196021589553238E-6</v>
      </c>
      <c r="AY40" s="203">
        <f t="shared" si="3"/>
        <v>4.803391018270986E-5</v>
      </c>
      <c r="AZ40" s="201" t="b">
        <f t="shared" si="4"/>
        <v>1</v>
      </c>
      <c r="BA40" s="195">
        <f t="shared" si="5"/>
        <v>2.3108990001106347E-2</v>
      </c>
      <c r="BB40" s="248">
        <f t="shared" si="6"/>
        <v>0</v>
      </c>
      <c r="BC40" s="248">
        <f t="shared" si="7"/>
        <v>0</v>
      </c>
      <c r="BD40" s="193"/>
      <c r="BE40" s="193" t="s">
        <v>100</v>
      </c>
      <c r="BF40" s="193" t="s">
        <v>82</v>
      </c>
      <c r="BG40" s="193" t="str">
        <f>Currency&amp;BE40&amp;BF40&amp;QuoteSuffix</f>
        <v>USDOIS54M_Quote</v>
      </c>
      <c r="BH40" s="252">
        <f>Evaluationdate</f>
        <v>42446</v>
      </c>
      <c r="BI40" s="252">
        <f>_xll.qlSwapStartDate(BO40,Trigger)</f>
        <v>42450</v>
      </c>
      <c r="BJ40" s="252">
        <f>_xll.qlSwapMaturityDate(BO40,Trigger)</f>
        <v>44095</v>
      </c>
      <c r="BK40" s="195">
        <f>_xll.qlOvernightIndexedSwapFairRate(BO40,Trigger)</f>
        <v>9.0010086064144165E-3</v>
      </c>
      <c r="BL40" s="195">
        <f>_xll.qlQuoteValue(BG40)</f>
        <v>8.8900000000000003E-3</v>
      </c>
      <c r="BM40" s="217">
        <f t="shared" si="8"/>
        <v>1.1100860641441619</v>
      </c>
      <c r="BO40" s="50" t="str">
        <f>_xll.qlMakeOIS(,2,IF(BF40="SW","1W",BF40),UPPER(Currency)&amp;"FedFunds",,$BQ$4,$BR$4,,Permanent,Trigger,ObjectOverwrite)</f>
        <v>obj_00403#0311</v>
      </c>
    </row>
    <row r="41" spans="1:70" ht="11.25" customHeight="1" x14ac:dyDescent="0.2">
      <c r="A41" s="63" t="s">
        <v>100</v>
      </c>
      <c r="B41" s="64" t="s">
        <v>79</v>
      </c>
      <c r="C41" s="65">
        <f t="shared" si="14"/>
        <v>2</v>
      </c>
      <c r="D41" s="136"/>
      <c r="E41" s="66" t="str">
        <f t="shared" si="16"/>
        <v>USDFedFunds</v>
      </c>
      <c r="F41" s="68" t="str">
        <f t="shared" si="17"/>
        <v>USDOIS45M_Quote</v>
      </c>
      <c r="G41" s="136"/>
      <c r="H41" s="69"/>
      <c r="J41" s="11" t="str">
        <f t="shared" si="15"/>
        <v>OIS</v>
      </c>
      <c r="K41" s="105" t="str">
        <f t="shared" si="10"/>
        <v>--</v>
      </c>
      <c r="L41" s="108" t="str">
        <f>IFERROR(_xll.qlRateHelperQuoteName(K41,Trigger),"--")</f>
        <v>--</v>
      </c>
      <c r="M41" s="109" t="str">
        <f>IFERROR(_xll.qlRateHelperQuoteValue($K41,Trigger),"--")</f>
        <v>--</v>
      </c>
      <c r="N41" s="108" t="b">
        <v>0</v>
      </c>
      <c r="O41" s="105">
        <v>50</v>
      </c>
      <c r="P41" s="105">
        <v>1</v>
      </c>
      <c r="Q41" s="110" t="str">
        <f>IFERROR(_xll.qlRateHelperEarliestDate(K41,Trigger),"--")</f>
        <v>--</v>
      </c>
      <c r="R41" s="110" t="str">
        <f>IFERROR(_xll.qlRateHelperPillarDate(K41,Trigger),"--")</f>
        <v>--</v>
      </c>
      <c r="T41" s="4" t="str">
        <f t="shared" si="0"/>
        <v/>
      </c>
      <c r="U41" s="4" t="e">
        <v>#N/A</v>
      </c>
      <c r="V41" s="4" t="str">
        <f>IFERROR(_xll.qlRateHelperQuoteName(U41,Trigger),"")</f>
        <v/>
      </c>
      <c r="W41" s="75" t="str">
        <f>IFERROR(_xll.qlRateHelperRate(U41,Trigger),"")</f>
        <v/>
      </c>
      <c r="X41" s="115" t="str">
        <f>IF(ISERROR(_xll.qlSwapRateHelperSpread($U41)),IF(ISERROR(_xll.qlFuturesRateHelperConvexityAdjustment($U41)),"",_xll.qlFuturesRateHelperConvexityAdjustment($U41)),_xll.qlSwapRateHelperSpread($U41))</f>
        <v/>
      </c>
      <c r="Y41" s="5" t="str">
        <f>IFERROR(_xll.qlRateHelperEarliestDate(U41,Trigger),"")</f>
        <v/>
      </c>
      <c r="Z41" s="5" t="str">
        <f>IFERROR(_xll.qlRateHelperPillarDate(U41,Trigger),"")</f>
        <v/>
      </c>
      <c r="AA41" s="83" t="e">
        <v>#N/A</v>
      </c>
      <c r="AC41" s="198"/>
      <c r="AD41" s="230"/>
      <c r="AE41" s="230"/>
      <c r="AF41" s="216"/>
      <c r="AG41" s="198">
        <v>45922</v>
      </c>
      <c r="AH41" s="261">
        <v>5.8878540661246436E-3</v>
      </c>
      <c r="AI41" s="261">
        <v>1</v>
      </c>
      <c r="AJ41" s="198">
        <v>45831</v>
      </c>
      <c r="AK41" s="198">
        <v>45922</v>
      </c>
      <c r="AL41" s="200">
        <v>91</v>
      </c>
      <c r="AM41" s="201" t="str">
        <v>FedFundsON Actual/360</v>
      </c>
      <c r="AN41" s="200">
        <v>0</v>
      </c>
      <c r="AO41" s="198">
        <v>45919</v>
      </c>
      <c r="AP41" s="200" t="str">
        <v>Actual/360</v>
      </c>
      <c r="AQ41" s="202">
        <v>0.25277777777777777</v>
      </c>
      <c r="AR41" s="203">
        <v>2.3292609492361227E-2</v>
      </c>
      <c r="AS41" s="245">
        <f>_xll.qlDayCounterYearFraction("actual/365 (fixed)",Evaluationdate,AJ41,,,Trigger)</f>
        <v>9.2739726027397253</v>
      </c>
      <c r="AT41" s="246">
        <f>_xll.qlDayCounterYearFraction("actual/365 (fixed)",Evaluationdate,AK41,,,Trigger)</f>
        <v>9.5232876712328771</v>
      </c>
      <c r="AU41" s="246">
        <f>_xll.qlDayCounterYearFraction(AP41,AJ41,AK41,,,Trigger)</f>
        <v>0.25277777777777777</v>
      </c>
      <c r="AV41" s="247">
        <f>_xll.qlYieldTSDiscount("USDON",AJ41,,Trigger)</f>
        <v>0.88425888335021907</v>
      </c>
      <c r="AW41" s="247">
        <f>_xll.qlYieldTSDiscount("USDON",AK41,,Trigger)</f>
        <v>0.87987437699256421</v>
      </c>
      <c r="AX41" s="203">
        <f t="shared" si="2"/>
        <v>1.1529142211940248E-6</v>
      </c>
      <c r="AY41" s="203">
        <f t="shared" si="3"/>
        <v>-6.93278767727179E-7</v>
      </c>
      <c r="AZ41" s="201" t="b">
        <f t="shared" si="4"/>
        <v>1</v>
      </c>
      <c r="BA41" s="195">
        <f t="shared" si="5"/>
        <v>2.3343382194084668E-2</v>
      </c>
      <c r="BB41" s="248">
        <f t="shared" si="6"/>
        <v>0</v>
      </c>
      <c r="BC41" s="248">
        <f t="shared" si="7"/>
        <v>0</v>
      </c>
      <c r="BD41" s="193"/>
      <c r="BE41" s="193" t="s">
        <v>100</v>
      </c>
      <c r="BF41" s="193" t="s">
        <v>83</v>
      </c>
      <c r="BG41" s="193" t="str">
        <f>Currency&amp;BE41&amp;BF41&amp;QuoteSuffix</f>
        <v>USDOIS57M_Quote</v>
      </c>
      <c r="BH41" s="252">
        <f>Evaluationdate</f>
        <v>42446</v>
      </c>
      <c r="BI41" s="252">
        <f>_xll.qlSwapStartDate(BO41,Trigger)</f>
        <v>42450</v>
      </c>
      <c r="BJ41" s="252">
        <f>_xll.qlSwapMaturityDate(BO41,Trigger)</f>
        <v>44186</v>
      </c>
      <c r="BK41" s="195">
        <f>_xll.qlOvernightIndexedSwapFairRate(BO41,Trigger)</f>
        <v>9.2600337072936672E-3</v>
      </c>
      <c r="BL41" s="195">
        <f>_xll.qlQuoteValue(BG41)</f>
        <v>9.2699999999999987E-3</v>
      </c>
      <c r="BM41" s="217">
        <f t="shared" si="8"/>
        <v>9.9662927063315365E-2</v>
      </c>
      <c r="BO41" s="50" t="str">
        <f>_xll.qlMakeOIS(,2,IF(BF41="SW","1W",BF41),UPPER(Currency)&amp;"FedFunds",,$BQ$4,$BR$4,,Permanent,Trigger,ObjectOverwrite)</f>
        <v>obj_00402#0311</v>
      </c>
    </row>
    <row r="42" spans="1:70" ht="11.25" customHeight="1" x14ac:dyDescent="0.2">
      <c r="A42" s="63" t="s">
        <v>100</v>
      </c>
      <c r="B42" s="64" t="s">
        <v>80</v>
      </c>
      <c r="C42" s="65">
        <f t="shared" si="14"/>
        <v>2</v>
      </c>
      <c r="D42" s="136"/>
      <c r="E42" s="66" t="str">
        <f t="shared" si="16"/>
        <v>USDFedFunds</v>
      </c>
      <c r="F42" s="68" t="str">
        <f t="shared" si="17"/>
        <v>USDOIS4Y_Quote</v>
      </c>
      <c r="G42" s="136"/>
      <c r="H42" s="69" t="str">
        <f>_xll.qlOISRateHelper(,C42,B42,F42,$E42,,Permanent,Trigger,ObjectOverwrite)</f>
        <v>obj_00302#0311</v>
      </c>
      <c r="J42" s="11" t="str">
        <f t="shared" si="15"/>
        <v>OIS</v>
      </c>
      <c r="K42" s="105" t="str">
        <f t="shared" si="10"/>
        <v>--</v>
      </c>
      <c r="L42" s="108" t="str">
        <f>IFERROR(_xll.qlRateHelperQuoteName(K42,Trigger),"--")</f>
        <v>--</v>
      </c>
      <c r="M42" s="109" t="str">
        <f>IFERROR(_xll.qlRateHelperQuoteValue($K42,Trigger),"--")</f>
        <v>--</v>
      </c>
      <c r="N42" s="108" t="b">
        <v>0</v>
      </c>
      <c r="O42" s="105">
        <v>50</v>
      </c>
      <c r="P42" s="105">
        <v>1</v>
      </c>
      <c r="Q42" s="110" t="str">
        <f>IFERROR(_xll.qlRateHelperEarliestDate(K42,Trigger),"--")</f>
        <v>--</v>
      </c>
      <c r="R42" s="110" t="str">
        <f>IFERROR(_xll.qlRateHelperPillarDate(K42,Trigger),"--")</f>
        <v>--</v>
      </c>
      <c r="T42" s="4" t="str">
        <f t="shared" si="0"/>
        <v/>
      </c>
      <c r="U42" s="4" t="e">
        <v>#N/A</v>
      </c>
      <c r="V42" s="4" t="str">
        <f>IFERROR(_xll.qlRateHelperQuoteName(U42,Trigger),"")</f>
        <v/>
      </c>
      <c r="W42" s="75" t="str">
        <f>IFERROR(_xll.qlRateHelperRate(U42,Trigger),"")</f>
        <v/>
      </c>
      <c r="X42" s="115" t="str">
        <f>IF(ISERROR(_xll.qlSwapRateHelperSpread($U42)),IF(ISERROR(_xll.qlFuturesRateHelperConvexityAdjustment($U42)),"",_xll.qlFuturesRateHelperConvexityAdjustment($U42)),_xll.qlSwapRateHelperSpread($U42))</f>
        <v/>
      </c>
      <c r="Y42" s="5" t="str">
        <f>IFERROR(_xll.qlRateHelperEarliestDate(U42,Trigger),"")</f>
        <v/>
      </c>
      <c r="Z42" s="5" t="str">
        <f>IFERROR(_xll.qlRateHelperPillarDate(U42,Trigger),"")</f>
        <v/>
      </c>
      <c r="AA42" s="83" t="e">
        <v>#N/A</v>
      </c>
      <c r="AC42" s="198"/>
      <c r="AD42" s="230"/>
      <c r="AE42" s="230"/>
      <c r="AF42" s="216"/>
      <c r="AG42" s="198">
        <v>46013</v>
      </c>
      <c r="AH42" s="261">
        <v>5.9451000986769868E-3</v>
      </c>
      <c r="AI42" s="261">
        <v>1</v>
      </c>
      <c r="AJ42" s="198">
        <v>45922</v>
      </c>
      <c r="AK42" s="198">
        <v>46013</v>
      </c>
      <c r="AL42" s="200">
        <v>91</v>
      </c>
      <c r="AM42" s="201" t="str">
        <v>FedFundsON Actual/360</v>
      </c>
      <c r="AN42" s="200">
        <v>0</v>
      </c>
      <c r="AO42" s="198">
        <v>46010</v>
      </c>
      <c r="AP42" s="200" t="str">
        <v>Actual/360</v>
      </c>
      <c r="AQ42" s="202">
        <v>0.25277777777777777</v>
      </c>
      <c r="AR42" s="203">
        <v>2.351907731344742E-2</v>
      </c>
      <c r="AS42" s="245">
        <f>_xll.qlDayCounterYearFraction("actual/365 (fixed)",Evaluationdate,AJ42,,,Trigger)</f>
        <v>9.5232876712328771</v>
      </c>
      <c r="AT42" s="246">
        <f>_xll.qlDayCounterYearFraction("actual/365 (fixed)",Evaluationdate,AK42,,,Trigger)</f>
        <v>9.7726027397260271</v>
      </c>
      <c r="AU42" s="246">
        <f>_xll.qlDayCounterYearFraction(AP42,AJ42,AK42,,,Trigger)</f>
        <v>0.25277777777777777</v>
      </c>
      <c r="AV42" s="247">
        <f>_xll.qlYieldTSDiscount("USDON",AJ42,,Trigger)</f>
        <v>0.87987437699256421</v>
      </c>
      <c r="AW42" s="247">
        <f>_xll.qlYieldTSDiscount("USDON",AK42,,Trigger)</f>
        <v>0.87546146860110419</v>
      </c>
      <c r="AX42" s="203">
        <f t="shared" si="2"/>
        <v>1.1839086652882457E-6</v>
      </c>
      <c r="AY42" s="203">
        <f t="shared" si="3"/>
        <v>-6.968314814059795E-7</v>
      </c>
      <c r="AZ42" s="201" t="b">
        <f t="shared" si="4"/>
        <v>1</v>
      </c>
      <c r="BA42" s="195">
        <f t="shared" si="5"/>
        <v>2.3571094150615923E-2</v>
      </c>
      <c r="BB42" s="248">
        <f t="shared" si="6"/>
        <v>0</v>
      </c>
      <c r="BC42" s="248">
        <f t="shared" si="7"/>
        <v>0</v>
      </c>
      <c r="BD42" s="193"/>
      <c r="BE42" s="256" t="s">
        <v>100</v>
      </c>
      <c r="BF42" s="256" t="s">
        <v>84</v>
      </c>
      <c r="BG42" s="256" t="str">
        <f>Currency&amp;BE42&amp;BF42&amp;QuoteSuffix</f>
        <v>USDOIS5Y_Quote</v>
      </c>
      <c r="BH42" s="257">
        <f>Evaluationdate</f>
        <v>42446</v>
      </c>
      <c r="BI42" s="257">
        <f>_xll.qlSwapStartDate(BO42,Trigger)</f>
        <v>42450</v>
      </c>
      <c r="BJ42" s="257">
        <f>_xll.qlSwapMaturityDate(BO42,Trigger)</f>
        <v>44277</v>
      </c>
      <c r="BK42" s="258">
        <f>_xll.qlOvernightIndexedSwapFairRate(BO42,Trigger)</f>
        <v>9.5128799316562367E-3</v>
      </c>
      <c r="BL42" s="258">
        <f>_xll.qlQuoteValue(BG42)</f>
        <v>9.4800000000000006E-3</v>
      </c>
      <c r="BM42" s="259">
        <f t="shared" si="8"/>
        <v>0.32879931656236083</v>
      </c>
      <c r="BN42" s="260"/>
      <c r="BO42" s="260" t="str">
        <f>_xll.qlMakeOIS(,2,IF(BF42="SW","1W",BF42),UPPER(Currency)&amp;"FedFunds",,$BQ$4,$BR$4,,Permanent,Trigger,ObjectOverwrite)</f>
        <v>obj_00401#0311</v>
      </c>
      <c r="BP42" s="260"/>
    </row>
    <row r="43" spans="1:70" ht="11.25" customHeight="1" x14ac:dyDescent="0.2">
      <c r="A43" s="63" t="s">
        <v>100</v>
      </c>
      <c r="B43" s="64" t="s">
        <v>81</v>
      </c>
      <c r="C43" s="65">
        <f t="shared" si="14"/>
        <v>2</v>
      </c>
      <c r="D43" s="136"/>
      <c r="E43" s="66" t="str">
        <f t="shared" si="16"/>
        <v>USDFedFunds</v>
      </c>
      <c r="F43" s="68" t="str">
        <f t="shared" si="17"/>
        <v>USDOIS51M_Quote</v>
      </c>
      <c r="G43" s="136"/>
      <c r="H43" s="69"/>
      <c r="J43" s="11" t="str">
        <f t="shared" si="15"/>
        <v>OIS</v>
      </c>
      <c r="K43" s="105" t="str">
        <f t="shared" si="10"/>
        <v>--</v>
      </c>
      <c r="L43" s="108" t="str">
        <f>IFERROR(_xll.qlRateHelperQuoteName(K43,Trigger),"--")</f>
        <v>--</v>
      </c>
      <c r="M43" s="109" t="str">
        <f>IFERROR(_xll.qlRateHelperQuoteValue($K43,Trigger),"--")</f>
        <v>--</v>
      </c>
      <c r="N43" s="108" t="b">
        <v>0</v>
      </c>
      <c r="O43" s="105">
        <v>50</v>
      </c>
      <c r="P43" s="105">
        <v>1</v>
      </c>
      <c r="Q43" s="110" t="str">
        <f>IFERROR(_xll.qlRateHelperEarliestDate(K43,Trigger),"--")</f>
        <v>--</v>
      </c>
      <c r="R43" s="110" t="str">
        <f>IFERROR(_xll.qlRateHelperPillarDate(K43,Trigger),"--")</f>
        <v>--</v>
      </c>
      <c r="T43" s="4" t="str">
        <f t="shared" si="0"/>
        <v/>
      </c>
      <c r="U43" s="4" t="e">
        <v>#N/A</v>
      </c>
      <c r="V43" s="4" t="str">
        <f>IFERROR(_xll.qlRateHelperQuoteName(U43,Trigger),"")</f>
        <v/>
      </c>
      <c r="W43" s="75" t="str">
        <f>IFERROR(_xll.qlRateHelperRate(U43,Trigger),"")</f>
        <v/>
      </c>
      <c r="X43" s="115" t="str">
        <f>IF(ISERROR(_xll.qlSwapRateHelperSpread($U43)),IF(ISERROR(_xll.qlFuturesRateHelperConvexityAdjustment($U43)),"",_xll.qlFuturesRateHelperConvexityAdjustment($U43)),_xll.qlSwapRateHelperSpread($U43))</f>
        <v/>
      </c>
      <c r="Y43" s="5" t="str">
        <f>IFERROR(_xll.qlRateHelperEarliestDate(U43,Trigger),"")</f>
        <v/>
      </c>
      <c r="Z43" s="5" t="str">
        <f>IFERROR(_xll.qlRateHelperPillarDate(U43,Trigger),"")</f>
        <v/>
      </c>
      <c r="AA43" s="83" t="e">
        <v>#N/A</v>
      </c>
      <c r="AC43" s="198"/>
      <c r="AD43" s="230"/>
      <c r="AE43" s="230"/>
      <c r="AF43" s="216"/>
      <c r="AG43" s="198">
        <v>46104</v>
      </c>
      <c r="AH43" s="261">
        <v>6.001233076707255E-3</v>
      </c>
      <c r="AI43" s="261">
        <v>1</v>
      </c>
      <c r="AJ43" s="198">
        <v>46013</v>
      </c>
      <c r="AK43" s="198">
        <v>46104</v>
      </c>
      <c r="AL43" s="200">
        <v>91</v>
      </c>
      <c r="AM43" s="201" t="str">
        <v>FedFundsON Actual/360</v>
      </c>
      <c r="AN43" s="200">
        <v>0</v>
      </c>
      <c r="AO43" s="198">
        <v>46101</v>
      </c>
      <c r="AP43" s="200" t="str">
        <v>Actual/360</v>
      </c>
      <c r="AQ43" s="202">
        <v>0.25277777777777777</v>
      </c>
      <c r="AR43" s="203">
        <v>2.3741141841918813E-2</v>
      </c>
      <c r="AS43" s="245">
        <f>_xll.qlDayCounterYearFraction("actual/365 (fixed)",Evaluationdate,AJ43,,,Trigger)</f>
        <v>9.7726027397260271</v>
      </c>
      <c r="AT43" s="246">
        <f>_xll.qlDayCounterYearFraction("actual/365 (fixed)",Evaluationdate,AK43,,,Trigger)</f>
        <v>10.021917808219179</v>
      </c>
      <c r="AU43" s="246">
        <f>_xll.qlDayCounterYearFraction(AP43,AJ43,AK43,,,Trigger)</f>
        <v>0.25277777777777777</v>
      </c>
      <c r="AV43" s="247">
        <f>_xll.qlYieldTSDiscount("USDON",AJ43,,Trigger)</f>
        <v>0.87546146860110419</v>
      </c>
      <c r="AW43" s="247">
        <f>_xll.qlYieldTSDiscount("USDON",AK43,,Trigger)</f>
        <v>0.87102176813130172</v>
      </c>
      <c r="AX43" s="203">
        <f t="shared" si="2"/>
        <v>1.2149031248405418E-6</v>
      </c>
      <c r="AY43" s="203">
        <f t="shared" si="3"/>
        <v>-6.93278767727179E-7</v>
      </c>
      <c r="AZ43" s="201" t="b">
        <f t="shared" si="4"/>
        <v>1</v>
      </c>
      <c r="BA43" s="195">
        <f t="shared" si="5"/>
        <v>2.3794421662949587E-2</v>
      </c>
      <c r="BB43" s="248">
        <f t="shared" si="6"/>
        <v>0</v>
      </c>
      <c r="BC43" s="248">
        <f t="shared" si="7"/>
        <v>0</v>
      </c>
      <c r="BD43" s="193"/>
      <c r="BE43" s="193" t="s">
        <v>100</v>
      </c>
      <c r="BF43" s="193" t="s">
        <v>85</v>
      </c>
      <c r="BG43" s="193" t="str">
        <f>Currency&amp;BE43&amp;BF43&amp;QuoteSuffix</f>
        <v>USDOIS6Y_Quote</v>
      </c>
      <c r="BH43" s="252">
        <f>Evaluationdate</f>
        <v>42446</v>
      </c>
      <c r="BI43" s="252">
        <f>_xll.qlSwapStartDate(BO43,Trigger)</f>
        <v>42450</v>
      </c>
      <c r="BJ43" s="252">
        <f>_xll.qlSwapMaturityDate(BO43,Trigger)</f>
        <v>44641</v>
      </c>
      <c r="BK43" s="195">
        <f>_xll.qlOvernightIndexedSwapFairRate(BO43,Trigger)</f>
        <v>1.0466869398170865E-2</v>
      </c>
      <c r="BL43" s="195">
        <f>_xll.qlQuoteValue(BG43)</f>
        <v>1.0390000000000002E-2</v>
      </c>
      <c r="BM43" s="217">
        <f t="shared" si="8"/>
        <v>0.76869398170862846</v>
      </c>
      <c r="BO43" s="50" t="str">
        <f>_xll.qlMakeOIS(,2,IF(BF43="SW","1W",BF43),UPPER(Currency)&amp;"FedFunds",,$BQ$4,$BR$4,,Permanent,Trigger,ObjectOverwrite)</f>
        <v>obj_00400#0314</v>
      </c>
    </row>
    <row r="44" spans="1:70" ht="11.25" customHeight="1" x14ac:dyDescent="0.2">
      <c r="A44" s="63" t="s">
        <v>100</v>
      </c>
      <c r="B44" s="64" t="s">
        <v>82</v>
      </c>
      <c r="C44" s="65">
        <f t="shared" si="14"/>
        <v>2</v>
      </c>
      <c r="D44" s="136"/>
      <c r="E44" s="66" t="str">
        <f t="shared" si="16"/>
        <v>USDFedFunds</v>
      </c>
      <c r="F44" s="68" t="str">
        <f t="shared" si="17"/>
        <v>USDOIS54M_Quote</v>
      </c>
      <c r="G44" s="136"/>
      <c r="H44" s="69"/>
      <c r="J44" s="11" t="str">
        <f t="shared" si="15"/>
        <v>OIS</v>
      </c>
      <c r="K44" s="105" t="str">
        <f t="shared" si="10"/>
        <v>obj_00305#0310</v>
      </c>
      <c r="L44" s="108" t="str">
        <f>IFERROR(_xll.qlRateHelperQuoteName(K44,Trigger),"--")</f>
        <v>USDOIS5Y_Quote</v>
      </c>
      <c r="M44" s="109">
        <f>IFERROR(_xll.qlRateHelperQuoteValue($K44,Trigger),"--")</f>
        <v>9.7000000000000003E-3</v>
      </c>
      <c r="N44" s="108" t="b">
        <v>1</v>
      </c>
      <c r="O44" s="105">
        <v>50</v>
      </c>
      <c r="P44" s="105">
        <v>1</v>
      </c>
      <c r="Q44" s="110">
        <f>IFERROR(_xll.qlRateHelperEarliestDate(K44,Trigger),"--")</f>
        <v>42450</v>
      </c>
      <c r="R44" s="110">
        <f>IFERROR(_xll.qlRateHelperPillarDate(K44,Trigger),"--")</f>
        <v>44277</v>
      </c>
      <c r="T44" s="4" t="str">
        <f t="shared" si="0"/>
        <v/>
      </c>
      <c r="U44" s="4" t="e">
        <v>#N/A</v>
      </c>
      <c r="V44" s="4" t="str">
        <f>IFERROR(_xll.qlRateHelperQuoteName(U44,Trigger),"")</f>
        <v/>
      </c>
      <c r="W44" s="75" t="str">
        <f>IFERROR(_xll.qlRateHelperRate(U44,Trigger),"")</f>
        <v/>
      </c>
      <c r="X44" s="115" t="str">
        <f>IF(ISERROR(_xll.qlSwapRateHelperSpread($U44)),IF(ISERROR(_xll.qlFuturesRateHelperConvexityAdjustment($U44)),"",_xll.qlFuturesRateHelperConvexityAdjustment($U44)),_xll.qlSwapRateHelperSpread($U44))</f>
        <v/>
      </c>
      <c r="Y44" s="5" t="str">
        <f>IFERROR(_xll.qlRateHelperEarliestDate(U44,Trigger),"")</f>
        <v/>
      </c>
      <c r="Z44" s="5" t="str">
        <f>IFERROR(_xll.qlRateHelperPillarDate(U44,Trigger),"")</f>
        <v/>
      </c>
      <c r="AA44" s="83" t="e">
        <v>#N/A</v>
      </c>
      <c r="AC44" s="198"/>
      <c r="AD44" s="230"/>
      <c r="AE44" s="230"/>
      <c r="AF44" s="216"/>
      <c r="AG44" s="198">
        <v>46195</v>
      </c>
      <c r="AH44" s="261">
        <v>6.0550895250602024E-3</v>
      </c>
      <c r="AI44" s="261">
        <v>1</v>
      </c>
      <c r="AJ44" s="198">
        <v>46104</v>
      </c>
      <c r="AK44" s="198">
        <v>46195</v>
      </c>
      <c r="AL44" s="200">
        <v>91</v>
      </c>
      <c r="AM44" s="201" t="str">
        <v>FedFundsON Actual/360</v>
      </c>
      <c r="AN44" s="200">
        <v>0</v>
      </c>
      <c r="AO44" s="198">
        <v>46192</v>
      </c>
      <c r="AP44" s="200" t="str">
        <v>Actual/360</v>
      </c>
      <c r="AQ44" s="202">
        <v>0.25277777777777777</v>
      </c>
      <c r="AR44" s="203">
        <v>2.3954200318919483E-2</v>
      </c>
      <c r="AS44" s="245">
        <f>_xll.qlDayCounterYearFraction("actual/365 (fixed)",Evaluationdate,AJ44,,,Trigger)</f>
        <v>10.021917808219179</v>
      </c>
      <c r="AT44" s="246">
        <f>_xll.qlDayCounterYearFraction("actual/365 (fixed)",Evaluationdate,AK44,,,Trigger)</f>
        <v>10.271232876712329</v>
      </c>
      <c r="AU44" s="246">
        <f>_xll.qlDayCounterYearFraction(AP44,AJ44,AK44,,,Trigger)</f>
        <v>0.25277777777777777</v>
      </c>
      <c r="AV44" s="247">
        <f>_xll.qlYieldTSDiscount("USDON",AJ44,,Trigger)</f>
        <v>0.87102176813130172</v>
      </c>
      <c r="AW44" s="247">
        <f>_xll.qlYieldTSDiscount("USDON",AK44,,Trigger)</f>
        <v>0.86655788780812748</v>
      </c>
      <c r="AX44" s="203">
        <f t="shared" si="2"/>
        <v>1.2458975998509129E-6</v>
      </c>
      <c r="AY44" s="203">
        <f t="shared" si="3"/>
        <v>-6.968314814059795E-7</v>
      </c>
      <c r="AZ44" s="201" t="b">
        <f t="shared" si="4"/>
        <v>1</v>
      </c>
      <c r="BA44" s="195">
        <f t="shared" si="5"/>
        <v>2.4008681010757156E-2</v>
      </c>
      <c r="BB44" s="248">
        <f t="shared" si="6"/>
        <v>0</v>
      </c>
      <c r="BC44" s="248">
        <f t="shared" si="7"/>
        <v>0</v>
      </c>
      <c r="BD44" s="193"/>
      <c r="BE44" s="256" t="s">
        <v>100</v>
      </c>
      <c r="BF44" s="256" t="s">
        <v>86</v>
      </c>
      <c r="BG44" s="256" t="str">
        <f>Currency&amp;BE44&amp;BF44&amp;QuoteSuffix</f>
        <v>USDOIS7Y_Quote</v>
      </c>
      <c r="BH44" s="257">
        <f>Evaluationdate</f>
        <v>42446</v>
      </c>
      <c r="BI44" s="257">
        <f>_xll.qlSwapStartDate(BO44,Trigger)</f>
        <v>42450</v>
      </c>
      <c r="BJ44" s="257">
        <f>_xll.qlSwapMaturityDate(BO44,Trigger)</f>
        <v>45006</v>
      </c>
      <c r="BK44" s="258">
        <f>_xll.qlOvernightIndexedSwapFairRate(BO44,Trigger)</f>
        <v>1.1337208292059971E-2</v>
      </c>
      <c r="BL44" s="258">
        <f>_xll.qlQuoteValue(BG44)</f>
        <v>1.1270000000000001E-2</v>
      </c>
      <c r="BM44" s="259">
        <f t="shared" si="8"/>
        <v>0.67208292059970853</v>
      </c>
      <c r="BN44" s="260"/>
      <c r="BO44" s="260" t="str">
        <f>_xll.qlMakeOIS(,2,IF(BF44="SW","1W",BF44),UPPER(Currency)&amp;"FedFunds",,$BQ$4,$BR$4,,Permanent,Trigger,ObjectOverwrite)</f>
        <v>obj_003ff#0314</v>
      </c>
      <c r="BP44" s="260"/>
      <c r="BQ44" s="195">
        <v>1.1439845317033733E-2</v>
      </c>
      <c r="BR44" s="217">
        <f>(BK44-BQ44)*10000</f>
        <v>-1.0263702497376181</v>
      </c>
    </row>
    <row r="45" spans="1:70" ht="11.25" customHeight="1" x14ac:dyDescent="0.2">
      <c r="A45" s="63" t="s">
        <v>100</v>
      </c>
      <c r="B45" s="64" t="s">
        <v>83</v>
      </c>
      <c r="C45" s="65">
        <f t="shared" si="14"/>
        <v>2</v>
      </c>
      <c r="D45" s="136"/>
      <c r="E45" s="66" t="str">
        <f t="shared" si="16"/>
        <v>USDFedFunds</v>
      </c>
      <c r="F45" s="68" t="str">
        <f t="shared" si="17"/>
        <v>USDOIS57M_Quote</v>
      </c>
      <c r="G45" s="136"/>
      <c r="H45" s="69"/>
      <c r="J45" s="11" t="str">
        <f t="shared" si="15"/>
        <v>OIS</v>
      </c>
      <c r="K45" s="105" t="str">
        <f t="shared" si="10"/>
        <v>obj_002fa#0315</v>
      </c>
      <c r="L45" s="108" t="str">
        <f>IFERROR(_xll.qlRateHelperQuoteName(K45,Trigger),"--")</f>
        <v>USDOIS6Y_Quote</v>
      </c>
      <c r="M45" s="109">
        <f>IFERROR(_xll.qlRateHelperQuoteValue($K45,Trigger),"--")</f>
        <v>1.065E-2</v>
      </c>
      <c r="N45" s="108" t="b">
        <v>0</v>
      </c>
      <c r="O45" s="105">
        <v>50</v>
      </c>
      <c r="P45" s="105">
        <v>1</v>
      </c>
      <c r="Q45" s="110">
        <f>IFERROR(_xll.qlRateHelperEarliestDate(K45,Trigger),"--")</f>
        <v>42450</v>
      </c>
      <c r="R45" s="110">
        <f>IFERROR(_xll.qlRateHelperPillarDate(K45,Trigger),"--")</f>
        <v>44641</v>
      </c>
      <c r="T45" s="4" t="str">
        <f t="shared" si="0"/>
        <v/>
      </c>
      <c r="U45" s="4" t="e">
        <v>#N/A</v>
      </c>
      <c r="V45" s="4" t="str">
        <f>IFERROR(_xll.qlRateHelperQuoteName(U45,Trigger),"")</f>
        <v/>
      </c>
      <c r="W45" s="75" t="str">
        <f>IFERROR(_xll.qlRateHelperRate(U45,Trigger),"")</f>
        <v/>
      </c>
      <c r="X45" s="115" t="str">
        <f>IF(ISERROR(_xll.qlSwapRateHelperSpread($U45)),IF(ISERROR(_xll.qlFuturesRateHelperConvexityAdjustment($U45)),"",_xll.qlFuturesRateHelperConvexityAdjustment($U45)),_xll.qlSwapRateHelperSpread($U45))</f>
        <v/>
      </c>
      <c r="Y45" s="5" t="str">
        <f>IFERROR(_xll.qlRateHelperEarliestDate(U45,Trigger),"")</f>
        <v/>
      </c>
      <c r="Z45" s="5" t="str">
        <f>IFERROR(_xll.qlRateHelperPillarDate(U45,Trigger),"")</f>
        <v/>
      </c>
      <c r="AA45" s="83" t="e">
        <v>#N/A</v>
      </c>
      <c r="AC45" s="198"/>
      <c r="AD45" s="216"/>
      <c r="AE45" s="216"/>
      <c r="AF45" s="216"/>
      <c r="AG45" s="198">
        <v>46286</v>
      </c>
      <c r="AH45" s="261">
        <v>6.101948041555982E-3</v>
      </c>
      <c r="AI45" s="261">
        <v>1</v>
      </c>
      <c r="AJ45" s="198">
        <v>46195</v>
      </c>
      <c r="AK45" s="198">
        <v>46286</v>
      </c>
      <c r="AL45" s="200">
        <v>91</v>
      </c>
      <c r="AM45" s="201" t="str">
        <v>FedFundsON Actual/360</v>
      </c>
      <c r="AN45" s="200">
        <v>0</v>
      </c>
      <c r="AO45" s="198">
        <v>46283</v>
      </c>
      <c r="AP45" s="200" t="str">
        <v>Actual/360</v>
      </c>
      <c r="AQ45" s="202">
        <v>0.25277777777777777</v>
      </c>
      <c r="AR45" s="203">
        <v>2.4139574669891799E-2</v>
      </c>
      <c r="AS45" s="245">
        <f>_xll.qlDayCounterYearFraction("actual/365 (fixed)",Evaluationdate,AJ45,,,Trigger)</f>
        <v>10.271232876712329</v>
      </c>
      <c r="AT45" s="246">
        <f>_xll.qlDayCounterYearFraction("actual/365 (fixed)",Evaluationdate,AK45,,,Trigger)</f>
        <v>10.520547945205479</v>
      </c>
      <c r="AU45" s="246">
        <f>_xll.qlDayCounterYearFraction(AP45,AJ45,AK45,,,Trigger)</f>
        <v>0.25277777777777777</v>
      </c>
      <c r="AV45" s="247">
        <f>_xll.qlYieldTSDiscount("USDON",AJ45,,Trigger)</f>
        <v>0.86655788780812748</v>
      </c>
      <c r="AW45" s="247">
        <f>_xll.qlYieldTSDiscount("USDON",AK45,,Trigger)</f>
        <v>0.86207646103575264</v>
      </c>
      <c r="AX45" s="203">
        <f t="shared" si="2"/>
        <v>1.2768920903055573E-6</v>
      </c>
      <c r="AY45" s="203">
        <f t="shared" si="3"/>
        <v>-6.968314814059795E-7</v>
      </c>
      <c r="AZ45" s="201" t="b">
        <f t="shared" si="4"/>
        <v>1</v>
      </c>
      <c r="BA45" s="195">
        <f t="shared" si="5"/>
        <v>2.419513789508515E-2</v>
      </c>
      <c r="BB45" s="248">
        <f t="shared" si="6"/>
        <v>0</v>
      </c>
      <c r="BC45" s="248">
        <f t="shared" si="7"/>
        <v>0</v>
      </c>
      <c r="BD45" s="193"/>
      <c r="BE45" s="256" t="s">
        <v>100</v>
      </c>
      <c r="BF45" s="256" t="s">
        <v>87</v>
      </c>
      <c r="BG45" s="256" t="str">
        <f>Currency&amp;BE45&amp;BF45&amp;QuoteSuffix</f>
        <v>USDOIS8Y_Quote</v>
      </c>
      <c r="BH45" s="257">
        <f>Evaluationdate</f>
        <v>42446</v>
      </c>
      <c r="BI45" s="257">
        <f>_xll.qlSwapStartDate(BO45,Trigger)</f>
        <v>42450</v>
      </c>
      <c r="BJ45" s="257">
        <f>_xll.qlSwapMaturityDate(BO45,Trigger)</f>
        <v>45372</v>
      </c>
      <c r="BK45" s="258">
        <f>_xll.qlOvernightIndexedSwapFairRate(BO45,Trigger)</f>
        <v>1.2124687600530667E-2</v>
      </c>
      <c r="BL45" s="258">
        <f>_xll.qlQuoteValue(BG45)</f>
        <v>1.2019999999999999E-2</v>
      </c>
      <c r="BM45" s="259">
        <f t="shared" si="8"/>
        <v>1.0468760053066775</v>
      </c>
      <c r="BN45" s="260"/>
      <c r="BO45" s="260" t="str">
        <f>_xll.qlMakeOIS(,2,IF(BF45="SW","1W",BF45),UPPER(Currency)&amp;"FedFunds",,$BQ$4,$BR$4,,Permanent,Trigger,ObjectOverwrite)</f>
        <v>obj_003fe#0314</v>
      </c>
      <c r="BP45" s="260"/>
      <c r="BQ45" s="195">
        <v>1.2237567255129844E-2</v>
      </c>
      <c r="BR45" s="217">
        <f t="shared" ref="BR45:BR52" si="18">(BK45-BQ45)*10000</f>
        <v>-1.128796545991767</v>
      </c>
    </row>
    <row r="46" spans="1:70" ht="11.25" customHeight="1" x14ac:dyDescent="0.2">
      <c r="A46" s="63" t="s">
        <v>100</v>
      </c>
      <c r="B46" s="64" t="s">
        <v>84</v>
      </c>
      <c r="C46" s="65">
        <f t="shared" si="14"/>
        <v>2</v>
      </c>
      <c r="D46" s="136"/>
      <c r="E46" s="66" t="str">
        <f t="shared" si="16"/>
        <v>USDFedFunds</v>
      </c>
      <c r="F46" s="68" t="str">
        <f t="shared" si="17"/>
        <v>USDOIS5Y_Quote</v>
      </c>
      <c r="G46" s="136"/>
      <c r="H46" s="69" t="str">
        <f>_xll.qlOISRateHelper(,C46,B46,F46,$E46,,Permanent,Trigger,ObjectOverwrite)</f>
        <v>obj_00305#0310</v>
      </c>
      <c r="J46" s="11" t="str">
        <f t="shared" si="15"/>
        <v>OIS</v>
      </c>
      <c r="K46" s="105" t="str">
        <f t="shared" si="10"/>
        <v>obj_002fb#0314</v>
      </c>
      <c r="L46" s="108" t="str">
        <f>IFERROR(_xll.qlRateHelperQuoteName(K46,Trigger),"--")</f>
        <v>USDOIS7Y_Quote</v>
      </c>
      <c r="M46" s="109">
        <f>IFERROR(_xll.qlRateHelperQuoteValue($K46,Trigger),"--")</f>
        <v>1.149E-2</v>
      </c>
      <c r="N46" s="108" t="b">
        <v>1</v>
      </c>
      <c r="O46" s="105">
        <v>50</v>
      </c>
      <c r="P46" s="105">
        <v>1</v>
      </c>
      <c r="Q46" s="110">
        <f>IFERROR(_xll.qlRateHelperEarliestDate(K46,Trigger),"--")</f>
        <v>42450</v>
      </c>
      <c r="R46" s="110">
        <f>IFERROR(_xll.qlRateHelperPillarDate(K46,Trigger),"--")</f>
        <v>45006</v>
      </c>
      <c r="T46" s="4" t="str">
        <f t="shared" si="0"/>
        <v/>
      </c>
      <c r="U46" s="4" t="e">
        <v>#N/A</v>
      </c>
      <c r="V46" s="4" t="str">
        <f>IFERROR(_xll.qlRateHelperQuoteName(U46,Trigger),"")</f>
        <v/>
      </c>
      <c r="W46" s="75" t="str">
        <f>IFERROR(_xll.qlRateHelperRate(U46,Trigger),"")</f>
        <v/>
      </c>
      <c r="X46" s="115" t="str">
        <f>IF(ISERROR(_xll.qlSwapRateHelperSpread($U46)),IF(ISERROR(_xll.qlFuturesRateHelperConvexityAdjustment($U46)),"",_xll.qlFuturesRateHelperConvexityAdjustment($U46)),_xll.qlSwapRateHelperSpread($U46))</f>
        <v/>
      </c>
      <c r="Y46" s="5" t="str">
        <f>IFERROR(_xll.qlRateHelperEarliestDate(U46,Trigger),"")</f>
        <v/>
      </c>
      <c r="Z46" s="5" t="str">
        <f>IFERROR(_xll.qlRateHelperPillarDate(U46,Trigger),"")</f>
        <v/>
      </c>
      <c r="AA46" s="83" t="e">
        <v>#N/A</v>
      </c>
      <c r="AC46" s="198"/>
      <c r="AD46" s="216"/>
      <c r="AE46" s="216"/>
      <c r="AF46" s="216"/>
      <c r="AG46" s="198">
        <v>46377</v>
      </c>
      <c r="AH46" s="261">
        <v>6.1406309401846187E-3</v>
      </c>
      <c r="AI46" s="261">
        <v>1</v>
      </c>
      <c r="AJ46" s="198">
        <v>46286</v>
      </c>
      <c r="AK46" s="198">
        <v>46377</v>
      </c>
      <c r="AL46" s="200">
        <v>91</v>
      </c>
      <c r="AM46" s="201" t="str">
        <v>FedFundsON Actual/360</v>
      </c>
      <c r="AN46" s="200">
        <v>0</v>
      </c>
      <c r="AO46" s="198">
        <v>46374</v>
      </c>
      <c r="AP46" s="200" t="str">
        <v>Actual/360</v>
      </c>
      <c r="AQ46" s="202">
        <v>0.25277777777777777</v>
      </c>
      <c r="AR46" s="203">
        <v>2.4292605917213876E-2</v>
      </c>
      <c r="AS46" s="245">
        <f>_xll.qlDayCounterYearFraction("actual/365 (fixed)",Evaluationdate,AJ46,,,Trigger)</f>
        <v>10.520547945205479</v>
      </c>
      <c r="AT46" s="246">
        <f>_xll.qlDayCounterYearFraction("actual/365 (fixed)",Evaluationdate,AK46,,,Trigger)</f>
        <v>10.769863013698631</v>
      </c>
      <c r="AU46" s="246">
        <f>_xll.qlDayCounterYearFraction(AP46,AJ46,AK46,,,Trigger)</f>
        <v>0.25277777777777777</v>
      </c>
      <c r="AV46" s="247">
        <f>_xll.qlYieldTSDiscount("USDON",AJ46,,Trigger)</f>
        <v>0.86207646103575264</v>
      </c>
      <c r="AW46" s="247">
        <f>_xll.qlYieldTSDiscount("USDON",AK46,,Trigger)</f>
        <v>0.85758500593528175</v>
      </c>
      <c r="AX46" s="203">
        <f t="shared" si="2"/>
        <v>1.3078865962320784E-6</v>
      </c>
      <c r="AY46" s="203">
        <f t="shared" si="3"/>
        <v>-6.93278767727179E-7</v>
      </c>
      <c r="AZ46" s="201" t="b">
        <f t="shared" si="4"/>
        <v>1</v>
      </c>
      <c r="BA46" s="195">
        <f t="shared" si="5"/>
        <v>2.4349105022927094E-2</v>
      </c>
      <c r="BB46" s="248">
        <f t="shared" si="6"/>
        <v>0</v>
      </c>
      <c r="BC46" s="248">
        <f t="shared" si="7"/>
        <v>0</v>
      </c>
      <c r="BD46" s="193"/>
      <c r="BE46" s="256" t="s">
        <v>100</v>
      </c>
      <c r="BF46" s="256" t="s">
        <v>88</v>
      </c>
      <c r="BG46" s="256" t="str">
        <f>Currency&amp;BE46&amp;BF46&amp;QuoteSuffix</f>
        <v>USDOIS9Y_Quote</v>
      </c>
      <c r="BH46" s="257">
        <f>Evaluationdate</f>
        <v>42446</v>
      </c>
      <c r="BI46" s="257">
        <f>_xll.qlSwapStartDate(BO46,Trigger)</f>
        <v>42450</v>
      </c>
      <c r="BJ46" s="257">
        <f>_xll.qlSwapMaturityDate(BO46,Trigger)</f>
        <v>45737</v>
      </c>
      <c r="BK46" s="258">
        <f>_xll.qlOvernightIndexedSwapFairRate(BO46,Trigger)</f>
        <v>1.2840739079342888E-2</v>
      </c>
      <c r="BL46" s="258">
        <f>_xll.qlQuoteValue(BG46)</f>
        <v>1.2789999999999999E-2</v>
      </c>
      <c r="BM46" s="259">
        <f t="shared" si="8"/>
        <v>0.50739079342889193</v>
      </c>
      <c r="BN46" s="260"/>
      <c r="BO46" s="260" t="str">
        <f>_xll.qlMakeOIS(,2,IF(BF46="SW","1W",BF46),UPPER(Currency)&amp;"FedFunds",,$BQ$4,$BR$4,,Permanent,Trigger,ObjectOverwrite)</f>
        <v>obj_003fd#0314</v>
      </c>
      <c r="BP46" s="260"/>
      <c r="BQ46" s="195">
        <v>1.2957415464446415E-2</v>
      </c>
      <c r="BR46" s="217">
        <f t="shared" si="18"/>
        <v>-1.1667638510352678</v>
      </c>
    </row>
    <row r="47" spans="1:70" ht="11.25" customHeight="1" x14ac:dyDescent="0.2">
      <c r="A47" s="63" t="s">
        <v>100</v>
      </c>
      <c r="B47" s="64" t="s">
        <v>85</v>
      </c>
      <c r="C47" s="65">
        <f t="shared" si="14"/>
        <v>2</v>
      </c>
      <c r="D47" s="136"/>
      <c r="E47" s="66" t="str">
        <f t="shared" si="16"/>
        <v>USDFedFunds</v>
      </c>
      <c r="F47" s="68" t="str">
        <f t="shared" si="17"/>
        <v>USDOIS6Y_Quote</v>
      </c>
      <c r="G47" s="136"/>
      <c r="H47" s="69" t="str">
        <f>_xll.qlOISRateHelper(,C47,B47,F47,$E47,,Permanent,Trigger,ObjectOverwrite)</f>
        <v>obj_002fa#0315</v>
      </c>
      <c r="J47" s="11" t="str">
        <f t="shared" si="15"/>
        <v>OIS</v>
      </c>
      <c r="K47" s="105" t="str">
        <f t="shared" si="10"/>
        <v>obj_0030f#0304</v>
      </c>
      <c r="L47" s="108" t="str">
        <f>IFERROR(_xll.qlRateHelperQuoteName(K47,Trigger),"--")</f>
        <v>USDOIS8Y_Quote</v>
      </c>
      <c r="M47" s="109">
        <f>IFERROR(_xll.qlRateHelperQuoteValue($K47,Trigger),"--")</f>
        <v>1.2290000000000001E-2</v>
      </c>
      <c r="N47" s="108" t="b">
        <v>0</v>
      </c>
      <c r="O47" s="105">
        <v>50</v>
      </c>
      <c r="P47" s="105">
        <v>1</v>
      </c>
      <c r="Q47" s="110">
        <f>IFERROR(_xll.qlRateHelperEarliestDate(K47,Trigger),"--")</f>
        <v>42450</v>
      </c>
      <c r="R47" s="110">
        <f>IFERROR(_xll.qlRateHelperPillarDate(K47,Trigger),"--")</f>
        <v>45372</v>
      </c>
      <c r="T47" s="4" t="str">
        <f t="shared" si="0"/>
        <v/>
      </c>
      <c r="U47" s="4" t="e">
        <v>#N/A</v>
      </c>
      <c r="V47" s="4" t="str">
        <f>IFERROR(_xll.qlRateHelperQuoteName(U47,Trigger),"")</f>
        <v/>
      </c>
      <c r="W47" s="75" t="str">
        <f>IFERROR(_xll.qlRateHelperRate(U47,Trigger),"")</f>
        <v/>
      </c>
      <c r="X47" s="115" t="str">
        <f>IF(ISERROR(_xll.qlSwapRateHelperSpread($U47)),IF(ISERROR(_xll.qlFuturesRateHelperConvexityAdjustment($U47)),"",_xll.qlFuturesRateHelperConvexityAdjustment($U47)),_xll.qlSwapRateHelperSpread($U47))</f>
        <v/>
      </c>
      <c r="Y47" s="5" t="str">
        <f>IFERROR(_xll.qlRateHelperEarliestDate(U47,Trigger),"")</f>
        <v/>
      </c>
      <c r="Z47" s="5" t="str">
        <f>IFERROR(_xll.qlRateHelperPillarDate(U47,Trigger),"")</f>
        <v/>
      </c>
      <c r="AA47" s="83" t="e">
        <v>#N/A</v>
      </c>
      <c r="AC47" s="198"/>
      <c r="AD47" s="216"/>
      <c r="AE47" s="216"/>
      <c r="AF47" s="216"/>
      <c r="AG47" s="198">
        <v>46468</v>
      </c>
      <c r="AH47" s="261">
        <v>6.1711488790874205E-3</v>
      </c>
      <c r="AI47" s="261">
        <v>1</v>
      </c>
      <c r="AJ47" s="198">
        <v>46377</v>
      </c>
      <c r="AK47" s="198">
        <v>46468</v>
      </c>
      <c r="AL47" s="200">
        <v>91</v>
      </c>
      <c r="AM47" s="201" t="str">
        <v>FedFundsON Actual/360</v>
      </c>
      <c r="AN47" s="200">
        <v>0</v>
      </c>
      <c r="AO47" s="198">
        <v>46465</v>
      </c>
      <c r="AP47" s="200" t="str">
        <v>Actual/360</v>
      </c>
      <c r="AQ47" s="202">
        <v>0.25277777777777777</v>
      </c>
      <c r="AR47" s="203">
        <v>2.4413336224961224E-2</v>
      </c>
      <c r="AS47" s="245">
        <f>_xll.qlDayCounterYearFraction("actual/365 (fixed)",Evaluationdate,AJ47,,,Trigger)</f>
        <v>10.769863013698631</v>
      </c>
      <c r="AT47" s="246">
        <f>_xll.qlDayCounterYearFraction("actual/365 (fixed)",Evaluationdate,AK47,,,Trigger)</f>
        <v>11.019178082191781</v>
      </c>
      <c r="AU47" s="246">
        <f>_xll.qlDayCounterYearFraction(AP47,AJ47,AK47,,,Trigger)</f>
        <v>0.25277777777777777</v>
      </c>
      <c r="AV47" s="247">
        <f>_xll.qlYieldTSDiscount("USDON",AJ47,,Trigger)</f>
        <v>0.85758500593528175</v>
      </c>
      <c r="AW47" s="247">
        <f>_xll.qlYieldTSDiscount("USDON",AK47,,Trigger)</f>
        <v>0.85309089312320263</v>
      </c>
      <c r="AX47" s="203">
        <f t="shared" si="2"/>
        <v>1.3388811176028732E-6</v>
      </c>
      <c r="AY47" s="203">
        <f t="shared" si="3"/>
        <v>-6.968314814059795E-7</v>
      </c>
      <c r="AZ47" s="201" t="b">
        <f t="shared" si="4"/>
        <v>1</v>
      </c>
      <c r="BA47" s="195">
        <f t="shared" si="5"/>
        <v>2.4470578619841997E-2</v>
      </c>
      <c r="BB47" s="248">
        <f t="shared" si="6"/>
        <v>0</v>
      </c>
      <c r="BC47" s="248">
        <f t="shared" si="7"/>
        <v>0</v>
      </c>
      <c r="BD47" s="193"/>
      <c r="BE47" s="256" t="s">
        <v>100</v>
      </c>
      <c r="BF47" s="256" t="s">
        <v>89</v>
      </c>
      <c r="BG47" s="256" t="str">
        <f>Currency&amp;BE47&amp;BF47&amp;QuoteSuffix</f>
        <v>USDOIS10Y_Quote</v>
      </c>
      <c r="BH47" s="257">
        <f>Evaluationdate</f>
        <v>42446</v>
      </c>
      <c r="BI47" s="257">
        <f>_xll.qlSwapStartDate(BO47,Trigger)</f>
        <v>42450</v>
      </c>
      <c r="BJ47" s="257">
        <f>_xll.qlSwapMaturityDate(BO47,Trigger)</f>
        <v>46104</v>
      </c>
      <c r="BK47" s="258">
        <f>_xll.qlOvernightIndexedSwapFairRate(BO47,Trigger)</f>
        <v>1.3504036356059476E-2</v>
      </c>
      <c r="BL47" s="258">
        <f>_xll.qlQuoteValue(BG47)</f>
        <v>1.3439999999999999E-2</v>
      </c>
      <c r="BM47" s="259">
        <f t="shared" si="8"/>
        <v>0.64036356059476995</v>
      </c>
      <c r="BN47" s="260"/>
      <c r="BO47" s="260" t="str">
        <f>_xll.qlMakeOIS(,2,IF(BF47="SW","1W",BF47),UPPER(Currency)&amp;"FedFunds",,$BQ$4,$BR$4,,Permanent,Trigger,ObjectOverwrite)</f>
        <v>obj_003fc#0314</v>
      </c>
      <c r="BP47" s="260"/>
      <c r="BQ47" s="195">
        <v>1.3618166251291254E-2</v>
      </c>
      <c r="BR47" s="217">
        <f t="shared" si="18"/>
        <v>-1.1412989523177861</v>
      </c>
    </row>
    <row r="48" spans="1:70" ht="11.25" customHeight="1" x14ac:dyDescent="0.2">
      <c r="A48" s="63" t="s">
        <v>100</v>
      </c>
      <c r="B48" s="64" t="s">
        <v>86</v>
      </c>
      <c r="C48" s="65">
        <f t="shared" si="14"/>
        <v>2</v>
      </c>
      <c r="D48" s="136"/>
      <c r="E48" s="66" t="str">
        <f t="shared" si="16"/>
        <v>USDFedFunds</v>
      </c>
      <c r="F48" s="68" t="str">
        <f t="shared" si="17"/>
        <v>USDOIS7Y_Quote</v>
      </c>
      <c r="G48" s="136"/>
      <c r="H48" s="69" t="str">
        <f>_xll.qlOISRateHelper(,C48,B48,F48,$E48,,Permanent,Trigger,ObjectOverwrite)</f>
        <v>obj_002fb#0314</v>
      </c>
      <c r="J48" s="11" t="str">
        <f t="shared" si="15"/>
        <v>OIS</v>
      </c>
      <c r="K48" s="105" t="str">
        <f t="shared" si="10"/>
        <v>obj_00300#0312</v>
      </c>
      <c r="L48" s="108" t="str">
        <f>IFERROR(_xll.qlRateHelperQuoteName(K48,Trigger),"--")</f>
        <v>USDOIS9Y_Quote</v>
      </c>
      <c r="M48" s="109">
        <f>IFERROR(_xll.qlRateHelperQuoteValue($K48,Trigger),"--")</f>
        <v>1.3039999999999998E-2</v>
      </c>
      <c r="N48" s="108" t="b">
        <v>0</v>
      </c>
      <c r="O48" s="105">
        <v>50</v>
      </c>
      <c r="P48" s="105">
        <v>1</v>
      </c>
      <c r="Q48" s="110">
        <f>IFERROR(_xll.qlRateHelperEarliestDate(K48,Trigger),"--")</f>
        <v>42450</v>
      </c>
      <c r="R48" s="110">
        <f>IFERROR(_xll.qlRateHelperPillarDate(K48,Trigger),"--")</f>
        <v>45737</v>
      </c>
      <c r="T48" s="4" t="str">
        <f t="shared" ref="T48:T111" si="19">IFERROR(INDEX($J$3:$J$113,MATCH(V48,$L$3:$L$113,0),1),"")</f>
        <v/>
      </c>
      <c r="U48" s="4" t="e">
        <v>#N/A</v>
      </c>
      <c r="V48" s="4" t="str">
        <f>IFERROR(_xll.qlRateHelperQuoteName(U48,Trigger),"")</f>
        <v/>
      </c>
      <c r="W48" s="75" t="str">
        <f>IFERROR(_xll.qlRateHelperRate(U48,Trigger),"")</f>
        <v/>
      </c>
      <c r="X48" s="115" t="str">
        <f>IF(ISERROR(_xll.qlSwapRateHelperSpread($U48)),IF(ISERROR(_xll.qlFuturesRateHelperConvexityAdjustment($U48)),"",_xll.qlFuturesRateHelperConvexityAdjustment($U48)),_xll.qlSwapRateHelperSpread($U48))</f>
        <v/>
      </c>
      <c r="Y48" s="5" t="str">
        <f>IFERROR(_xll.qlRateHelperEarliestDate(U48,Trigger),"")</f>
        <v/>
      </c>
      <c r="Z48" s="5" t="str">
        <f>IFERROR(_xll.qlRateHelperPillarDate(U48,Trigger),"")</f>
        <v/>
      </c>
      <c r="AA48" s="83" t="e">
        <v>#N/A</v>
      </c>
      <c r="AC48" s="198"/>
      <c r="AD48" s="216"/>
      <c r="AE48" s="216"/>
      <c r="AF48" s="216"/>
      <c r="AG48" s="198">
        <v>46559</v>
      </c>
      <c r="AH48" s="261">
        <v>6.193491200123121E-3</v>
      </c>
      <c r="AI48" s="261">
        <v>1</v>
      </c>
      <c r="AJ48" s="198">
        <v>46468</v>
      </c>
      <c r="AK48" s="198">
        <v>46559</v>
      </c>
      <c r="AL48" s="200">
        <v>91</v>
      </c>
      <c r="AM48" s="201" t="str">
        <v>FedFundsON Actual/360</v>
      </c>
      <c r="AN48" s="200">
        <v>0</v>
      </c>
      <c r="AO48" s="198">
        <v>46556</v>
      </c>
      <c r="AP48" s="200" t="str">
        <v>Actual/360</v>
      </c>
      <c r="AQ48" s="202">
        <v>0.25277777777777777</v>
      </c>
      <c r="AR48" s="203">
        <v>2.45017234290585E-2</v>
      </c>
      <c r="AS48" s="245">
        <f>_xll.qlDayCounterYearFraction("actual/365 (fixed)",Evaluationdate,AJ48,,,Trigger)</f>
        <v>11.019178082191781</v>
      </c>
      <c r="AT48" s="246">
        <f>_xll.qlDayCounterYearFraction("actual/365 (fixed)",Evaluationdate,AK48,,,Trigger)</f>
        <v>11.268493150684931</v>
      </c>
      <c r="AU48" s="246">
        <f>_xll.qlDayCounterYearFraction(AP48,AJ48,AK48,,,Trigger)</f>
        <v>0.25277777777777777</v>
      </c>
      <c r="AV48" s="247">
        <f>_xll.qlYieldTSDiscount("USDON",AJ48,,Trigger)</f>
        <v>0.85309089312320263</v>
      </c>
      <c r="AW48" s="247">
        <f>_xll.qlYieldTSDiscount("USDON",AK48,,Trigger)</f>
        <v>0.84860134514941044</v>
      </c>
      <c r="AX48" s="203">
        <f t="shared" si="2"/>
        <v>1.3698756544317429E-6</v>
      </c>
      <c r="AY48" s="203">
        <f t="shared" si="3"/>
        <v>-6.968314814059795E-7</v>
      </c>
      <c r="AZ48" s="201" t="b">
        <f t="shared" si="4"/>
        <v>1</v>
      </c>
      <c r="BA48" s="195">
        <f t="shared" si="5"/>
        <v>2.4559555707884061E-2</v>
      </c>
      <c r="BB48" s="248">
        <f t="shared" si="6"/>
        <v>0</v>
      </c>
      <c r="BC48" s="248">
        <f t="shared" si="7"/>
        <v>0</v>
      </c>
      <c r="BD48" s="193"/>
      <c r="BE48" s="256" t="s">
        <v>100</v>
      </c>
      <c r="BF48" s="256" t="s">
        <v>90</v>
      </c>
      <c r="BG48" s="256" t="str">
        <f>Currency&amp;BE48&amp;BF48&amp;QuoteSuffix</f>
        <v>USDOIS12Y_Quote</v>
      </c>
      <c r="BH48" s="257">
        <f>Evaluationdate</f>
        <v>42446</v>
      </c>
      <c r="BI48" s="257">
        <f>_xll.qlSwapStartDate(BO48,Trigger)</f>
        <v>42450</v>
      </c>
      <c r="BJ48" s="257">
        <f>_xll.qlSwapMaturityDate(BO48,Trigger)</f>
        <v>46833</v>
      </c>
      <c r="BK48" s="258">
        <f>_xll.qlOvernightIndexedSwapFairRate(BO48,Trigger)</f>
        <v>1.4637348618503762E-2</v>
      </c>
      <c r="BL48" s="258">
        <f>_xll.qlQuoteValue(BG48)</f>
        <v>1.4580000000000003E-2</v>
      </c>
      <c r="BM48" s="259">
        <f t="shared" si="8"/>
        <v>0.57348618503759097</v>
      </c>
      <c r="BN48" s="260"/>
      <c r="BO48" s="260" t="str">
        <f>_xll.qlMakeOIS(,2,IF(BF48="SW","1W",BF48),UPPER(Currency)&amp;"FedFunds",,$BQ$4,$BR$4,,Permanent,Trigger,ObjectOverwrite)</f>
        <v>obj_003fb#0314</v>
      </c>
      <c r="BP48" s="260"/>
      <c r="BQ48" s="195">
        <v>1.4744405822111633E-2</v>
      </c>
      <c r="BR48" s="217">
        <f t="shared" si="18"/>
        <v>-1.0705720360787083</v>
      </c>
    </row>
    <row r="49" spans="1:70" ht="11.25" customHeight="1" x14ac:dyDescent="0.2">
      <c r="A49" s="63" t="s">
        <v>100</v>
      </c>
      <c r="B49" s="64" t="s">
        <v>87</v>
      </c>
      <c r="C49" s="65">
        <f t="shared" si="14"/>
        <v>2</v>
      </c>
      <c r="D49" s="136"/>
      <c r="E49" s="66" t="str">
        <f t="shared" si="16"/>
        <v>USDFedFunds</v>
      </c>
      <c r="F49" s="68" t="str">
        <f t="shared" si="17"/>
        <v>USDOIS8Y_Quote</v>
      </c>
      <c r="G49" s="136"/>
      <c r="H49" s="69" t="str">
        <f>_xll.qlOISRateHelper(,C49,B49,F49,$E49,,Permanent,Trigger,ObjectOverwrite)</f>
        <v>obj_0030f#0304</v>
      </c>
      <c r="J49" s="11" t="str">
        <f t="shared" si="15"/>
        <v>OIS</v>
      </c>
      <c r="K49" s="105" t="str">
        <f t="shared" si="10"/>
        <v>obj_00310#0304</v>
      </c>
      <c r="L49" s="108" t="str">
        <f>IFERROR(_xll.qlRateHelperQuoteName(K49,Trigger),"--")</f>
        <v>USDOIS10Y_Quote</v>
      </c>
      <c r="M49" s="109">
        <f>IFERROR(_xll.qlRateHelperQuoteValue($K49,Trigger),"--")</f>
        <v>1.363E-2</v>
      </c>
      <c r="N49" s="108" t="b">
        <v>1</v>
      </c>
      <c r="O49" s="105">
        <v>50</v>
      </c>
      <c r="P49" s="105">
        <v>1</v>
      </c>
      <c r="Q49" s="110">
        <f>IFERROR(_xll.qlRateHelperEarliestDate(K49,Trigger),"--")</f>
        <v>42450</v>
      </c>
      <c r="R49" s="110">
        <f>IFERROR(_xll.qlRateHelperPillarDate(K49,Trigger),"--")</f>
        <v>46104</v>
      </c>
      <c r="T49" s="4" t="str">
        <f t="shared" si="19"/>
        <v/>
      </c>
      <c r="U49" s="4" t="e">
        <v>#N/A</v>
      </c>
      <c r="V49" s="4" t="str">
        <f>IFERROR(_xll.qlRateHelperQuoteName(U49,Trigger),"")</f>
        <v/>
      </c>
      <c r="W49" s="75" t="str">
        <f>IFERROR(_xll.qlRateHelperRate(U49,Trigger),"")</f>
        <v/>
      </c>
      <c r="X49" s="115" t="str">
        <f>IF(ISERROR(_xll.qlSwapRateHelperSpread($U49)),IF(ISERROR(_xll.qlFuturesRateHelperConvexityAdjustment($U49)),"",_xll.qlFuturesRateHelperConvexityAdjustment($U49)),_xll.qlSwapRateHelperSpread($U49))</f>
        <v/>
      </c>
      <c r="Y49" s="5" t="str">
        <f>IFERROR(_xll.qlRateHelperEarliestDate(U49,Trigger),"")</f>
        <v/>
      </c>
      <c r="Z49" s="5" t="str">
        <f>IFERROR(_xll.qlRateHelperPillarDate(U49,Trigger),"")</f>
        <v/>
      </c>
      <c r="AA49" s="83" t="e">
        <v>#N/A</v>
      </c>
      <c r="AC49" s="198"/>
      <c r="AD49" s="216"/>
      <c r="AE49" s="216"/>
      <c r="AF49" s="216"/>
      <c r="AG49" s="198">
        <v>46651</v>
      </c>
      <c r="AH49" s="261">
        <v>6.3636960245506092E-3</v>
      </c>
      <c r="AI49" s="261">
        <v>1</v>
      </c>
      <c r="AJ49" s="198">
        <v>46559</v>
      </c>
      <c r="AK49" s="198">
        <v>46651</v>
      </c>
      <c r="AL49" s="200">
        <v>92</v>
      </c>
      <c r="AM49" s="201" t="str">
        <v>FedFundsON Actual/360</v>
      </c>
      <c r="AN49" s="200">
        <v>0</v>
      </c>
      <c r="AO49" s="198">
        <v>46650</v>
      </c>
      <c r="AP49" s="200" t="str">
        <v>Actual/360</v>
      </c>
      <c r="AQ49" s="202">
        <v>0.25555555555555554</v>
      </c>
      <c r="AR49" s="203">
        <v>2.4901419226502387E-2</v>
      </c>
      <c r="AS49" s="245">
        <f>_xll.qlDayCounterYearFraction("actual/365 (fixed)",Evaluationdate,AJ49,,,Trigger)</f>
        <v>11.268493150684931</v>
      </c>
      <c r="AT49" s="246">
        <f>_xll.qlDayCounterYearFraction("actual/365 (fixed)",Evaluationdate,AK49,,,Trigger)</f>
        <v>11.520547945205479</v>
      </c>
      <c r="AU49" s="246">
        <f>_xll.qlDayCounterYearFraction(AP49,AJ49,AK49,,,Trigger)</f>
        <v>0.25555555555555554</v>
      </c>
      <c r="AV49" s="247">
        <f>_xll.qlYieldTSDiscount("USDON",AJ49,,Trigger)</f>
        <v>0.84860134514941044</v>
      </c>
      <c r="AW49" s="247">
        <f>_xll.qlYieldTSDiscount("USDON",AK49,,Trigger)</f>
        <v>0.84407431935327393</v>
      </c>
      <c r="AX49" s="203">
        <f t="shared" si="2"/>
        <v>1.4318277330705459E-6</v>
      </c>
      <c r="AY49" s="203">
        <f t="shared" si="3"/>
        <v>-8.8490104133143177E-5</v>
      </c>
      <c r="AZ49" s="201" t="b">
        <f t="shared" si="4"/>
        <v>1</v>
      </c>
      <c r="BA49" s="195">
        <f t="shared" si="5"/>
        <v>2.4616835354810677E-2</v>
      </c>
      <c r="BB49" s="248">
        <f t="shared" si="6"/>
        <v>0</v>
      </c>
      <c r="BC49" s="248">
        <f t="shared" si="7"/>
        <v>0</v>
      </c>
      <c r="BD49" s="193"/>
      <c r="BE49" s="256" t="s">
        <v>100</v>
      </c>
      <c r="BF49" s="256" t="s">
        <v>91</v>
      </c>
      <c r="BG49" s="256" t="str">
        <f>Currency&amp;BE49&amp;BF49&amp;QuoteSuffix</f>
        <v>USDOIS15Y_Quote</v>
      </c>
      <c r="BH49" s="257">
        <f>Evaluationdate</f>
        <v>42446</v>
      </c>
      <c r="BI49" s="257">
        <f>_xll.qlSwapStartDate(BO49,Trigger)</f>
        <v>42450</v>
      </c>
      <c r="BJ49" s="257">
        <f>_xll.qlSwapMaturityDate(BO49,Trigger)</f>
        <v>47928</v>
      </c>
      <c r="BK49" s="258">
        <f>_xll.qlOvernightIndexedSwapFairRate(BO49,Trigger)</f>
        <v>1.578407995610543E-2</v>
      </c>
      <c r="BL49" s="258">
        <f>_xll.qlQuoteValue(BG49)</f>
        <v>1.5689999999999999E-2</v>
      </c>
      <c r="BM49" s="259">
        <f t="shared" si="8"/>
        <v>0.94079956105431317</v>
      </c>
      <c r="BN49" s="260"/>
      <c r="BO49" s="260" t="str">
        <f>_xll.qlMakeOIS(,2,IF(BF49="SW","1W",BF49),UPPER(Currency)&amp;"FedFunds",,$BQ$4,$BR$4,,Permanent,Trigger,ObjectOverwrite)</f>
        <v>obj_003fa#0314</v>
      </c>
      <c r="BP49" s="260"/>
      <c r="BQ49" s="195">
        <v>1.5932589990196845E-2</v>
      </c>
      <c r="BR49" s="217">
        <f t="shared" si="18"/>
        <v>-1.4851003409141472</v>
      </c>
    </row>
    <row r="50" spans="1:70" ht="11.25" customHeight="1" x14ac:dyDescent="0.2">
      <c r="A50" s="63" t="s">
        <v>100</v>
      </c>
      <c r="B50" s="64" t="s">
        <v>88</v>
      </c>
      <c r="C50" s="65">
        <f t="shared" si="14"/>
        <v>2</v>
      </c>
      <c r="D50" s="136"/>
      <c r="E50" s="66" t="str">
        <f t="shared" si="16"/>
        <v>USDFedFunds</v>
      </c>
      <c r="F50" s="68" t="str">
        <f t="shared" si="17"/>
        <v>USDOIS9Y_Quote</v>
      </c>
      <c r="G50" s="136"/>
      <c r="H50" s="69" t="str">
        <f>_xll.qlOISRateHelper(,C50,B50,F50,$E50,,Permanent,Trigger,ObjectOverwrite)</f>
        <v>obj_00300#0312</v>
      </c>
      <c r="J50" s="11" t="str">
        <f t="shared" si="15"/>
        <v>OIS</v>
      </c>
      <c r="K50" s="105" t="str">
        <f t="shared" si="10"/>
        <v>obj_00308#0307</v>
      </c>
      <c r="L50" s="108" t="str">
        <f>IFERROR(_xll.qlRateHelperQuoteName(K50,Trigger),"--")</f>
        <v>USDOIS12Y_Quote</v>
      </c>
      <c r="M50" s="109">
        <f>IFERROR(_xll.qlRateHelperQuoteValue($K50,Trigger),"--")</f>
        <v>1.4800000000000001E-2</v>
      </c>
      <c r="N50" s="108" t="b">
        <v>1</v>
      </c>
      <c r="O50" s="105">
        <v>50</v>
      </c>
      <c r="P50" s="105">
        <v>1</v>
      </c>
      <c r="Q50" s="110">
        <f>IFERROR(_xll.qlRateHelperEarliestDate(K50,Trigger),"--")</f>
        <v>42450</v>
      </c>
      <c r="R50" s="110">
        <f>IFERROR(_xll.qlRateHelperPillarDate(K50,Trigger),"--")</f>
        <v>46833</v>
      </c>
      <c r="T50" s="4" t="str">
        <f t="shared" si="19"/>
        <v/>
      </c>
      <c r="U50" s="4" t="e">
        <v>#N/A</v>
      </c>
      <c r="V50" s="4" t="str">
        <f>IFERROR(_xll.qlRateHelperQuoteName(U50,Trigger),"")</f>
        <v/>
      </c>
      <c r="W50" s="75" t="str">
        <f>IFERROR(_xll.qlRateHelperRate(U50,Trigger),"")</f>
        <v/>
      </c>
      <c r="X50" s="115" t="str">
        <f>IF(ISERROR(_xll.qlSwapRateHelperSpread($U50)),IF(ISERROR(_xll.qlFuturesRateHelperConvexityAdjustment($U50)),"",_xll.qlFuturesRateHelperConvexityAdjustment($U50)),_xll.qlSwapRateHelperSpread($U50))</f>
        <v/>
      </c>
      <c r="Y50" s="5" t="str">
        <f>IFERROR(_xll.qlRateHelperEarliestDate(U50,Trigger),"")</f>
        <v/>
      </c>
      <c r="Z50" s="5" t="str">
        <f>IFERROR(_xll.qlRateHelperPillarDate(U50,Trigger),"")</f>
        <v/>
      </c>
      <c r="AA50" s="83" t="e">
        <v>#N/A</v>
      </c>
      <c r="AC50" s="198"/>
      <c r="AD50" s="216"/>
      <c r="AE50" s="216"/>
      <c r="AF50" s="216"/>
      <c r="AG50" s="198">
        <v>46742</v>
      </c>
      <c r="AH50" s="261">
        <v>6.213676613325809E-3</v>
      </c>
      <c r="AI50" s="261">
        <v>1</v>
      </c>
      <c r="AJ50" s="198">
        <v>46651</v>
      </c>
      <c r="AK50" s="198">
        <v>46742</v>
      </c>
      <c r="AL50" s="200">
        <v>91</v>
      </c>
      <c r="AM50" s="201" t="str">
        <v>FedFundsON Actual/360</v>
      </c>
      <c r="AN50" s="200">
        <v>0</v>
      </c>
      <c r="AO50" s="198">
        <v>46741</v>
      </c>
      <c r="AP50" s="200" t="str">
        <v>Actual/360</v>
      </c>
      <c r="AQ50" s="202">
        <v>0.25277777777777777</v>
      </c>
      <c r="AR50" s="203">
        <v>2.4581577810959244E-2</v>
      </c>
      <c r="AS50" s="245">
        <f>_xll.qlDayCounterYearFraction("actual/365 (fixed)",Evaluationdate,AJ50,,,Trigger)</f>
        <v>11.520547945205479</v>
      </c>
      <c r="AT50" s="246">
        <f>_xll.qlDayCounterYearFraction("actual/365 (fixed)",Evaluationdate,AK50,,,Trigger)</f>
        <v>11.769863013698631</v>
      </c>
      <c r="AU50" s="246">
        <f>_xll.qlDayCounterYearFraction(AP50,AJ50,AK50,,,Trigger)</f>
        <v>0.25277777777777777</v>
      </c>
      <c r="AV50" s="247">
        <f>_xll.qlYieldTSDiscount("USDON",AJ50,,Trigger)</f>
        <v>0.84407431935327393</v>
      </c>
      <c r="AW50" s="247">
        <f>_xll.qlYieldTSDiscount("USDON",AK50,,Trigger)</f>
        <v>0.83961521929170113</v>
      </c>
      <c r="AX50" s="203">
        <f t="shared" si="2"/>
        <v>1.4322053741706827E-6</v>
      </c>
      <c r="AY50" s="203">
        <f t="shared" si="3"/>
        <v>-6.93278767727179E-7</v>
      </c>
      <c r="AZ50" s="201" t="b">
        <f t="shared" si="4"/>
        <v>1</v>
      </c>
      <c r="BA50" s="195">
        <f t="shared" si="5"/>
        <v>2.4640095389721214E-2</v>
      </c>
      <c r="BB50" s="248">
        <f t="shared" si="6"/>
        <v>0</v>
      </c>
      <c r="BC50" s="248">
        <f t="shared" si="7"/>
        <v>0</v>
      </c>
      <c r="BD50" s="193"/>
      <c r="BE50" s="256" t="s">
        <v>100</v>
      </c>
      <c r="BF50" s="256" t="s">
        <v>92</v>
      </c>
      <c r="BG50" s="256" t="str">
        <f>Currency&amp;BE50&amp;BF50&amp;QuoteSuffix</f>
        <v>USDOIS20Y_Quote</v>
      </c>
      <c r="BH50" s="257">
        <f>Evaluationdate</f>
        <v>42446</v>
      </c>
      <c r="BI50" s="257">
        <f>_xll.qlSwapStartDate(BO50,Trigger)</f>
        <v>42450</v>
      </c>
      <c r="BJ50" s="257">
        <f>_xll.qlSwapMaturityDate(BO50,Trigger)</f>
        <v>49755</v>
      </c>
      <c r="BK50" s="258">
        <f>_xll.qlOvernightIndexedSwapFairRate(BO50,Trigger)</f>
        <v>1.6958841691955429E-2</v>
      </c>
      <c r="BL50" s="258">
        <f>_xll.qlQuoteValue(BG50)</f>
        <v>1.6909999999999998E-2</v>
      </c>
      <c r="BM50" s="259">
        <f t="shared" si="8"/>
        <v>0.4884169195543131</v>
      </c>
      <c r="BN50" s="260"/>
      <c r="BO50" s="260" t="str">
        <f>_xll.qlMakeOIS(,2,IF(BF50="SW","1W",BF50),UPPER(Currency)&amp;"FedFunds",,$BQ$4,$BR$4,,Permanent,Trigger,ObjectOverwrite)</f>
        <v>obj_003f9#0314</v>
      </c>
      <c r="BP50" s="260"/>
      <c r="BQ50" s="195">
        <v>1.7121803952013882E-2</v>
      </c>
      <c r="BR50" s="217">
        <f t="shared" si="18"/>
        <v>-1.6296226005845307</v>
      </c>
    </row>
    <row r="51" spans="1:70" ht="11.25" customHeight="1" x14ac:dyDescent="0.2">
      <c r="A51" s="63" t="s">
        <v>100</v>
      </c>
      <c r="B51" s="64" t="s">
        <v>89</v>
      </c>
      <c r="C51" s="65">
        <f t="shared" si="14"/>
        <v>2</v>
      </c>
      <c r="D51" s="136"/>
      <c r="E51" s="66" t="str">
        <f t="shared" si="16"/>
        <v>USDFedFunds</v>
      </c>
      <c r="F51" s="68" t="str">
        <f t="shared" si="17"/>
        <v>USDOIS10Y_Quote</v>
      </c>
      <c r="G51" s="136"/>
      <c r="H51" s="69" t="str">
        <f>_xll.qlOISRateHelper(,C51,B51,F51,$E51,,Permanent,Trigger,ObjectOverwrite)</f>
        <v>obj_00310#0304</v>
      </c>
      <c r="J51" s="11" t="str">
        <f t="shared" si="15"/>
        <v>OIS</v>
      </c>
      <c r="K51" s="105" t="str">
        <f t="shared" si="10"/>
        <v>obj_002fd#0312</v>
      </c>
      <c r="L51" s="108" t="str">
        <f>IFERROR(_xll.qlRateHelperQuoteName(K51,Trigger),"--")</f>
        <v>USDOIS15Y_Quote</v>
      </c>
      <c r="M51" s="109">
        <f>IFERROR(_xll.qlRateHelperQuoteValue($K51,Trigger),"--")</f>
        <v>1.5910000000000001E-2</v>
      </c>
      <c r="N51" s="108" t="b">
        <v>1</v>
      </c>
      <c r="O51" s="105">
        <v>50</v>
      </c>
      <c r="P51" s="105">
        <v>1</v>
      </c>
      <c r="Q51" s="110">
        <f>IFERROR(_xll.qlRateHelperEarliestDate(K51,Trigger),"--")</f>
        <v>42450</v>
      </c>
      <c r="R51" s="110">
        <f>IFERROR(_xll.qlRateHelperPillarDate(K51,Trigger),"--")</f>
        <v>47928</v>
      </c>
      <c r="T51" s="4" t="str">
        <f t="shared" si="19"/>
        <v/>
      </c>
      <c r="U51" s="4" t="e">
        <v>#N/A</v>
      </c>
      <c r="V51" s="4" t="str">
        <f>IFERROR(_xll.qlRateHelperQuoteName(U51,Trigger),"")</f>
        <v/>
      </c>
      <c r="W51" s="75" t="str">
        <f>IFERROR(_xll.qlRateHelperRate(U51,Trigger),"")</f>
        <v/>
      </c>
      <c r="X51" s="115" t="str">
        <f>IF(ISERROR(_xll.qlSwapRateHelperSpread($U51)),IF(ISERROR(_xll.qlFuturesRateHelperConvexityAdjustment($U51)),"",_xll.qlFuturesRateHelperConvexityAdjustment($U51)),_xll.qlSwapRateHelperSpread($U51))</f>
        <v/>
      </c>
      <c r="Y51" s="5" t="str">
        <f>IFERROR(_xll.qlRateHelperEarliestDate(U51,Trigger),"")</f>
        <v/>
      </c>
      <c r="Z51" s="5" t="str">
        <f>IFERROR(_xll.qlRateHelperPillarDate(U51,Trigger),"")</f>
        <v/>
      </c>
      <c r="AA51" s="5" t="e">
        <v>#N/A</v>
      </c>
      <c r="AC51" s="198"/>
      <c r="AD51" s="216"/>
      <c r="AE51" s="216"/>
      <c r="AF51" s="216"/>
      <c r="AG51" s="198">
        <v>46833</v>
      </c>
      <c r="AH51" s="261">
        <v>6.211416488701541E-3</v>
      </c>
      <c r="AI51" s="261">
        <v>1</v>
      </c>
      <c r="AJ51" s="198">
        <v>46742</v>
      </c>
      <c r="AK51" s="198">
        <v>46833</v>
      </c>
      <c r="AL51" s="200">
        <v>91</v>
      </c>
      <c r="AM51" s="201" t="str">
        <v>FedFundsON Actual/360</v>
      </c>
      <c r="AN51" s="200">
        <v>0</v>
      </c>
      <c r="AO51" s="198">
        <v>46832</v>
      </c>
      <c r="AP51" s="200" t="str">
        <v>Actual/360</v>
      </c>
      <c r="AQ51" s="202">
        <v>0.25277777777777777</v>
      </c>
      <c r="AR51" s="203">
        <v>2.4572636658599503E-2</v>
      </c>
      <c r="AS51" s="245">
        <f>_xll.qlDayCounterYearFraction("actual/365 (fixed)",Evaluationdate,AJ51,,,Trigger)</f>
        <v>11.769863013698631</v>
      </c>
      <c r="AT51" s="246">
        <f>_xll.qlDayCounterYearFraction("actual/365 (fixed)",Evaluationdate,AK51,,,Trigger)</f>
        <v>12.019178082191781</v>
      </c>
      <c r="AU51" s="246">
        <f>_xll.qlDayCounterYearFraction(AP51,AJ51,AK51,,,Trigger)</f>
        <v>0.25277777777777777</v>
      </c>
      <c r="AV51" s="247">
        <f>_xll.qlYieldTSDiscount("USDON",AJ51,,Trigger)</f>
        <v>0.83961521929170113</v>
      </c>
      <c r="AW51" s="247">
        <f>_xll.qlYieldTSDiscount("USDON",AK51,,Trigger)</f>
        <v>0.83518154058536886</v>
      </c>
      <c r="AX51" s="203">
        <f t="shared" si="2"/>
        <v>1.4631999575393999E-6</v>
      </c>
      <c r="AY51" s="203">
        <f t="shared" si="3"/>
        <v>-6.968314814059795E-7</v>
      </c>
      <c r="AZ51" s="201" t="b">
        <f t="shared" si="4"/>
        <v>1</v>
      </c>
      <c r="BA51" s="195">
        <f t="shared" si="5"/>
        <v>2.4631215899639097E-2</v>
      </c>
      <c r="BB51" s="248">
        <f t="shared" si="6"/>
        <v>0</v>
      </c>
      <c r="BC51" s="248">
        <f t="shared" si="7"/>
        <v>0</v>
      </c>
      <c r="BD51" s="193"/>
      <c r="BE51" s="256" t="s">
        <v>100</v>
      </c>
      <c r="BF51" s="256" t="s">
        <v>93</v>
      </c>
      <c r="BG51" s="256" t="str">
        <f>Currency&amp;BE51&amp;BF51&amp;QuoteSuffix</f>
        <v>USDOIS25Y_Quote</v>
      </c>
      <c r="BH51" s="257">
        <f>Evaluationdate</f>
        <v>42446</v>
      </c>
      <c r="BI51" s="257">
        <f>_xll.qlSwapStartDate(BO51,Trigger)</f>
        <v>42450</v>
      </c>
      <c r="BJ51" s="257">
        <f>_xll.qlSwapMaturityDate(BO51,Trigger)</f>
        <v>51581</v>
      </c>
      <c r="BK51" s="258">
        <f>_xll.qlOvernightIndexedSwapFairRate(BO51,Trigger)</f>
        <v>1.7525109264950038E-2</v>
      </c>
      <c r="BL51" s="258">
        <f>_xll.qlQuoteValue(BG51)</f>
        <v>1.7480000000000002E-2</v>
      </c>
      <c r="BM51" s="259">
        <f t="shared" si="8"/>
        <v>0.45109264950035644</v>
      </c>
      <c r="BN51" s="260"/>
      <c r="BO51" s="260" t="str">
        <f>_xll.qlMakeOIS(,2,IF(BF51="SW","1W",BF51),UPPER(Currency)&amp;"FedFunds",,$BQ$4,$BR$4,,Permanent,Trigger,ObjectOverwrite)</f>
        <v>obj_003f8#0314</v>
      </c>
      <c r="BP51" s="260"/>
      <c r="BQ51" s="195">
        <v>1.7691125658710408E-2</v>
      </c>
      <c r="BR51" s="217">
        <f t="shared" si="18"/>
        <v>-1.6601639376036954</v>
      </c>
    </row>
    <row r="52" spans="1:70" ht="11.25" customHeight="1" x14ac:dyDescent="0.2">
      <c r="A52" s="63" t="s">
        <v>100</v>
      </c>
      <c r="B52" s="64" t="s">
        <v>90</v>
      </c>
      <c r="C52" s="65">
        <f t="shared" si="14"/>
        <v>2</v>
      </c>
      <c r="D52" s="136"/>
      <c r="E52" s="66" t="str">
        <f t="shared" si="16"/>
        <v>USDFedFunds</v>
      </c>
      <c r="F52" s="68" t="str">
        <f t="shared" si="17"/>
        <v>USDOIS12Y_Quote</v>
      </c>
      <c r="G52" s="136"/>
      <c r="H52" s="69" t="str">
        <f>_xll.qlOISRateHelper(,C52,B52,F52,$E52,,Permanent,Trigger,ObjectOverwrite)</f>
        <v>obj_00308#0307</v>
      </c>
      <c r="J52" s="11" t="str">
        <f t="shared" si="15"/>
        <v>OIS</v>
      </c>
      <c r="K52" s="105" t="str">
        <f t="shared" si="10"/>
        <v>obj_00306#0310</v>
      </c>
      <c r="L52" s="108" t="str">
        <f>IFERROR(_xll.qlRateHelperQuoteName(K52,Trigger),"--")</f>
        <v>USDOIS20Y_Quote</v>
      </c>
      <c r="M52" s="109">
        <f>IFERROR(_xll.qlRateHelperQuoteValue($K52,Trigger),"--")</f>
        <v>1.7100000000000001E-2</v>
      </c>
      <c r="N52" s="108" t="b">
        <v>1</v>
      </c>
      <c r="O52" s="105">
        <v>50</v>
      </c>
      <c r="P52" s="105">
        <v>1</v>
      </c>
      <c r="Q52" s="110">
        <f>IFERROR(_xll.qlRateHelperEarliestDate(K52,Trigger),"--")</f>
        <v>42450</v>
      </c>
      <c r="R52" s="110">
        <f>IFERROR(_xll.qlRateHelperPillarDate(K52,Trigger),"--")</f>
        <v>49755</v>
      </c>
      <c r="T52" s="4" t="str">
        <f t="shared" si="19"/>
        <v/>
      </c>
      <c r="U52" s="4" t="e">
        <v>#N/A</v>
      </c>
      <c r="V52" s="4" t="str">
        <f>IFERROR(_xll.qlRateHelperQuoteName(U52,Trigger),"")</f>
        <v/>
      </c>
      <c r="W52" s="75" t="str">
        <f>IFERROR(_xll.qlRateHelperRate(U52,Trigger),"")</f>
        <v/>
      </c>
      <c r="X52" s="115" t="str">
        <f>IF(ISERROR(_xll.qlSwapRateHelperSpread($U52)),IF(ISERROR(_xll.qlFuturesRateHelperConvexityAdjustment($U52)),"",_xll.qlFuturesRateHelperConvexityAdjustment($U52)),_xll.qlSwapRateHelperSpread($U52))</f>
        <v/>
      </c>
      <c r="Y52" s="5" t="str">
        <f>IFERROR(_xll.qlRateHelperEarliestDate(U52,Trigger),"")</f>
        <v/>
      </c>
      <c r="Z52" s="5" t="str">
        <f>IFERROR(_xll.qlRateHelperPillarDate(U52,Trigger),"")</f>
        <v/>
      </c>
      <c r="AA52" s="5" t="e">
        <v>#N/A</v>
      </c>
      <c r="AC52" s="198"/>
      <c r="AD52" s="216"/>
      <c r="AE52" s="216"/>
      <c r="AG52" s="198">
        <v>46925</v>
      </c>
      <c r="AH52" s="261">
        <v>6.3585349296544462E-3</v>
      </c>
      <c r="AI52" s="261">
        <v>1</v>
      </c>
      <c r="AJ52" s="198">
        <v>46833</v>
      </c>
      <c r="AK52" s="198">
        <v>46925</v>
      </c>
      <c r="AL52" s="200">
        <v>92</v>
      </c>
      <c r="AM52" s="201" t="str">
        <v>FedFundsON Actual/360</v>
      </c>
      <c r="AN52" s="200">
        <v>0</v>
      </c>
      <c r="AO52" s="198">
        <v>46924</v>
      </c>
      <c r="AP52" s="200" t="str">
        <v>Actual/360</v>
      </c>
      <c r="AQ52" s="202">
        <v>0.25555555555555554</v>
      </c>
      <c r="AR52" s="203">
        <v>2.4881223637778269E-2</v>
      </c>
      <c r="AS52" s="245">
        <f>_xll.qlDayCounterYearFraction("actual/365 (fixed)",Evaluationdate,AJ52,,,Trigger)</f>
        <v>12.019178082191781</v>
      </c>
      <c r="AT52" s="246">
        <f>_xll.qlDayCounterYearFraction("actual/365 (fixed)",Evaluationdate,AK52,,,Trigger)</f>
        <v>12.271232876712329</v>
      </c>
      <c r="AU52" s="246">
        <f>_xll.qlDayCounterYearFraction(AP52,AJ52,AK52,,,Trigger)</f>
        <v>0.25555555555555554</v>
      </c>
      <c r="AV52" s="247">
        <f>_xll.qlYieldTSDiscount("USDON",AJ52,,Trigger)</f>
        <v>0.83518154058536886</v>
      </c>
      <c r="AW52" s="247">
        <f>_xll.qlYieldTSDiscount("USDON",AK52,,Trigger)</f>
        <v>0.83073031352398896</v>
      </c>
      <c r="AX52" s="203">
        <f t="shared" ref="AX52:AX97" si="20">$AD$17^2/(4*$AD$15^3)*(1-EXP(-2*$AD$15*AS52))*(1-EXP(-$AD$15*(AT52-AS52)))^2</f>
        <v>1.5272144372466447E-6</v>
      </c>
      <c r="AY52" s="203">
        <f t="shared" ref="AY52:AY97" si="21">$AD$17^2/(2*$AD$15^2)*(AT52-AS52-(1-EXP(-$AD$15*(AT52-AS52)))^2/$AD$15-(1-EXP(-2*$AD$15*(AT52-AS52)))/(2*$AD$15))</f>
        <v>-8.8490104133143177E-5</v>
      </c>
      <c r="AZ52" s="201" t="b">
        <f t="shared" ref="AZ52:AZ97" si="22">NOT(ISERR(AY52))</f>
        <v>1</v>
      </c>
      <c r="BA52" s="195">
        <f t="shared" ref="BA52:BA97" si="23">(AV52/AW52-1)/AU52+$AD$13</f>
        <v>2.4596906755699748E-2</v>
      </c>
      <c r="BB52" s="248">
        <f t="shared" ref="BB52:BB97" si="24">(LN(1+(BA52-$AD$13)*AU52)-AX52-AY52)/AU52+$AD$13-AR52</f>
        <v>0</v>
      </c>
      <c r="BC52" s="248">
        <f t="shared" ref="BC52:BC97" si="25">(LN(AV52/AW52)-AX52-AY52)/AU52+$AD$13-AR52</f>
        <v>0</v>
      </c>
      <c r="BD52" s="193"/>
      <c r="BE52" s="256" t="s">
        <v>100</v>
      </c>
      <c r="BF52" s="256" t="s">
        <v>95</v>
      </c>
      <c r="BG52" s="256" t="str">
        <f>Currency&amp;BE52&amp;BF52&amp;QuoteSuffix</f>
        <v>USDOIS30Y_Quote</v>
      </c>
      <c r="BH52" s="257">
        <f>Evaluationdate</f>
        <v>42446</v>
      </c>
      <c r="BI52" s="257">
        <f>_xll.qlSwapStartDate(BO52,Trigger)</f>
        <v>42450</v>
      </c>
      <c r="BJ52" s="257">
        <f>_xll.qlSwapMaturityDate(BO52,Trigger)</f>
        <v>53407</v>
      </c>
      <c r="BK52" s="258">
        <f>_xll.qlOvernightIndexedSwapFairRate(BO52,Trigger)</f>
        <v>1.7877071005788638E-2</v>
      </c>
      <c r="BL52" s="258">
        <f>_xll.qlQuoteValue(BG52)</f>
        <v>1.7759999999999998E-2</v>
      </c>
      <c r="BM52" s="259">
        <f t="shared" si="8"/>
        <v>1.1707100578864025</v>
      </c>
      <c r="BN52" s="260"/>
      <c r="BO52" s="260" t="str">
        <f>_xll.qlMakeOIS(,2,IF(BF52="SW","1W",BF52),UPPER(Currency)&amp;"FedFunds",,$BQ$4,$BR$4,,Permanent,Trigger,ObjectOverwrite)</f>
        <v>obj_003f7#0314</v>
      </c>
      <c r="BP52" s="260"/>
      <c r="BQ52" s="195">
        <v>1.8036833143308888E-2</v>
      </c>
      <c r="BR52" s="217">
        <f t="shared" si="18"/>
        <v>-1.5976213752024946</v>
      </c>
    </row>
    <row r="53" spans="1:70" ht="11.25" customHeight="1" x14ac:dyDescent="0.2">
      <c r="A53" s="63" t="s">
        <v>100</v>
      </c>
      <c r="B53" s="64" t="s">
        <v>91</v>
      </c>
      <c r="C53" s="65">
        <f t="shared" si="14"/>
        <v>2</v>
      </c>
      <c r="D53" s="136"/>
      <c r="E53" s="66" t="str">
        <f t="shared" si="16"/>
        <v>USDFedFunds</v>
      </c>
      <c r="F53" s="68" t="str">
        <f t="shared" si="17"/>
        <v>USDOIS15Y_Quote</v>
      </c>
      <c r="G53" s="136"/>
      <c r="H53" s="69" t="str">
        <f>_xll.qlOISRateHelper(,C53,B53,F53,$E53,,Permanent,Trigger,ObjectOverwrite)</f>
        <v>obj_002fd#0312</v>
      </c>
      <c r="J53" s="11" t="str">
        <f t="shared" si="15"/>
        <v>OIS</v>
      </c>
      <c r="K53" s="105" t="str">
        <f t="shared" si="10"/>
        <v>obj_00304#0310</v>
      </c>
      <c r="L53" s="108" t="str">
        <f>IFERROR(_xll.qlRateHelperQuoteName(K53,Trigger),"--")</f>
        <v>USDOIS25Y_Quote</v>
      </c>
      <c r="M53" s="109">
        <f>IFERROR(_xll.qlRateHelperQuoteValue($K53,Trigger),"--")</f>
        <v>1.7659999999999999E-2</v>
      </c>
      <c r="N53" s="108" t="b">
        <v>1</v>
      </c>
      <c r="O53" s="105">
        <v>50</v>
      </c>
      <c r="P53" s="105">
        <v>1</v>
      </c>
      <c r="Q53" s="110">
        <f>IFERROR(_xll.qlRateHelperEarliestDate(K53,Trigger),"--")</f>
        <v>42450</v>
      </c>
      <c r="R53" s="110">
        <f>IFERROR(_xll.qlRateHelperPillarDate(K53,Trigger),"--")</f>
        <v>51581</v>
      </c>
      <c r="T53" s="4" t="str">
        <f t="shared" si="19"/>
        <v/>
      </c>
      <c r="U53" s="4" t="e">
        <v>#N/A</v>
      </c>
      <c r="V53" s="4" t="str">
        <f>IFERROR(_xll.qlRateHelperQuoteName(U53,Trigger),"")</f>
        <v/>
      </c>
      <c r="W53" s="75" t="str">
        <f>IFERROR(_xll.qlRateHelperRate(U53,Trigger),"")</f>
        <v/>
      </c>
      <c r="X53" s="115" t="str">
        <f>IF(ISERROR(_xll.qlSwapRateHelperSpread($U53)),IF(ISERROR(_xll.qlFuturesRateHelperConvexityAdjustment($U53)),"",_xll.qlFuturesRateHelperConvexityAdjustment($U53)),_xll.qlSwapRateHelperSpread($U53))</f>
        <v/>
      </c>
      <c r="Y53" s="5" t="str">
        <f>IFERROR(_xll.qlRateHelperEarliestDate(U53,Trigger),"")</f>
        <v/>
      </c>
      <c r="Z53" s="5" t="str">
        <f>IFERROR(_xll.qlRateHelperPillarDate(U53,Trigger),"")</f>
        <v/>
      </c>
      <c r="AA53" s="5" t="e">
        <v>#N/A</v>
      </c>
      <c r="AG53" s="198">
        <v>47017</v>
      </c>
      <c r="AH53" s="261">
        <v>6.3498082741080767E-3</v>
      </c>
      <c r="AI53" s="261">
        <v>1</v>
      </c>
      <c r="AJ53" s="198">
        <v>46925</v>
      </c>
      <c r="AK53" s="198">
        <v>47017</v>
      </c>
      <c r="AL53" s="200">
        <v>92</v>
      </c>
      <c r="AM53" s="201" t="str">
        <v>FedFundsON Actual/360</v>
      </c>
      <c r="AN53" s="200">
        <v>0</v>
      </c>
      <c r="AO53" s="198">
        <v>47016</v>
      </c>
      <c r="AP53" s="200" t="str">
        <v>Actual/360</v>
      </c>
      <c r="AQ53" s="202">
        <v>0.25555555555555554</v>
      </c>
      <c r="AR53" s="203">
        <v>2.4847075855205521E-2</v>
      </c>
      <c r="AS53" s="245">
        <f>_xll.qlDayCounterYearFraction("actual/365 (fixed)",Evaluationdate,AJ53,,,Trigger)</f>
        <v>12.271232876712329</v>
      </c>
      <c r="AT53" s="246">
        <f>_xll.qlDayCounterYearFraction("actual/365 (fixed)",Evaluationdate,AK53,,,Trigger)</f>
        <v>12.523287671232877</v>
      </c>
      <c r="AU53" s="246">
        <f>_xll.qlDayCounterYearFraction(AP53,AJ53,AK53,,,Trigger)</f>
        <v>0.25555555555555554</v>
      </c>
      <c r="AV53" s="247">
        <f>_xll.qlYieldTSDiscount("USDON",AJ53,,Trigger)</f>
        <v>0.83073031352398896</v>
      </c>
      <c r="AW53" s="247">
        <f>_xll.qlYieldTSDiscount("USDON",AK53,,Trigger)</f>
        <v>0.82630999438098274</v>
      </c>
      <c r="AX53" s="203">
        <f t="shared" si="20"/>
        <v>1.5592421218470224E-6</v>
      </c>
      <c r="AY53" s="203">
        <f t="shared" si="21"/>
        <v>-8.8490104133143177E-5</v>
      </c>
      <c r="AZ53" s="201" t="b">
        <f t="shared" si="22"/>
        <v>1</v>
      </c>
      <c r="BA53" s="195">
        <f t="shared" si="23"/>
        <v>2.4562702148096069E-2</v>
      </c>
      <c r="BB53" s="248">
        <f t="shared" si="24"/>
        <v>0</v>
      </c>
      <c r="BC53" s="248">
        <f t="shared" si="25"/>
        <v>0</v>
      </c>
      <c r="BD53" s="193"/>
      <c r="BE53" s="193" t="s">
        <v>100</v>
      </c>
      <c r="BF53" s="193" t="s">
        <v>96</v>
      </c>
      <c r="BG53" s="193" t="str">
        <f>Currency&amp;BE53&amp;BF53&amp;QuoteSuffix</f>
        <v>USDOIS35Y_Quote</v>
      </c>
      <c r="BH53" s="252">
        <f>Evaluationdate</f>
        <v>42446</v>
      </c>
      <c r="BI53" s="252">
        <f>_xll.qlSwapStartDate(BO53,Trigger)</f>
        <v>42450</v>
      </c>
      <c r="BJ53" s="252">
        <f>_xll.qlSwapMaturityDate(BO53,Trigger)</f>
        <v>55233</v>
      </c>
      <c r="BK53" s="195">
        <f>_xll.qlOvernightIndexedSwapFairRate(BO53,Trigger)</f>
        <v>1.8035305794590166E-2</v>
      </c>
      <c r="BL53" s="195">
        <f>_xll.qlQuoteValue(BG53)</f>
        <v>1.787E-2</v>
      </c>
      <c r="BM53" s="217">
        <f t="shared" si="8"/>
        <v>1.653057945901655</v>
      </c>
      <c r="BO53" s="50" t="str">
        <f>_xll.qlMakeOIS(,2,IF(BF53="SW","1W",BF53),UPPER(Currency)&amp;"FedFunds",,$BQ$4,$BR$4,,Permanent,Trigger,ObjectOverwrite)</f>
        <v>obj_003f6#0314</v>
      </c>
    </row>
    <row r="54" spans="1:70" ht="11.25" customHeight="1" x14ac:dyDescent="0.2">
      <c r="A54" s="63" t="s">
        <v>100</v>
      </c>
      <c r="B54" s="64" t="s">
        <v>92</v>
      </c>
      <c r="C54" s="65">
        <f t="shared" si="14"/>
        <v>2</v>
      </c>
      <c r="D54" s="136"/>
      <c r="E54" s="66" t="str">
        <f t="shared" si="16"/>
        <v>USDFedFunds</v>
      </c>
      <c r="F54" s="68" t="str">
        <f t="shared" si="17"/>
        <v>USDOIS20Y_Quote</v>
      </c>
      <c r="G54" s="136"/>
      <c r="H54" s="69" t="str">
        <f>_xll.qlOISRateHelper(,C54,B54,F54,$E54,,Permanent,Trigger,ObjectOverwrite)</f>
        <v>obj_00306#0310</v>
      </c>
      <c r="J54" s="11" t="str">
        <f t="shared" si="15"/>
        <v>OIS</v>
      </c>
      <c r="K54" s="105" t="str">
        <f t="shared" si="10"/>
        <v>--</v>
      </c>
      <c r="L54" s="108" t="str">
        <f>IFERROR(_xll.qlRateHelperQuoteName(K54,Trigger),"--")</f>
        <v>--</v>
      </c>
      <c r="M54" s="109" t="str">
        <f>IFERROR(_xll.qlRateHelperQuoteValue($K54,Trigger),"--")</f>
        <v>--</v>
      </c>
      <c r="N54" s="108" t="b">
        <v>0</v>
      </c>
      <c r="O54" s="105">
        <v>50</v>
      </c>
      <c r="P54" s="105">
        <v>1</v>
      </c>
      <c r="Q54" s="110" t="str">
        <f>IFERROR(_xll.qlRateHelperEarliestDate(K54,Trigger),"--")</f>
        <v>--</v>
      </c>
      <c r="R54" s="110" t="str">
        <f>IFERROR(_xll.qlRateHelperPillarDate(K54,Trigger),"--")</f>
        <v>--</v>
      </c>
      <c r="T54" s="4" t="str">
        <f t="shared" si="19"/>
        <v/>
      </c>
      <c r="U54" s="4" t="e">
        <v>#N/A</v>
      </c>
      <c r="V54" s="4" t="str">
        <f>IFERROR(_xll.qlRateHelperQuoteName(U54,Trigger),"")</f>
        <v/>
      </c>
      <c r="W54" s="75" t="str">
        <f>IFERROR(_xll.qlRateHelperRate(U54,Trigger),"")</f>
        <v/>
      </c>
      <c r="X54" s="115" t="str">
        <f>IF(ISERROR(_xll.qlSwapRateHelperSpread($U54)),IF(ISERROR(_xll.qlFuturesRateHelperConvexityAdjustment($U54)),"",_xll.qlFuturesRateHelperConvexityAdjustment($U54)),_xll.qlSwapRateHelperSpread($U54))</f>
        <v/>
      </c>
      <c r="Y54" s="5" t="str">
        <f>IFERROR(_xll.qlRateHelperEarliestDate(U54,Trigger),"")</f>
        <v/>
      </c>
      <c r="Z54" s="5" t="str">
        <f>IFERROR(_xll.qlRateHelperPillarDate(U54,Trigger),"")</f>
        <v/>
      </c>
      <c r="AA54" s="5" t="e">
        <v>#N/A</v>
      </c>
      <c r="AG54" s="198">
        <v>47108</v>
      </c>
      <c r="AH54" s="261">
        <v>6.1872908634526538E-3</v>
      </c>
      <c r="AI54" s="261">
        <v>1</v>
      </c>
      <c r="AJ54" s="198">
        <v>47017</v>
      </c>
      <c r="AK54" s="198">
        <v>47108</v>
      </c>
      <c r="AL54" s="200">
        <v>91</v>
      </c>
      <c r="AM54" s="201" t="str">
        <v>FedFundsON Actual/360</v>
      </c>
      <c r="AN54" s="200">
        <v>0</v>
      </c>
      <c r="AO54" s="198">
        <v>47107</v>
      </c>
      <c r="AP54" s="200" t="str">
        <v>Actual/360</v>
      </c>
      <c r="AQ54" s="202">
        <v>0.25277777777777777</v>
      </c>
      <c r="AR54" s="203">
        <v>2.4477194624647862E-2</v>
      </c>
      <c r="AS54" s="245">
        <f>_xll.qlDayCounterYearFraction("actual/365 (fixed)",Evaluationdate,AJ54,,,Trigger)</f>
        <v>12.523287671232877</v>
      </c>
      <c r="AT54" s="246">
        <f>_xll.qlDayCounterYearFraction("actual/365 (fixed)",Evaluationdate,AK54,,,Trigger)</f>
        <v>12.772602739726027</v>
      </c>
      <c r="AU54" s="246">
        <f>_xll.qlDayCounterYearFraction(AP54,AJ54,AK54,,,Trigger)</f>
        <v>0.25277777777777777</v>
      </c>
      <c r="AV54" s="247">
        <f>_xll.qlYieldTSDiscount("USDON",AJ54,,Trigger)</f>
        <v>0.82630999438098274</v>
      </c>
      <c r="AW54" s="247">
        <f>_xll.qlYieldTSDiscount("USDON",AK54,,Trigger)</f>
        <v>0.82196632857431862</v>
      </c>
      <c r="AX54" s="203">
        <f t="shared" si="20"/>
        <v>1.556865001174336E-6</v>
      </c>
      <c r="AY54" s="203">
        <f t="shared" si="21"/>
        <v>-6.968314814059795E-7</v>
      </c>
      <c r="AZ54" s="201" t="b">
        <f t="shared" si="22"/>
        <v>1</v>
      </c>
      <c r="BA54" s="195">
        <f t="shared" si="23"/>
        <v>2.4535640856764872E-2</v>
      </c>
      <c r="BB54" s="248">
        <f t="shared" si="24"/>
        <v>0</v>
      </c>
      <c r="BC54" s="248">
        <f t="shared" si="25"/>
        <v>0</v>
      </c>
      <c r="BD54" s="193"/>
      <c r="BE54" s="193" t="s">
        <v>100</v>
      </c>
      <c r="BF54" s="193" t="s">
        <v>97</v>
      </c>
      <c r="BG54" s="193" t="str">
        <f>Currency&amp;BE54&amp;BF54&amp;QuoteSuffix</f>
        <v>USDOIS40Y_Quote</v>
      </c>
      <c r="BH54" s="252">
        <f>Evaluationdate</f>
        <v>42446</v>
      </c>
      <c r="BI54" s="252">
        <f>_xll.qlSwapStartDate(BO54,Trigger)</f>
        <v>42450</v>
      </c>
      <c r="BJ54" s="252">
        <f>_xll.qlSwapMaturityDate(BO54,Trigger)</f>
        <v>57060</v>
      </c>
      <c r="BK54" s="195">
        <f>_xll.qlOvernightIndexedSwapFairRate(BO54,Trigger)</f>
        <v>1.8060000000010786E-2</v>
      </c>
      <c r="BL54" s="195">
        <f>_xll.qlQuoteValue(BG54)</f>
        <v>1.8500000000000003E-2</v>
      </c>
      <c r="BM54" s="217">
        <f t="shared" si="8"/>
        <v>4.3999999998921639</v>
      </c>
      <c r="BO54" s="50" t="str">
        <f>_xll.qlMakeOIS(,2,IF(BF54="SW","1W",BF54),UPPER(Currency)&amp;"FedFunds",,$BQ$4,$BR$4,,Permanent,Trigger,ObjectOverwrite)</f>
        <v>obj_003f5#0314</v>
      </c>
    </row>
    <row r="55" spans="1:70" ht="11.25" customHeight="1" x14ac:dyDescent="0.2">
      <c r="A55" s="63" t="s">
        <v>100</v>
      </c>
      <c r="B55" s="64" t="s">
        <v>93</v>
      </c>
      <c r="C55" s="65">
        <f t="shared" si="14"/>
        <v>2</v>
      </c>
      <c r="D55" s="136"/>
      <c r="E55" s="66" t="str">
        <f t="shared" si="16"/>
        <v>USDFedFunds</v>
      </c>
      <c r="F55" s="68" t="str">
        <f t="shared" si="17"/>
        <v>USDOIS25Y_Quote</v>
      </c>
      <c r="G55" s="136"/>
      <c r="H55" s="69" t="str">
        <f>_xll.qlOISRateHelper(,C55,B55,F55,$E55,,Permanent,Trigger,ObjectOverwrite)</f>
        <v>obj_00304#0310</v>
      </c>
      <c r="J55" s="11" t="str">
        <f t="shared" si="15"/>
        <v>OIS</v>
      </c>
      <c r="K55" s="105" t="str">
        <f t="shared" si="10"/>
        <v>obj_00309#0307</v>
      </c>
      <c r="L55" s="108" t="str">
        <f>IFERROR(_xll.qlRateHelperQuoteName(K55,Trigger),"--")</f>
        <v>USDOIS30Y_Quote</v>
      </c>
      <c r="M55" s="109">
        <f>IFERROR(_xll.qlRateHelperQuoteValue($K55,Trigger),"--")</f>
        <v>1.7909999999999999E-2</v>
      </c>
      <c r="N55" s="108" t="b">
        <v>1</v>
      </c>
      <c r="O55" s="105">
        <v>50</v>
      </c>
      <c r="P55" s="105">
        <v>1</v>
      </c>
      <c r="Q55" s="110">
        <f>IFERROR(_xll.qlRateHelperEarliestDate(K55,Trigger),"--")</f>
        <v>42450</v>
      </c>
      <c r="R55" s="110">
        <f>IFERROR(_xll.qlRateHelperPillarDate(K55,Trigger),"--")</f>
        <v>53407</v>
      </c>
      <c r="T55" s="4" t="str">
        <f t="shared" si="19"/>
        <v/>
      </c>
      <c r="U55" s="4" t="e">
        <v>#N/A</v>
      </c>
      <c r="V55" s="4" t="str">
        <f>IFERROR(_xll.qlRateHelperQuoteName(U55,Trigger),"")</f>
        <v/>
      </c>
      <c r="W55" s="75" t="str">
        <f>IFERROR(_xll.qlRateHelperRate(U55,Trigger),"")</f>
        <v/>
      </c>
      <c r="X55" s="115" t="str">
        <f>IF(ISERROR(_xll.qlSwapRateHelperSpread($U55)),IF(ISERROR(_xll.qlFuturesRateHelperConvexityAdjustment($U55)),"",_xll.qlFuturesRateHelperConvexityAdjustment($U55)),_xll.qlSwapRateHelperSpread($U55))</f>
        <v/>
      </c>
      <c r="Y55" s="5" t="str">
        <f>IFERROR(_xll.qlRateHelperEarliestDate(U55,Trigger),"")</f>
        <v/>
      </c>
      <c r="Z55" s="5" t="str">
        <f>IFERROR(_xll.qlRateHelperPillarDate(U55,Trigger),"")</f>
        <v/>
      </c>
      <c r="AA55" s="5" t="e">
        <v>#N/A</v>
      </c>
      <c r="AG55" s="198">
        <v>47198</v>
      </c>
      <c r="AH55" s="261">
        <v>6.2188563099862294E-3</v>
      </c>
      <c r="AI55" s="261">
        <v>1</v>
      </c>
      <c r="AJ55" s="198">
        <v>47108</v>
      </c>
      <c r="AK55" s="198">
        <v>47198</v>
      </c>
      <c r="AL55" s="200">
        <v>90</v>
      </c>
      <c r="AM55" s="201" t="str">
        <v>FedFundsON Actual/360</v>
      </c>
      <c r="AN55" s="200">
        <v>0</v>
      </c>
      <c r="AO55" s="198">
        <v>47197</v>
      </c>
      <c r="AP55" s="200" t="str">
        <v>Actual/360</v>
      </c>
      <c r="AQ55" s="202">
        <v>0.25</v>
      </c>
      <c r="AR55" s="203">
        <v>2.4875425239944918E-2</v>
      </c>
      <c r="AS55" s="245">
        <f>_xll.qlDayCounterYearFraction("actual/365 (fixed)",Evaluationdate,AJ55,,,Trigger)</f>
        <v>12.772602739726027</v>
      </c>
      <c r="AT55" s="246">
        <f>_xll.qlDayCounterYearFraction("actual/365 (fixed)",Evaluationdate,AK55,,,Trigger)</f>
        <v>13.019178082191781</v>
      </c>
      <c r="AU55" s="246">
        <f>_xll.qlDayCounterYearFraction(AP55,AJ55,AK55,,,Trigger)</f>
        <v>0.25</v>
      </c>
      <c r="AV55" s="247">
        <f>_xll.qlYieldTSDiscount("USDON",AJ55,,Trigger)</f>
        <v>0.82196632857431862</v>
      </c>
      <c r="AW55" s="247">
        <f>_xll.qlYieldTSDiscount("USDON",AK55,,Trigger)</f>
        <v>0.81769666471571134</v>
      </c>
      <c r="AX55" s="203">
        <f t="shared" si="20"/>
        <v>1.5531533732631449E-6</v>
      </c>
      <c r="AY55" s="203">
        <f t="shared" si="21"/>
        <v>-1.049203501857221E-4</v>
      </c>
      <c r="AZ55" s="201" t="b">
        <f t="shared" si="22"/>
        <v>1</v>
      </c>
      <c r="BA55" s="195">
        <f t="shared" si="23"/>
        <v>2.4516297048021697E-2</v>
      </c>
      <c r="BB55" s="248">
        <f t="shared" si="24"/>
        <v>0</v>
      </c>
      <c r="BC55" s="248">
        <f t="shared" si="25"/>
        <v>0</v>
      </c>
      <c r="BD55" s="193"/>
      <c r="BE55" s="193" t="s">
        <v>100</v>
      </c>
      <c r="BF55" s="193" t="s">
        <v>98</v>
      </c>
      <c r="BG55" s="193" t="str">
        <f>Currency&amp;BE55&amp;BF55&amp;QuoteSuffix</f>
        <v>USDOIS45Y_Quote</v>
      </c>
      <c r="BH55" s="252">
        <f>Evaluationdate</f>
        <v>42446</v>
      </c>
      <c r="BI55" s="252">
        <f>_xll.qlSwapStartDate(BO55,Trigger)</f>
        <v>42450</v>
      </c>
      <c r="BJ55" s="252">
        <f>_xll.qlSwapMaturityDate(BO55,Trigger)</f>
        <v>58886</v>
      </c>
      <c r="BK55" s="195">
        <f>_xll.qlOvernightIndexedSwapFairRate(BO55,Trigger)</f>
        <v>1.8010885056325192E-2</v>
      </c>
      <c r="BL55" s="195">
        <f>_xll.qlQuoteValue(BG55)</f>
        <v>1.8879999999999997E-2</v>
      </c>
      <c r="BM55" s="217">
        <f t="shared" si="8"/>
        <v>8.6911494367480557</v>
      </c>
      <c r="BO55" s="50" t="str">
        <f>_xll.qlMakeOIS(,2,IF(BF55="SW","1W",BF55),UPPER(Currency)&amp;"FedFunds",,$BQ$4,$BR$4,,Permanent,Trigger,ObjectOverwrite)</f>
        <v>obj_003f4#0314</v>
      </c>
    </row>
    <row r="56" spans="1:70" ht="11.25" customHeight="1" x14ac:dyDescent="0.2">
      <c r="A56" s="63" t="s">
        <v>100</v>
      </c>
      <c r="B56" s="64" t="s">
        <v>94</v>
      </c>
      <c r="C56" s="65">
        <f t="shared" si="14"/>
        <v>2</v>
      </c>
      <c r="D56" s="136"/>
      <c r="E56" s="66" t="str">
        <f t="shared" si="16"/>
        <v>USDFedFunds</v>
      </c>
      <c r="F56" s="68" t="str">
        <f t="shared" si="17"/>
        <v>USDOIS27Y_Quote</v>
      </c>
      <c r="G56" s="136"/>
      <c r="H56" s="69"/>
      <c r="J56" s="11" t="str">
        <f t="shared" ref="J56:J57" si="26">A58</f>
        <v>OIS</v>
      </c>
      <c r="K56" s="105" t="str">
        <f t="shared" ref="K56:K57" si="27">IF(ISBLANK(H58),"--",H58)</f>
        <v>--</v>
      </c>
      <c r="L56" s="108" t="str">
        <f>IFERROR(_xll.qlRateHelperQuoteName(K56,Trigger),"--")</f>
        <v>--</v>
      </c>
      <c r="M56" s="109" t="str">
        <f>IFERROR(_xll.qlRateHelperQuoteValue($K56,Trigger),"--")</f>
        <v>--</v>
      </c>
      <c r="N56" s="108" t="b">
        <v>0</v>
      </c>
      <c r="O56" s="105">
        <v>50</v>
      </c>
      <c r="P56" s="105">
        <v>1</v>
      </c>
      <c r="Q56" s="110" t="str">
        <f>IFERROR(_xll.qlRateHelperEarliestDate(K56,Trigger),"--")</f>
        <v>--</v>
      </c>
      <c r="R56" s="110" t="str">
        <f>IFERROR(_xll.qlRateHelperPillarDate(K56,Trigger),"--")</f>
        <v>--</v>
      </c>
      <c r="T56" s="4" t="str">
        <f t="shared" si="19"/>
        <v/>
      </c>
      <c r="U56" s="4" t="e">
        <v>#N/A</v>
      </c>
      <c r="V56" s="4" t="str">
        <f>IFERROR(_xll.qlRateHelperQuoteName(U56,Trigger),"")</f>
        <v/>
      </c>
      <c r="W56" s="75" t="str">
        <f>IFERROR(_xll.qlRateHelperRate(U56,Trigger),"")</f>
        <v/>
      </c>
      <c r="X56" s="115" t="str">
        <f>IF(ISERROR(_xll.qlSwapRateHelperSpread($U56)),IF(ISERROR(_xll.qlFuturesRateHelperConvexityAdjustment($U56)),"",_xll.qlFuturesRateHelperConvexityAdjustment($U56)),_xll.qlSwapRateHelperSpread($U56))</f>
        <v/>
      </c>
      <c r="Y56" s="5" t="str">
        <f>IFERROR(_xll.qlRateHelperEarliestDate(U56,Trigger),"")</f>
        <v/>
      </c>
      <c r="Z56" s="5" t="str">
        <f>IFERROR(_xll.qlRateHelperPillarDate(U56,Trigger),"")</f>
        <v/>
      </c>
      <c r="AA56" s="5" t="e">
        <v>#N/A</v>
      </c>
      <c r="AG56" s="198">
        <v>47290</v>
      </c>
      <c r="AH56" s="261">
        <v>6.3353327982871212E-3</v>
      </c>
      <c r="AI56" s="261">
        <v>1</v>
      </c>
      <c r="AJ56" s="198">
        <v>47198</v>
      </c>
      <c r="AK56" s="198">
        <v>47290</v>
      </c>
      <c r="AL56" s="200">
        <v>92</v>
      </c>
      <c r="AM56" s="201" t="str">
        <v>FedFundsON Actual/360</v>
      </c>
      <c r="AN56" s="200">
        <v>0</v>
      </c>
      <c r="AO56" s="198">
        <v>47289</v>
      </c>
      <c r="AP56" s="200" t="str">
        <v>Actual/360</v>
      </c>
      <c r="AQ56" s="202">
        <v>0.25555555555555554</v>
      </c>
      <c r="AR56" s="203">
        <v>2.4790432688949607E-2</v>
      </c>
      <c r="AS56" s="245">
        <f>_xll.qlDayCounterYearFraction("actual/365 (fixed)",Evaluationdate,AJ56,,,Trigger)</f>
        <v>13.019178082191781</v>
      </c>
      <c r="AT56" s="246">
        <f>_xll.qlDayCounterYearFraction("actual/365 (fixed)",Evaluationdate,AK56,,,Trigger)</f>
        <v>13.271232876712329</v>
      </c>
      <c r="AU56" s="246">
        <f>_xll.qlDayCounterYearFraction(AP56,AJ56,AK56,,,Trigger)</f>
        <v>0.25555555555555554</v>
      </c>
      <c r="AV56" s="247">
        <f>_xll.qlYieldTSDiscount("USDON",AJ56,,Trigger)</f>
        <v>0.81769666471571134</v>
      </c>
      <c r="AW56" s="247">
        <f>_xll.qlYieldTSDiscount("USDON",AK56,,Trigger)</f>
        <v>0.81335739401805995</v>
      </c>
      <c r="AX56" s="203">
        <f t="shared" si="20"/>
        <v>1.6542808897081805E-6</v>
      </c>
      <c r="AY56" s="203">
        <f t="shared" si="21"/>
        <v>-8.8490104133143177E-5</v>
      </c>
      <c r="AZ56" s="201" t="b">
        <f t="shared" si="22"/>
        <v>1</v>
      </c>
      <c r="BA56" s="195">
        <f t="shared" si="23"/>
        <v>2.4506130258030556E-2</v>
      </c>
      <c r="BB56" s="248">
        <f t="shared" si="24"/>
        <v>0</v>
      </c>
      <c r="BC56" s="248">
        <f t="shared" si="25"/>
        <v>0</v>
      </c>
      <c r="BD56" s="193"/>
      <c r="BE56" s="193" t="s">
        <v>100</v>
      </c>
      <c r="BF56" s="193" t="s">
        <v>99</v>
      </c>
      <c r="BG56" s="193" t="str">
        <f>Currency&amp;BE56&amp;BF56&amp;QuoteSuffix</f>
        <v>USDOIS50Y_Quote</v>
      </c>
      <c r="BH56" s="252">
        <f>Evaluationdate</f>
        <v>42446</v>
      </c>
      <c r="BI56" s="252">
        <f>_xll.qlSwapStartDate(BO56,Trigger)</f>
        <v>42450</v>
      </c>
      <c r="BJ56" s="252">
        <f>_xll.qlSwapMaturityDate(BO56,Trigger)</f>
        <v>60713</v>
      </c>
      <c r="BK56" s="195">
        <f>_xll.qlOvernightIndexedSwapFairRate(BO56,Trigger)</f>
        <v>1.7939999999984486E-2</v>
      </c>
      <c r="BL56" s="195">
        <f>_xll.qlQuoteValue(BG56)</f>
        <v>1.9269999999999999E-2</v>
      </c>
      <c r="BM56" s="217">
        <f t="shared" si="8"/>
        <v>13.300000000155132</v>
      </c>
      <c r="BO56" s="50" t="str">
        <f>_xll.qlMakeOIS(,2,IF(BF56="SW","1W",BF56),UPPER(Currency)&amp;"FedFunds",,$BQ$4,$BR$4,,Permanent,Trigger,ObjectOverwrite)</f>
        <v>obj_003f3#0314</v>
      </c>
    </row>
    <row r="57" spans="1:70" ht="11.25" customHeight="1" x14ac:dyDescent="0.2">
      <c r="A57" s="63" t="s">
        <v>100</v>
      </c>
      <c r="B57" s="64" t="s">
        <v>95</v>
      </c>
      <c r="C57" s="65">
        <f t="shared" si="14"/>
        <v>2</v>
      </c>
      <c r="D57" s="136"/>
      <c r="E57" s="66" t="str">
        <f t="shared" si="16"/>
        <v>USDFedFunds</v>
      </c>
      <c r="F57" s="68" t="str">
        <f t="shared" si="17"/>
        <v>USDOIS30Y_Quote</v>
      </c>
      <c r="G57" s="136"/>
      <c r="H57" s="69" t="str">
        <f>_xll.qlOISRateHelper(,C57,B57,F57,$E57,,Permanent,Trigger,ObjectOverwrite)</f>
        <v>obj_00309#0307</v>
      </c>
      <c r="J57" s="11" t="str">
        <f t="shared" si="26"/>
        <v>OIS</v>
      </c>
      <c r="K57" s="105" t="str">
        <f t="shared" si="27"/>
        <v>obj_00303#0310</v>
      </c>
      <c r="L57" s="108" t="str">
        <f>IFERROR(_xll.qlRateHelperQuoteName(K57,Trigger),"--")</f>
        <v>USDOIS40Y_Quote</v>
      </c>
      <c r="M57" s="109">
        <f>IFERROR(_xll.qlRateHelperQuoteValue($K57,Trigger),"--")</f>
        <v>1.806E-2</v>
      </c>
      <c r="N57" s="108" t="b">
        <v>1</v>
      </c>
      <c r="O57" s="105">
        <v>50</v>
      </c>
      <c r="P57" s="105">
        <v>1</v>
      </c>
      <c r="Q57" s="110">
        <f>IFERROR(_xll.qlRateHelperEarliestDate(K57,Trigger),"--")</f>
        <v>42450</v>
      </c>
      <c r="R57" s="110">
        <f>IFERROR(_xll.qlRateHelperPillarDate(K57,Trigger),"--")</f>
        <v>57060</v>
      </c>
      <c r="T57" s="4" t="str">
        <f t="shared" si="19"/>
        <v/>
      </c>
      <c r="U57" s="4" t="e">
        <v>#N/A</v>
      </c>
      <c r="V57" s="4" t="str">
        <f>IFERROR(_xll.qlRateHelperQuoteName(U57,Trigger),"")</f>
        <v/>
      </c>
      <c r="W57" s="75" t="str">
        <f>IFERROR(_xll.qlRateHelperRate(U57,Trigger),"")</f>
        <v/>
      </c>
      <c r="X57" s="115" t="str">
        <f>IF(ISERROR(_xll.qlSwapRateHelperSpread($U57)),IF(ISERROR(_xll.qlFuturesRateHelperConvexityAdjustment($U57)),"",_xll.qlFuturesRateHelperConvexityAdjustment($U57)),_xll.qlSwapRateHelperSpread($U57))</f>
        <v/>
      </c>
      <c r="Y57" s="5" t="str">
        <f>IFERROR(_xll.qlRateHelperEarliestDate(U57,Trigger),"")</f>
        <v/>
      </c>
      <c r="Z57" s="5" t="str">
        <f>IFERROR(_xll.qlRateHelperPillarDate(U57,Trigger),"")</f>
        <v/>
      </c>
      <c r="AA57" s="5" t="e">
        <v>#N/A</v>
      </c>
      <c r="AG57" s="198">
        <v>47382</v>
      </c>
      <c r="AH57" s="261">
        <v>6.3343030891776361E-3</v>
      </c>
      <c r="AI57" s="261">
        <v>1</v>
      </c>
      <c r="AJ57" s="198">
        <v>47290</v>
      </c>
      <c r="AK57" s="198">
        <v>47382</v>
      </c>
      <c r="AL57" s="200">
        <v>92</v>
      </c>
      <c r="AM57" s="201" t="str">
        <v>FedFundsON Actual/360</v>
      </c>
      <c r="AN57" s="200">
        <v>0</v>
      </c>
      <c r="AO57" s="198">
        <v>47381</v>
      </c>
      <c r="AP57" s="200" t="str">
        <v>Actual/360</v>
      </c>
      <c r="AQ57" s="202">
        <v>0.25555555555555554</v>
      </c>
      <c r="AR57" s="203">
        <v>2.4786403392434229E-2</v>
      </c>
      <c r="AS57" s="245">
        <f>_xll.qlDayCounterYearFraction("actual/365 (fixed)",Evaluationdate,AJ57,,,Trigger)</f>
        <v>13.271232876712329</v>
      </c>
      <c r="AT57" s="246">
        <f>_xll.qlDayCounterYearFraction("actual/365 (fixed)",Evaluationdate,AK57,,,Trigger)</f>
        <v>13.523287671232877</v>
      </c>
      <c r="AU57" s="246">
        <f>_xll.qlDayCounterYearFraction(AP57,AJ57,AK57,,,Trigger)</f>
        <v>0.25555555555555554</v>
      </c>
      <c r="AV57" s="247">
        <f>_xll.qlYieldTSDiscount("USDON",AJ57,,Trigger)</f>
        <v>0.81335739401805995</v>
      </c>
      <c r="AW57" s="247">
        <f>_xll.qlYieldTSDiscount("USDON",AK57,,Trigger)</f>
        <v>0.80904195769287424</v>
      </c>
      <c r="AX57" s="203">
        <f t="shared" si="20"/>
        <v>1.6863086383677953E-6</v>
      </c>
      <c r="AY57" s="203">
        <f t="shared" si="21"/>
        <v>-8.8490104133143177E-5</v>
      </c>
      <c r="AZ57" s="201" t="b">
        <f t="shared" si="22"/>
        <v>1</v>
      </c>
      <c r="BA57" s="195">
        <f t="shared" si="23"/>
        <v>2.4502205461719995E-2</v>
      </c>
      <c r="BB57" s="248">
        <f t="shared" si="24"/>
        <v>0</v>
      </c>
      <c r="BC57" s="248">
        <f t="shared" si="25"/>
        <v>0</v>
      </c>
      <c r="BD57" s="193"/>
      <c r="BE57" s="193"/>
      <c r="BF57" s="193"/>
      <c r="BG57" s="193"/>
      <c r="BH57" s="193"/>
      <c r="BI57" s="193"/>
      <c r="BJ57" s="193"/>
      <c r="BK57" s="193"/>
      <c r="BL57" s="193"/>
    </row>
    <row r="58" spans="1:70" ht="11.25" customHeight="1" thickBot="1" x14ac:dyDescent="0.25">
      <c r="A58" s="63" t="s">
        <v>100</v>
      </c>
      <c r="B58" s="64" t="s">
        <v>96</v>
      </c>
      <c r="C58" s="65">
        <f t="shared" si="14"/>
        <v>2</v>
      </c>
      <c r="D58" s="136"/>
      <c r="E58" s="66" t="str">
        <f t="shared" si="16"/>
        <v>USDFedFunds</v>
      </c>
      <c r="F58" s="68" t="str">
        <f t="shared" si="17"/>
        <v>USDOIS35Y_Quote</v>
      </c>
      <c r="G58" s="136"/>
      <c r="H58" s="69"/>
      <c r="J58" s="11" t="str">
        <f t="shared" ref="J58:J59" si="28">A60</f>
        <v>OIS</v>
      </c>
      <c r="K58" s="105" t="str">
        <f t="shared" ref="K58:K59" si="29">IF(ISBLANK(H60),"--",H60)</f>
        <v>--</v>
      </c>
      <c r="L58" s="108" t="str">
        <f>IFERROR(_xll.qlRateHelperQuoteName(K58,Trigger),"--")</f>
        <v>--</v>
      </c>
      <c r="M58" s="109" t="str">
        <f>IFERROR(_xll.qlRateHelperQuoteValue($K58,Trigger),"--")</f>
        <v>--</v>
      </c>
      <c r="N58" s="108" t="b">
        <v>0</v>
      </c>
      <c r="O58" s="105">
        <v>50</v>
      </c>
      <c r="P58" s="105">
        <v>1</v>
      </c>
      <c r="Q58" s="110" t="str">
        <f>IFERROR(_xll.qlRateHelperEarliestDate(K58,Trigger),"--")</f>
        <v>--</v>
      </c>
      <c r="R58" s="110" t="str">
        <f>IFERROR(_xll.qlRateHelperPillarDate(K58,Trigger),"--")</f>
        <v>--</v>
      </c>
      <c r="T58" s="4" t="str">
        <f t="shared" si="19"/>
        <v/>
      </c>
      <c r="U58" s="4" t="e">
        <v>#N/A</v>
      </c>
      <c r="V58" s="4" t="str">
        <f>IFERROR(_xll.qlRateHelperQuoteName(U58,Trigger),"")</f>
        <v/>
      </c>
      <c r="W58" s="75" t="str">
        <f>IFERROR(_xll.qlRateHelperRate(U58,Trigger),"")</f>
        <v/>
      </c>
      <c r="X58" s="115" t="str">
        <f>IF(ISERROR(_xll.qlSwapRateHelperSpread($U58)),IF(ISERROR(_xll.qlFuturesRateHelperConvexityAdjustment($U58)),"",_xll.qlFuturesRateHelperConvexityAdjustment($U58)),_xll.qlSwapRateHelperSpread($U58))</f>
        <v/>
      </c>
      <c r="Y58" s="5" t="str">
        <f>IFERROR(_xll.qlRateHelperEarliestDate(U58,Trigger),"")</f>
        <v/>
      </c>
      <c r="Z58" s="5" t="str">
        <f>IFERROR(_xll.qlRateHelperPillarDate(U58,Trigger),"")</f>
        <v/>
      </c>
      <c r="AA58" s="5" t="e">
        <v>#N/A</v>
      </c>
      <c r="AG58" s="198">
        <v>47473</v>
      </c>
      <c r="AH58" s="261">
        <v>6.1795274867188646E-3</v>
      </c>
      <c r="AI58" s="261">
        <v>1</v>
      </c>
      <c r="AJ58" s="198">
        <v>47382</v>
      </c>
      <c r="AK58" s="198">
        <v>47473</v>
      </c>
      <c r="AL58" s="200">
        <v>91</v>
      </c>
      <c r="AM58" s="201" t="str">
        <v>FedFundsON Actual/360</v>
      </c>
      <c r="AN58" s="200">
        <v>0</v>
      </c>
      <c r="AO58" s="198">
        <v>47472</v>
      </c>
      <c r="AP58" s="200" t="str">
        <v>Actual/360</v>
      </c>
      <c r="AQ58" s="202">
        <v>0.25277777777777777</v>
      </c>
      <c r="AR58" s="203">
        <v>2.4446482365041662E-2</v>
      </c>
      <c r="AS58" s="245">
        <f>_xll.qlDayCounterYearFraction("actual/365 (fixed)",Evaluationdate,AJ58,,,Trigger)</f>
        <v>13.523287671232877</v>
      </c>
      <c r="AT58" s="246">
        <f>_xll.qlDayCounterYearFraction("actual/365 (fixed)",Evaluationdate,AK58,,,Trigger)</f>
        <v>13.772602739726027</v>
      </c>
      <c r="AU58" s="246">
        <f>_xll.qlDayCounterYearFraction(AP58,AJ58,AK58,,,Trigger)</f>
        <v>0.25277777777777777</v>
      </c>
      <c r="AV58" s="247">
        <f>_xll.qlYieldTSDiscount("USDON",AJ58,,Trigger)</f>
        <v>0.80904195769287424</v>
      </c>
      <c r="AW58" s="247">
        <f>_xll.qlYieldTSDiscount("USDON",AK58,,Trigger)</f>
        <v>0.80479521267109067</v>
      </c>
      <c r="AX58" s="203">
        <f t="shared" si="20"/>
        <v>1.6811842770699858E-6</v>
      </c>
      <c r="AY58" s="203">
        <f t="shared" si="21"/>
        <v>-6.968314814059795E-7</v>
      </c>
      <c r="AZ58" s="201" t="b">
        <f t="shared" si="22"/>
        <v>1</v>
      </c>
      <c r="BA58" s="195">
        <f t="shared" si="23"/>
        <v>2.4505260826324544E-2</v>
      </c>
      <c r="BB58" s="248">
        <f t="shared" si="24"/>
        <v>0</v>
      </c>
      <c r="BC58" s="248">
        <f t="shared" si="25"/>
        <v>0</v>
      </c>
      <c r="BD58" s="193"/>
      <c r="BE58" s="193"/>
      <c r="BF58" s="193"/>
      <c r="BG58" s="193"/>
      <c r="BH58" s="256">
        <v>30</v>
      </c>
      <c r="BI58" s="193" t="s">
        <v>212</v>
      </c>
      <c r="BJ58" s="193" t="s">
        <v>213</v>
      </c>
      <c r="BK58" s="193"/>
      <c r="BL58" s="50" t="s">
        <v>216</v>
      </c>
      <c r="BM58" s="217">
        <f>SUM(BM44:BM52,BM42,BM38,BM34,BM30,BM18)</f>
        <v>10.545215219428945</v>
      </c>
    </row>
    <row r="59" spans="1:70" ht="11.25" customHeight="1" thickBot="1" x14ac:dyDescent="0.25">
      <c r="A59" s="63" t="s">
        <v>100</v>
      </c>
      <c r="B59" s="64" t="s">
        <v>97</v>
      </c>
      <c r="C59" s="65">
        <f t="shared" si="14"/>
        <v>2</v>
      </c>
      <c r="D59" s="136"/>
      <c r="E59" s="66" t="str">
        <f t="shared" si="16"/>
        <v>USDFedFunds</v>
      </c>
      <c r="F59" s="68" t="str">
        <f t="shared" si="17"/>
        <v>USDOIS40Y_Quote</v>
      </c>
      <c r="G59" s="136"/>
      <c r="H59" s="69" t="str">
        <f>_xll.qlOISRateHelper(,C59,B59,F59,$E59,,Permanent,Trigger,ObjectOverwrite)</f>
        <v>obj_00303#0310</v>
      </c>
      <c r="J59" s="11" t="str">
        <f t="shared" si="28"/>
        <v>OIS</v>
      </c>
      <c r="K59" s="105" t="str">
        <f t="shared" si="29"/>
        <v>obj_0030a#0306</v>
      </c>
      <c r="L59" s="108" t="str">
        <f>IFERROR(_xll.qlRateHelperQuoteName(K59,Trigger),"--")</f>
        <v>USDOIS50Y_Quote</v>
      </c>
      <c r="M59" s="109">
        <f>IFERROR(_xll.qlRateHelperQuoteValue($K59,Trigger),"--")</f>
        <v>1.7940000000000001E-2</v>
      </c>
      <c r="N59" s="108" t="b">
        <v>1</v>
      </c>
      <c r="O59" s="105">
        <v>50</v>
      </c>
      <c r="P59" s="105">
        <v>1</v>
      </c>
      <c r="Q59" s="110">
        <f>IFERROR(_xll.qlRateHelperEarliestDate(K59,Trigger),"--")</f>
        <v>42450</v>
      </c>
      <c r="R59" s="110">
        <f>IFERROR(_xll.qlRateHelperPillarDate(K59,Trigger),"--")</f>
        <v>60713</v>
      </c>
      <c r="T59" s="4" t="str">
        <f t="shared" si="19"/>
        <v/>
      </c>
      <c r="U59" s="4" t="e">
        <v>#N/A</v>
      </c>
      <c r="V59" s="4" t="str">
        <f>IFERROR(_xll.qlRateHelperQuoteName(U59,Trigger),"")</f>
        <v/>
      </c>
      <c r="W59" s="75" t="str">
        <f>IFERROR(_xll.qlRateHelperRate(U59,Trigger),"")</f>
        <v/>
      </c>
      <c r="X59" s="115" t="str">
        <f>IF(ISERROR(_xll.qlSwapRateHelperSpread($U59)),IF(ISERROR(_xll.qlFuturesRateHelperConvexityAdjustment($U59)),"",_xll.qlFuturesRateHelperConvexityAdjustment($U59)),_xll.qlSwapRateHelperSpread($U59))</f>
        <v/>
      </c>
      <c r="Y59" s="5" t="str">
        <f>IFERROR(_xll.qlRateHelperEarliestDate(U59,Trigger),"")</f>
        <v/>
      </c>
      <c r="Z59" s="5" t="str">
        <f>IFERROR(_xll.qlRateHelperPillarDate(U59,Trigger),"")</f>
        <v/>
      </c>
      <c r="AA59" s="5" t="e">
        <v>#N/A</v>
      </c>
      <c r="AG59" s="198">
        <v>47563</v>
      </c>
      <c r="AH59" s="261">
        <v>6.2185864521657197E-3</v>
      </c>
      <c r="AI59" s="261">
        <v>1</v>
      </c>
      <c r="AJ59" s="198">
        <v>47473</v>
      </c>
      <c r="AK59" s="198">
        <v>47563</v>
      </c>
      <c r="AL59" s="200">
        <v>90</v>
      </c>
      <c r="AM59" s="201" t="str">
        <v>FedFundsON Actual/360</v>
      </c>
      <c r="AN59" s="200">
        <v>0</v>
      </c>
      <c r="AO59" s="198">
        <v>47562</v>
      </c>
      <c r="AP59" s="200" t="str">
        <v>Actual/360</v>
      </c>
      <c r="AQ59" s="202">
        <v>0.25</v>
      </c>
      <c r="AR59" s="203">
        <v>2.4874345808662879E-2</v>
      </c>
      <c r="AS59" s="245">
        <f>_xll.qlDayCounterYearFraction("actual/365 (fixed)",Evaluationdate,AJ59,,,Trigger)</f>
        <v>13.772602739726027</v>
      </c>
      <c r="AT59" s="246">
        <f>_xll.qlDayCounterYearFraction("actual/365 (fixed)",Evaluationdate,AK59,,,Trigger)</f>
        <v>14.019178082191781</v>
      </c>
      <c r="AU59" s="246">
        <f>_xll.qlDayCounterYearFraction(AP59,AJ59,AK59,,,Trigger)</f>
        <v>0.25</v>
      </c>
      <c r="AV59" s="247">
        <f>_xll.qlYieldTSDiscount("USDON",AJ59,,Trigger)</f>
        <v>0.80479521267109067</v>
      </c>
      <c r="AW59" s="247">
        <f>_xll.qlYieldTSDiscount("USDON",AK59,,Trigger)</f>
        <v>0.80061486202927723</v>
      </c>
      <c r="AX59" s="203">
        <f t="shared" si="20"/>
        <v>1.6747554301032473E-6</v>
      </c>
      <c r="AY59" s="203">
        <f t="shared" si="21"/>
        <v>-1.049203501857221E-4</v>
      </c>
      <c r="AZ59" s="201" t="b">
        <f t="shared" si="22"/>
        <v>1</v>
      </c>
      <c r="BA59" s="195">
        <f t="shared" si="23"/>
        <v>2.4515700928497287E-2</v>
      </c>
      <c r="BB59" s="248">
        <f t="shared" si="24"/>
        <v>0</v>
      </c>
      <c r="BC59" s="248">
        <f t="shared" si="25"/>
        <v>0</v>
      </c>
      <c r="BD59" s="193"/>
      <c r="BE59" s="193"/>
      <c r="BF59" s="193"/>
      <c r="BG59" s="193"/>
      <c r="BH59" s="193" t="str">
        <f>BH58&amp;"y"</f>
        <v>30y</v>
      </c>
      <c r="BI59" s="193" t="s">
        <v>210</v>
      </c>
      <c r="BJ59" s="193" t="s">
        <v>211</v>
      </c>
      <c r="BK59" s="193"/>
      <c r="BL59" s="50" t="s">
        <v>18</v>
      </c>
      <c r="BM59" s="255"/>
    </row>
    <row r="60" spans="1:70" ht="11.25" customHeight="1" x14ac:dyDescent="0.2">
      <c r="A60" s="63" t="s">
        <v>100</v>
      </c>
      <c r="B60" s="64" t="s">
        <v>98</v>
      </c>
      <c r="C60" s="65">
        <f t="shared" si="14"/>
        <v>2</v>
      </c>
      <c r="D60" s="136"/>
      <c r="E60" s="66" t="str">
        <f t="shared" si="16"/>
        <v>USDFedFunds</v>
      </c>
      <c r="F60" s="68" t="str">
        <f t="shared" si="17"/>
        <v>USDOIS45Y_Quote</v>
      </c>
      <c r="G60" s="136"/>
      <c r="H60" s="69"/>
      <c r="J60" s="73" t="str">
        <f>A64</f>
        <v>BasOIS</v>
      </c>
      <c r="K60" s="144" t="str">
        <f>IF(ISBLANK(H64),"--",H64)</f>
        <v>--</v>
      </c>
      <c r="L60" s="145" t="str">
        <f>IFERROR(_xll.qlRateHelperQuoteName(K60,Trigger),"--")</f>
        <v>--</v>
      </c>
      <c r="M60" s="146" t="str">
        <f>IFERROR(_xll.qlRateHelperQuoteValue($K60,Trigger),"--")</f>
        <v>--</v>
      </c>
      <c r="N60" s="145" t="b">
        <v>0</v>
      </c>
      <c r="O60" s="144">
        <v>60</v>
      </c>
      <c r="P60" s="144">
        <v>1</v>
      </c>
      <c r="Q60" s="147" t="str">
        <f>IFERROR(_xll.qlRateHelperEarliestDate(K60,Trigger),"--")</f>
        <v>--</v>
      </c>
      <c r="R60" s="147" t="str">
        <f>IFERROR(_xll.qlRateHelperPillarDate(K60,Trigger),"--")</f>
        <v>--</v>
      </c>
      <c r="T60" s="4" t="str">
        <f t="shared" si="19"/>
        <v/>
      </c>
      <c r="U60" s="4" t="e">
        <v>#N/A</v>
      </c>
      <c r="V60" s="4" t="str">
        <f>IFERROR(_xll.qlRateHelperQuoteName(U60,Trigger),"")</f>
        <v/>
      </c>
      <c r="W60" s="75" t="str">
        <f>IFERROR(_xll.qlRateHelperRate(U60,Trigger),"")</f>
        <v/>
      </c>
      <c r="X60" s="115" t="str">
        <f>IF(ISERROR(_xll.qlSwapRateHelperSpread($U60)),IF(ISERROR(_xll.qlFuturesRateHelperConvexityAdjustment($U60)),"",_xll.qlFuturesRateHelperConvexityAdjustment($U60)),_xll.qlSwapRateHelperSpread($U60))</f>
        <v/>
      </c>
      <c r="Y60" s="5" t="str">
        <f>IFERROR(_xll.qlRateHelperEarliestDate(U60,Trigger),"")</f>
        <v/>
      </c>
      <c r="Z60" s="5" t="str">
        <f>IFERROR(_xll.qlRateHelperPillarDate(U60,Trigger),"")</f>
        <v/>
      </c>
      <c r="AA60" s="5" t="e">
        <v>#N/A</v>
      </c>
      <c r="AG60" s="198">
        <v>47655</v>
      </c>
      <c r="AH60" s="261">
        <v>6.3426674652830757E-3</v>
      </c>
      <c r="AI60" s="261">
        <v>1</v>
      </c>
      <c r="AJ60" s="198">
        <v>47563</v>
      </c>
      <c r="AK60" s="198">
        <v>47655</v>
      </c>
      <c r="AL60" s="200">
        <v>92</v>
      </c>
      <c r="AM60" s="201" t="str">
        <v>FedFundsON Actual/360</v>
      </c>
      <c r="AN60" s="200">
        <v>0</v>
      </c>
      <c r="AO60" s="198">
        <v>47654</v>
      </c>
      <c r="AP60" s="200" t="str">
        <v>Actual/360</v>
      </c>
      <c r="AQ60" s="202">
        <v>0.25555555555555554</v>
      </c>
      <c r="AR60" s="203">
        <v>2.4819133559803343E-2</v>
      </c>
      <c r="AS60" s="245">
        <f>_xll.qlDayCounterYearFraction("actual/365 (fixed)",Evaluationdate,AJ60,,,Trigger)</f>
        <v>14.019178082191781</v>
      </c>
      <c r="AT60" s="246">
        <f>_xll.qlDayCounterYearFraction("actual/365 (fixed)",Evaluationdate,AK60,,,Trigger)</f>
        <v>14.271232876712329</v>
      </c>
      <c r="AU60" s="246">
        <f>_xll.qlDayCounterYearFraction(AP60,AJ60,AK60,,,Trigger)</f>
        <v>0.25555555555555554</v>
      </c>
      <c r="AV60" s="247">
        <f>_xll.qlYieldTSDiscount("USDON",AJ60,,Trigger)</f>
        <v>0.80061486202927723</v>
      </c>
      <c r="AW60" s="247">
        <f>_xll.qlYieldTSDiscount("USDON",AK60,,Trigger)</f>
        <v>0.79636029707927236</v>
      </c>
      <c r="AX60" s="203">
        <f t="shared" si="20"/>
        <v>1.7813475963047433E-6</v>
      </c>
      <c r="AY60" s="203">
        <f t="shared" si="21"/>
        <v>-8.8490104133143177E-5</v>
      </c>
      <c r="AZ60" s="201" t="b">
        <f t="shared" si="22"/>
        <v>1</v>
      </c>
      <c r="BA60" s="195">
        <f t="shared" si="23"/>
        <v>2.4535484228072182E-2</v>
      </c>
      <c r="BB60" s="248">
        <f t="shared" si="24"/>
        <v>0</v>
      </c>
      <c r="BC60" s="248">
        <f t="shared" si="25"/>
        <v>0</v>
      </c>
      <c r="BD60" s="193"/>
      <c r="BE60" s="193"/>
      <c r="BF60" s="193"/>
      <c r="BG60" s="193"/>
      <c r="BH60" s="193" t="s">
        <v>198</v>
      </c>
      <c r="BI60" s="195">
        <f>SUM(_xll.ohFilter(AX4:AX97,$AZ$4:$AZ$97))</f>
        <v>1.3703714984475274E-4</v>
      </c>
      <c r="BJ60" s="195">
        <f>SUM(_xll.ohFilter(AY4:AY97,$AZ$4:$AZ$97))</f>
        <v>-3.4666319259635259E-3</v>
      </c>
      <c r="BK60" s="193"/>
      <c r="BL60" s="50" t="s">
        <v>214</v>
      </c>
      <c r="BM60" s="50">
        <v>-9.9999999999999995E-7</v>
      </c>
      <c r="BN60" s="50">
        <f>1/BM60</f>
        <v>-1000000</v>
      </c>
    </row>
    <row r="61" spans="1:70" ht="11.25" customHeight="1" x14ac:dyDescent="0.2">
      <c r="A61" s="1" t="s">
        <v>100</v>
      </c>
      <c r="B61" s="9" t="s">
        <v>99</v>
      </c>
      <c r="C61" s="7">
        <f t="shared" si="14"/>
        <v>2</v>
      </c>
      <c r="D61" s="137"/>
      <c r="E61" s="8" t="str">
        <f t="shared" si="16"/>
        <v>USDFedFunds</v>
      </c>
      <c r="F61" s="2" t="str">
        <f t="shared" si="17"/>
        <v>USDOIS50Y_Quote</v>
      </c>
      <c r="G61" s="137"/>
      <c r="H61" s="3" t="str">
        <f>_xll.qlOISRateHelper(,C61,B61,F61,$E61,,Permanent,Trigger,ObjectOverwrite)</f>
        <v>obj_0030a#0306</v>
      </c>
      <c r="J61" s="11" t="str">
        <f t="shared" ref="J61:J113" si="30">A65</f>
        <v>BasOIS</v>
      </c>
      <c r="K61" s="105" t="str">
        <f t="shared" ref="K61:K113" si="31">IF(ISBLANK(H65),"--",H65)</f>
        <v>--</v>
      </c>
      <c r="L61" s="108" t="str">
        <f>IFERROR(_xll.qlRateHelperQuoteName(K61,Trigger),"--")</f>
        <v>--</v>
      </c>
      <c r="M61" s="109" t="str">
        <f>IFERROR(_xll.qlRateHelperQuoteValue($K61,Trigger),"--")</f>
        <v>--</v>
      </c>
      <c r="N61" s="108" t="b">
        <v>0</v>
      </c>
      <c r="O61" s="105">
        <v>60</v>
      </c>
      <c r="P61" s="105">
        <v>1</v>
      </c>
      <c r="Q61" s="110" t="str">
        <f>IFERROR(_xll.qlRateHelperEarliestDate(K61,Trigger),"--")</f>
        <v>--</v>
      </c>
      <c r="R61" s="110" t="str">
        <f>IFERROR(_xll.qlRateHelperPillarDate(K61,Trigger),"--")</f>
        <v>--</v>
      </c>
      <c r="T61" s="4" t="str">
        <f t="shared" si="19"/>
        <v/>
      </c>
      <c r="U61" s="4" t="e">
        <v>#N/A</v>
      </c>
      <c r="V61" s="4" t="str">
        <f>IFERROR(_xll.qlRateHelperQuoteName(U61,Trigger),"")</f>
        <v/>
      </c>
      <c r="W61" s="75" t="str">
        <f>IFERROR(_xll.qlRateHelperRate(U61,Trigger),"")</f>
        <v/>
      </c>
      <c r="X61" s="115" t="str">
        <f>IF(ISERROR(_xll.qlSwapRateHelperSpread($U61)),IF(ISERROR(_xll.qlFuturesRateHelperConvexityAdjustment($U61)),"",_xll.qlFuturesRateHelperConvexityAdjustment($U61)),_xll.qlSwapRateHelperSpread($U61))</f>
        <v/>
      </c>
      <c r="Y61" s="5" t="str">
        <f>IFERROR(_xll.qlRateHelperEarliestDate(U61,Trigger),"")</f>
        <v/>
      </c>
      <c r="Z61" s="5" t="str">
        <f>IFERROR(_xll.qlRateHelperPillarDate(U61,Trigger),"")</f>
        <v/>
      </c>
      <c r="AA61" s="5" t="e">
        <v>#N/A</v>
      </c>
      <c r="AG61" s="198">
        <v>47749</v>
      </c>
      <c r="AH61" s="261">
        <v>6.3489610959409368E-3</v>
      </c>
      <c r="AI61" s="261">
        <v>1</v>
      </c>
      <c r="AJ61" s="198">
        <v>47655</v>
      </c>
      <c r="AK61" s="198">
        <v>47749</v>
      </c>
      <c r="AL61" s="200">
        <v>94</v>
      </c>
      <c r="AM61" s="201" t="str">
        <v>FedFundsON Actual/360</v>
      </c>
      <c r="AN61" s="200">
        <v>0</v>
      </c>
      <c r="AO61" s="198">
        <v>47746</v>
      </c>
      <c r="AP61" s="200" t="str">
        <v>Actual/360</v>
      </c>
      <c r="AQ61" s="202">
        <v>0.26111111111111113</v>
      </c>
      <c r="AR61" s="203">
        <v>2.4315170154667415E-2</v>
      </c>
      <c r="AS61" s="245">
        <f>_xll.qlDayCounterYearFraction("actual/365 (fixed)",Evaluationdate,AJ61,,,Trigger)</f>
        <v>14.271232876712329</v>
      </c>
      <c r="AT61" s="246">
        <f>_xll.qlDayCounterYearFraction("actual/365 (fixed)",Evaluationdate,AK61,,,Trigger)</f>
        <v>14.528767123287672</v>
      </c>
      <c r="AU61" s="246">
        <f>_xll.qlDayCounterYearFraction(AP61,AJ61,AK61,,,Trigger)</f>
        <v>0.26111111111111113</v>
      </c>
      <c r="AV61" s="247">
        <f>_xll.qlYieldTSDiscount("USDON",AJ61,,Trigger)</f>
        <v>0.79636029707927236</v>
      </c>
      <c r="AW61" s="247">
        <f>_xll.qlYieldTSDiscount("USDON",AK61,,Trigger)</f>
        <v>0.79203110074247063</v>
      </c>
      <c r="AX61" s="203">
        <f t="shared" si="20"/>
        <v>1.8930748094768039E-6</v>
      </c>
      <c r="AY61" s="203">
        <f t="shared" si="21"/>
        <v>4.8037462896388661E-5</v>
      </c>
      <c r="AZ61" s="201" t="b">
        <f t="shared" si="22"/>
        <v>1</v>
      </c>
      <c r="BA61" s="195">
        <f t="shared" si="23"/>
        <v>2.4563396237603438E-2</v>
      </c>
      <c r="BB61" s="248">
        <f t="shared" si="24"/>
        <v>0</v>
      </c>
      <c r="BC61" s="248">
        <f t="shared" si="25"/>
        <v>0</v>
      </c>
      <c r="BD61" s="193"/>
      <c r="BE61" s="193"/>
      <c r="BF61" s="193"/>
      <c r="BG61" s="193"/>
      <c r="BH61" s="262" t="s">
        <v>199</v>
      </c>
      <c r="BI61" s="249">
        <f>BI60*10000</f>
        <v>1.3703714984475275</v>
      </c>
      <c r="BJ61" s="249">
        <f>BJ60*10000</f>
        <v>-34.666319259635259</v>
      </c>
      <c r="BK61" s="193"/>
      <c r="BL61" s="50" t="s">
        <v>215</v>
      </c>
      <c r="BM61" s="254">
        <v>2E-3</v>
      </c>
    </row>
    <row r="62" spans="1:70" ht="11.25" customHeight="1" x14ac:dyDescent="0.2">
      <c r="D62" s="54" t="s">
        <v>188</v>
      </c>
      <c r="E62" s="56" t="s">
        <v>165</v>
      </c>
      <c r="F62" s="50" t="s">
        <v>150</v>
      </c>
      <c r="G62" s="217">
        <f>BM60</f>
        <v>-9.9999999999999995E-7</v>
      </c>
      <c r="H62" s="205">
        <f>BM61</f>
        <v>2E-3</v>
      </c>
      <c r="J62" s="11" t="str">
        <f t="shared" si="30"/>
        <v>BasOIS</v>
      </c>
      <c r="K62" s="105" t="str">
        <f t="shared" si="31"/>
        <v>--</v>
      </c>
      <c r="L62" s="108" t="str">
        <f>IFERROR(_xll.qlRateHelperQuoteName(K62,Trigger),"--")</f>
        <v>--</v>
      </c>
      <c r="M62" s="109" t="str">
        <f>IFERROR(_xll.qlRateHelperQuoteValue($K62,Trigger),"--")</f>
        <v>--</v>
      </c>
      <c r="N62" s="108" t="b">
        <v>0</v>
      </c>
      <c r="O62" s="105">
        <v>60</v>
      </c>
      <c r="P62" s="105">
        <v>1</v>
      </c>
      <c r="Q62" s="110" t="str">
        <f>IFERROR(_xll.qlRateHelperEarliestDate(K62,Trigger),"--")</f>
        <v>--</v>
      </c>
      <c r="R62" s="110" t="str">
        <f>IFERROR(_xll.qlRateHelperPillarDate(K62,Trigger),"--")</f>
        <v>--</v>
      </c>
      <c r="T62" s="4" t="str">
        <f t="shared" si="19"/>
        <v/>
      </c>
      <c r="U62" s="4" t="e">
        <v>#N/A</v>
      </c>
      <c r="V62" s="4" t="str">
        <f>IFERROR(_xll.qlRateHelperQuoteName(U62,Trigger),"")</f>
        <v/>
      </c>
      <c r="W62" s="75" t="str">
        <f>IFERROR(_xll.qlRateHelperRate(U62,Trigger),"")</f>
        <v/>
      </c>
      <c r="X62" s="115" t="str">
        <f>IF(ISERROR(_xll.qlSwapRateHelperSpread($U62)),IF(ISERROR(_xll.qlFuturesRateHelperConvexityAdjustment($U62)),"",_xll.qlFuturesRateHelperConvexityAdjustment($U62)),_xll.qlSwapRateHelperSpread($U62))</f>
        <v/>
      </c>
      <c r="Y62" s="5" t="str">
        <f>IFERROR(_xll.qlRateHelperEarliestDate(U62,Trigger),"")</f>
        <v/>
      </c>
      <c r="Z62" s="5" t="str">
        <f>IFERROR(_xll.qlRateHelperPillarDate(U62,Trigger),"")</f>
        <v/>
      </c>
      <c r="AA62" s="5" t="e">
        <v>#N/A</v>
      </c>
      <c r="AG62" s="198">
        <v>47840</v>
      </c>
      <c r="AH62" s="261">
        <v>6.2021751602811884E-3</v>
      </c>
      <c r="AI62" s="261">
        <v>1</v>
      </c>
      <c r="AJ62" s="198">
        <v>47749</v>
      </c>
      <c r="AK62" s="198">
        <v>47840</v>
      </c>
      <c r="AL62" s="200">
        <v>91</v>
      </c>
      <c r="AM62" s="201" t="str">
        <v>FedFundsON Actual/360</v>
      </c>
      <c r="AN62" s="200">
        <v>0</v>
      </c>
      <c r="AO62" s="198">
        <v>47837</v>
      </c>
      <c r="AP62" s="200" t="str">
        <v>Actual/360</v>
      </c>
      <c r="AQ62" s="202">
        <v>0.25277777777777777</v>
      </c>
      <c r="AR62" s="203">
        <v>2.4536077557156352E-2</v>
      </c>
      <c r="AS62" s="245">
        <f>_xll.qlDayCounterYearFraction("actual/365 (fixed)",Evaluationdate,AJ62,,,Trigger)</f>
        <v>14.528767123287672</v>
      </c>
      <c r="AT62" s="246">
        <f>_xll.qlDayCounterYearFraction("actual/365 (fixed)",Evaluationdate,AK62,,,Trigger)</f>
        <v>14.778082191780822</v>
      </c>
      <c r="AU62" s="246">
        <f>_xll.qlDayCounterYearFraction(AP62,AJ62,AK62,,,Trigger)</f>
        <v>0.25277777777777777</v>
      </c>
      <c r="AV62" s="247">
        <f>_xll.qlYieldTSDiscount("USDON",AJ62,,Trigger)</f>
        <v>0.79203110074247063</v>
      </c>
      <c r="AW62" s="247">
        <f>_xll.qlYieldTSDiscount("USDON",AK62,,Trigger)</f>
        <v>0.78785570568483121</v>
      </c>
      <c r="AX62" s="203">
        <f t="shared" si="20"/>
        <v>1.8061850051743214E-6</v>
      </c>
      <c r="AY62" s="203">
        <f t="shared" si="21"/>
        <v>-6.968314814059795E-7</v>
      </c>
      <c r="AZ62" s="201" t="b">
        <f t="shared" si="22"/>
        <v>1</v>
      </c>
      <c r="BA62" s="195">
        <f t="shared" si="23"/>
        <v>2.4595826943542107E-2</v>
      </c>
      <c r="BB62" s="248">
        <f t="shared" si="24"/>
        <v>0</v>
      </c>
      <c r="BC62" s="248">
        <f t="shared" si="25"/>
        <v>0</v>
      </c>
      <c r="BD62" s="193"/>
      <c r="BE62" s="193"/>
      <c r="BF62" s="193"/>
      <c r="BG62" s="193"/>
      <c r="BH62" s="193"/>
      <c r="BI62" s="193"/>
      <c r="BJ62" s="193"/>
      <c r="BK62" s="193"/>
      <c r="BL62" s="193"/>
    </row>
    <row r="63" spans="1:70" ht="11.25" customHeight="1" x14ac:dyDescent="0.2">
      <c r="A63" s="70" t="s">
        <v>9</v>
      </c>
      <c r="B63" s="70" t="s">
        <v>30</v>
      </c>
      <c r="C63" s="70" t="s">
        <v>111</v>
      </c>
      <c r="D63" s="70" t="s">
        <v>5</v>
      </c>
      <c r="E63" s="70" t="s">
        <v>4</v>
      </c>
      <c r="F63" s="70" t="s">
        <v>1</v>
      </c>
      <c r="G63" s="70" t="s">
        <v>148</v>
      </c>
      <c r="H63" s="70" t="s">
        <v>25</v>
      </c>
      <c r="J63" s="11" t="str">
        <f t="shared" si="30"/>
        <v>BasOIS</v>
      </c>
      <c r="K63" s="105" t="str">
        <f t="shared" si="31"/>
        <v>--</v>
      </c>
      <c r="L63" s="108" t="str">
        <f>IFERROR(_xll.qlRateHelperQuoteName(K63,Trigger),"--")</f>
        <v>--</v>
      </c>
      <c r="M63" s="109" t="str">
        <f>IFERROR(_xll.qlRateHelperQuoteValue($K63,Trigger),"--")</f>
        <v>--</v>
      </c>
      <c r="N63" s="108" t="b">
        <v>0</v>
      </c>
      <c r="O63" s="105">
        <v>60</v>
      </c>
      <c r="P63" s="105">
        <v>1</v>
      </c>
      <c r="Q63" s="110" t="str">
        <f>IFERROR(_xll.qlRateHelperEarliestDate(K63,Trigger),"--")</f>
        <v>--</v>
      </c>
      <c r="R63" s="110" t="str">
        <f>IFERROR(_xll.qlRateHelperPillarDate(K63,Trigger),"--")</f>
        <v>--</v>
      </c>
      <c r="T63" s="4" t="str">
        <f t="shared" si="19"/>
        <v/>
      </c>
      <c r="U63" s="4" t="e">
        <v>#N/A</v>
      </c>
      <c r="V63" s="4" t="str">
        <f>IFERROR(_xll.qlRateHelperQuoteName(U63,Trigger),"")</f>
        <v/>
      </c>
      <c r="W63" s="75" t="str">
        <f>IFERROR(_xll.qlRateHelperRate(U63,Trigger),"")</f>
        <v/>
      </c>
      <c r="X63" s="115" t="str">
        <f>IF(ISERROR(_xll.qlSwapRateHelperSpread($U63)),IF(ISERROR(_xll.qlFuturesRateHelperConvexityAdjustment($U63)),"",_xll.qlFuturesRateHelperConvexityAdjustment($U63)),_xll.qlSwapRateHelperSpread($U63))</f>
        <v/>
      </c>
      <c r="Y63" s="5" t="str">
        <f>IFERROR(_xll.qlRateHelperEarliestDate(U63,Trigger),"")</f>
        <v/>
      </c>
      <c r="Z63" s="5" t="str">
        <f>IFERROR(_xll.qlRateHelperPillarDate(U63,Trigger),"")</f>
        <v/>
      </c>
      <c r="AA63" s="5" t="e">
        <v>#N/A</v>
      </c>
      <c r="AG63" s="198">
        <v>47928</v>
      </c>
      <c r="AH63" s="261">
        <v>6.00815971863034E-3</v>
      </c>
      <c r="AI63" s="261">
        <v>1</v>
      </c>
      <c r="AJ63" s="198">
        <v>47840</v>
      </c>
      <c r="AK63" s="198">
        <v>47928</v>
      </c>
      <c r="AL63" s="200">
        <v>88</v>
      </c>
      <c r="AM63" s="201" t="str">
        <v>FedFundsON Actual/360</v>
      </c>
      <c r="AN63" s="200">
        <v>0</v>
      </c>
      <c r="AO63" s="198">
        <v>47927</v>
      </c>
      <c r="AP63" s="200" t="str">
        <v>Actual/360</v>
      </c>
      <c r="AQ63" s="202">
        <v>0.24444444444444444</v>
      </c>
      <c r="AR63" s="203">
        <v>2.4578835212578663E-2</v>
      </c>
      <c r="AS63" s="245">
        <f>_xll.qlDayCounterYearFraction("actual/365 (fixed)",Evaluationdate,AJ63,,,Trigger)</f>
        <v>14.778082191780822</v>
      </c>
      <c r="AT63" s="246">
        <f>_xll.qlDayCounterYearFraction("actual/365 (fixed)",Evaluationdate,AK63,,,Trigger)</f>
        <v>15.019178082191781</v>
      </c>
      <c r="AU63" s="246">
        <f>_xll.qlDayCounterYearFraction(AP63,AJ63,AK63,,,Trigger)</f>
        <v>0.24444444444444444</v>
      </c>
      <c r="AV63" s="247">
        <f>_xll.qlYieldTSDiscount("USDON",AJ63,,Trigger)</f>
        <v>0.78785570568483121</v>
      </c>
      <c r="AW63" s="247">
        <f>_xll.qlYieldTSDiscount("USDON",AK63,,Trigger)</f>
        <v>0.78383118097019144</v>
      </c>
      <c r="AX63" s="203">
        <f t="shared" si="20"/>
        <v>1.7180437200871958E-6</v>
      </c>
      <c r="AY63" s="203">
        <f t="shared" si="21"/>
        <v>-1.2527201498357954E-6</v>
      </c>
      <c r="AZ63" s="201" t="b">
        <f t="shared" si="22"/>
        <v>1</v>
      </c>
      <c r="BA63" s="195">
        <f t="shared" si="23"/>
        <v>2.4634477930221582E-2</v>
      </c>
      <c r="BB63" s="248">
        <f t="shared" si="24"/>
        <v>0</v>
      </c>
      <c r="BC63" s="248">
        <f t="shared" si="25"/>
        <v>0</v>
      </c>
      <c r="BD63" s="193"/>
      <c r="BE63" s="193"/>
      <c r="BF63" s="193"/>
      <c r="BG63" s="193"/>
      <c r="BH63" s="193" t="s">
        <v>219</v>
      </c>
      <c r="BI63" s="193">
        <f>COUNT(BC4:BC142)</f>
        <v>120</v>
      </c>
      <c r="BJ63" s="193"/>
      <c r="BK63" s="193"/>
      <c r="BL63" s="193"/>
    </row>
    <row r="64" spans="1:70" ht="11.25" customHeight="1" x14ac:dyDescent="0.2">
      <c r="A64" s="57" t="s">
        <v>164</v>
      </c>
      <c r="B64" s="58" t="s">
        <v>50</v>
      </c>
      <c r="C64" s="59">
        <v>2</v>
      </c>
      <c r="D64" s="65" t="s">
        <v>166</v>
      </c>
      <c r="E64" s="66" t="s">
        <v>163</v>
      </c>
      <c r="F64" s="61" t="str">
        <f t="shared" ref="F64:F95" si="32">Currency&amp;"AM"&amp;$F$62&amp;B64&amp;QuoteSuffix</f>
        <v>USDAM3L1W_Quote</v>
      </c>
      <c r="G64" s="61" t="str">
        <f t="shared" ref="G64:G95" si="33">Currency&amp;$E$62&amp;$F$62&amp;B64&amp;QuoteSuffix</f>
        <v>USDFF3L1W_Quote</v>
      </c>
      <c r="H64" s="62"/>
      <c r="J64" s="11" t="str">
        <f t="shared" si="30"/>
        <v>BasOIS</v>
      </c>
      <c r="K64" s="105" t="str">
        <f t="shared" si="31"/>
        <v>--</v>
      </c>
      <c r="L64" s="108" t="str">
        <f>IFERROR(_xll.qlRateHelperQuoteName(K64,Trigger),"--")</f>
        <v>--</v>
      </c>
      <c r="M64" s="109" t="str">
        <f>IFERROR(_xll.qlRateHelperQuoteValue($K64,Trigger),"--")</f>
        <v>--</v>
      </c>
      <c r="N64" s="108" t="b">
        <v>0</v>
      </c>
      <c r="O64" s="105">
        <v>60</v>
      </c>
      <c r="P64" s="105">
        <v>1</v>
      </c>
      <c r="Q64" s="110" t="str">
        <f>IFERROR(_xll.qlRateHelperEarliestDate(K64,Trigger),"--")</f>
        <v>--</v>
      </c>
      <c r="R64" s="110" t="str">
        <f>IFERROR(_xll.qlRateHelperPillarDate(K64,Trigger),"--")</f>
        <v>--</v>
      </c>
      <c r="T64" s="4" t="str">
        <f t="shared" si="19"/>
        <v/>
      </c>
      <c r="U64" s="4" t="e">
        <v>#N/A</v>
      </c>
      <c r="V64" s="4" t="str">
        <f>IFERROR(_xll.qlRateHelperQuoteName(U64,Trigger),"")</f>
        <v/>
      </c>
      <c r="W64" s="75" t="str">
        <f>IFERROR(_xll.qlRateHelperRate(U64,Trigger),"")</f>
        <v/>
      </c>
      <c r="X64" s="115" t="str">
        <f>IF(ISERROR(_xll.qlSwapRateHelperSpread($U64)),IF(ISERROR(_xll.qlFuturesRateHelperConvexityAdjustment($U64)),"",_xll.qlFuturesRateHelperConvexityAdjustment($U64)),_xll.qlSwapRateHelperSpread($U64))</f>
        <v/>
      </c>
      <c r="Y64" s="5" t="str">
        <f>IFERROR(_xll.qlRateHelperEarliestDate(U64,Trigger),"")</f>
        <v/>
      </c>
      <c r="Z64" s="5" t="str">
        <f>IFERROR(_xll.qlRateHelperPillarDate(U64,Trigger),"")</f>
        <v/>
      </c>
      <c r="AA64" s="5" t="e">
        <v>#N/A</v>
      </c>
      <c r="AG64" s="198">
        <v>48022</v>
      </c>
      <c r="AH64" s="261">
        <v>6.380272259668477E-3</v>
      </c>
      <c r="AI64" s="261">
        <v>1</v>
      </c>
      <c r="AJ64" s="198">
        <v>47928</v>
      </c>
      <c r="AK64" s="198">
        <v>48022</v>
      </c>
      <c r="AL64" s="200">
        <v>94</v>
      </c>
      <c r="AM64" s="201" t="str">
        <v>FedFundsON Actual/360</v>
      </c>
      <c r="AN64" s="200">
        <v>0</v>
      </c>
      <c r="AO64" s="198">
        <v>48019</v>
      </c>
      <c r="AP64" s="200" t="str">
        <v>Actual/360</v>
      </c>
      <c r="AQ64" s="202">
        <v>0.26111111111111113</v>
      </c>
      <c r="AR64" s="203">
        <v>2.4435085249794167E-2</v>
      </c>
      <c r="AS64" s="245">
        <f>_xll.qlDayCounterYearFraction("actual/365 (fixed)",Evaluationdate,AJ64,,,Trigger)</f>
        <v>15.019178082191781</v>
      </c>
      <c r="AT64" s="246">
        <f>_xll.qlDayCounterYearFraction("actual/365 (fixed)",Evaluationdate,AK64,,,Trigger)</f>
        <v>15.276712328767124</v>
      </c>
      <c r="AU64" s="246">
        <f>_xll.qlDayCounterYearFraction(AP64,AJ64,AK64,,,Trigger)</f>
        <v>0.26111111111111113</v>
      </c>
      <c r="AV64" s="247">
        <f>_xll.qlYieldTSDiscount("USDON",AJ64,,Trigger)</f>
        <v>0.78383118097019144</v>
      </c>
      <c r="AW64" s="247">
        <f>_xll.qlYieldTSDiscount("USDON",AK64,,Trigger)</f>
        <v>0.77954560955988805</v>
      </c>
      <c r="AX64" s="203">
        <f t="shared" si="20"/>
        <v>1.9922910093298836E-6</v>
      </c>
      <c r="AY64" s="203">
        <f t="shared" si="21"/>
        <v>4.8037462896388661E-5</v>
      </c>
      <c r="AZ64" s="201" t="b">
        <f t="shared" si="22"/>
        <v>1</v>
      </c>
      <c r="BA64" s="195">
        <f t="shared" si="23"/>
        <v>2.4684350735198209E-2</v>
      </c>
      <c r="BB64" s="248">
        <f t="shared" si="24"/>
        <v>0</v>
      </c>
      <c r="BC64" s="248">
        <f t="shared" si="25"/>
        <v>0</v>
      </c>
      <c r="BD64" s="193"/>
      <c r="BE64" s="193"/>
      <c r="BF64" s="193"/>
      <c r="BG64" s="193"/>
      <c r="BH64" s="263" t="s">
        <v>217</v>
      </c>
      <c r="BI64" s="264">
        <f>BI61/$BI$63</f>
        <v>1.1419762487062729E-2</v>
      </c>
      <c r="BJ64" s="264">
        <f>BJ61/$BI$63</f>
        <v>-0.28888599383029384</v>
      </c>
      <c r="BK64" s="193"/>
      <c r="BL64" s="193"/>
    </row>
    <row r="65" spans="1:64" ht="11.25" customHeight="1" x14ac:dyDescent="0.2">
      <c r="A65" s="63" t="s">
        <v>164</v>
      </c>
      <c r="B65" s="64" t="s">
        <v>51</v>
      </c>
      <c r="C65" s="65">
        <v>2</v>
      </c>
      <c r="D65" s="65" t="s">
        <v>166</v>
      </c>
      <c r="E65" s="66" t="s">
        <v>163</v>
      </c>
      <c r="F65" s="68" t="str">
        <f t="shared" si="32"/>
        <v>USDAM3L2W_Quote</v>
      </c>
      <c r="G65" s="68" t="str">
        <f t="shared" si="33"/>
        <v>USDFF3L2W_Quote</v>
      </c>
      <c r="H65" s="69"/>
      <c r="J65" s="11" t="str">
        <f t="shared" si="30"/>
        <v>BasOIS</v>
      </c>
      <c r="K65" s="105" t="str">
        <f t="shared" si="31"/>
        <v>--</v>
      </c>
      <c r="L65" s="108" t="str">
        <f>IFERROR(_xll.qlRateHelperQuoteName(K65,Trigger),"--")</f>
        <v>--</v>
      </c>
      <c r="M65" s="109" t="str">
        <f>IFERROR(_xll.qlRateHelperQuoteValue($K65,Trigger),"--")</f>
        <v>--</v>
      </c>
      <c r="N65" s="108" t="b">
        <v>0</v>
      </c>
      <c r="O65" s="105">
        <v>60</v>
      </c>
      <c r="P65" s="105">
        <v>1</v>
      </c>
      <c r="Q65" s="110" t="str">
        <f>IFERROR(_xll.qlRateHelperEarliestDate(K65,Trigger),"--")</f>
        <v>--</v>
      </c>
      <c r="R65" s="110" t="str">
        <f>IFERROR(_xll.qlRateHelperPillarDate(K65,Trigger),"--")</f>
        <v>--</v>
      </c>
      <c r="T65" s="4" t="str">
        <f t="shared" si="19"/>
        <v/>
      </c>
      <c r="U65" s="4" t="e">
        <v>#N/A</v>
      </c>
      <c r="V65" s="4" t="str">
        <f>IFERROR(_xll.qlRateHelperQuoteName(U65,Trigger),"")</f>
        <v/>
      </c>
      <c r="W65" s="75" t="str">
        <f>IFERROR(_xll.qlRateHelperRate(U65,Trigger),"")</f>
        <v/>
      </c>
      <c r="X65" s="115" t="str">
        <f>IF(ISERROR(_xll.qlSwapRateHelperSpread($U65)),IF(ISERROR(_xll.qlFuturesRateHelperConvexityAdjustment($U65)),"",_xll.qlFuturesRateHelperConvexityAdjustment($U65)),_xll.qlSwapRateHelperSpread($U65))</f>
        <v/>
      </c>
      <c r="Y65" s="5" t="str">
        <f>IFERROR(_xll.qlRateHelperEarliestDate(U65,Trigger),"")</f>
        <v/>
      </c>
      <c r="Z65" s="5" t="str">
        <f>IFERROR(_xll.qlRateHelperPillarDate(U65,Trigger),"")</f>
        <v/>
      </c>
      <c r="AA65" s="5" t="e">
        <v>#N/A</v>
      </c>
      <c r="AG65" s="198">
        <v>48113</v>
      </c>
      <c r="AH65" s="261">
        <v>6.234634374159255E-3</v>
      </c>
      <c r="AI65" s="261">
        <v>1</v>
      </c>
      <c r="AJ65" s="198">
        <v>48022</v>
      </c>
      <c r="AK65" s="198">
        <v>48113</v>
      </c>
      <c r="AL65" s="200">
        <v>91</v>
      </c>
      <c r="AM65" s="201" t="str">
        <v>FedFundsON Actual/360</v>
      </c>
      <c r="AN65" s="200">
        <v>0</v>
      </c>
      <c r="AO65" s="198">
        <v>48110</v>
      </c>
      <c r="AP65" s="200" t="str">
        <v>Actual/360</v>
      </c>
      <c r="AQ65" s="202">
        <v>0.25277777777777777</v>
      </c>
      <c r="AR65" s="203">
        <v>2.4664487634036614E-2</v>
      </c>
      <c r="AS65" s="245">
        <f>_xll.qlDayCounterYearFraction("actual/365 (fixed)",Evaluationdate,AJ65,,,Trigger)</f>
        <v>15.276712328767124</v>
      </c>
      <c r="AT65" s="246">
        <f>_xll.qlDayCounterYearFraction("actual/365 (fixed)",Evaluationdate,AK65,,,Trigger)</f>
        <v>15.526027397260274</v>
      </c>
      <c r="AU65" s="246">
        <f>_xll.qlDayCounterYearFraction(AP65,AJ65,AK65,,,Trigger)</f>
        <v>0.25277777777777777</v>
      </c>
      <c r="AV65" s="247">
        <f>_xll.qlYieldTSDiscount("USDON",AJ65,,Trigger)</f>
        <v>0.77954560955988805</v>
      </c>
      <c r="AW65" s="247">
        <f>_xll.qlYieldTSDiscount("USDON",AK65,,Trigger)</f>
        <v>0.77541079323413353</v>
      </c>
      <c r="AX65" s="203">
        <f t="shared" si="20"/>
        <v>1.8991693610575922E-6</v>
      </c>
      <c r="AY65" s="203">
        <f t="shared" si="21"/>
        <v>-6.968314814059795E-7</v>
      </c>
      <c r="AZ65" s="201" t="b">
        <f t="shared" si="22"/>
        <v>1</v>
      </c>
      <c r="BA65" s="195">
        <f t="shared" si="23"/>
        <v>2.472528946150962E-2</v>
      </c>
      <c r="BB65" s="248">
        <f t="shared" si="24"/>
        <v>0</v>
      </c>
      <c r="BC65" s="248">
        <f t="shared" si="25"/>
        <v>0</v>
      </c>
      <c r="BD65" s="193"/>
      <c r="BE65" s="193"/>
      <c r="BF65" s="193"/>
      <c r="BG65" s="193"/>
      <c r="BH65" s="193" t="s">
        <v>218</v>
      </c>
      <c r="BI65" s="194">
        <f>MAX(_xll.ohFilter(AX4:AX142,$AZ4:$AZ142))*10000</f>
        <v>3.7208000208612847E-2</v>
      </c>
      <c r="BJ65" s="194">
        <f>MAX(_xll.ohFilter(AY4:AY142,$AZ4:$AZ142))*10000</f>
        <v>0.48037462896388661</v>
      </c>
      <c r="BK65" s="193"/>
      <c r="BL65" s="193"/>
    </row>
    <row r="66" spans="1:64" ht="11.25" customHeight="1" x14ac:dyDescent="0.2">
      <c r="A66" s="63" t="s">
        <v>164</v>
      </c>
      <c r="B66" s="64" t="s">
        <v>52</v>
      </c>
      <c r="C66" s="65">
        <v>2</v>
      </c>
      <c r="D66" s="65" t="s">
        <v>166</v>
      </c>
      <c r="E66" s="66" t="s">
        <v>163</v>
      </c>
      <c r="F66" s="68" t="str">
        <f t="shared" si="32"/>
        <v>USDAM3L3W_Quote</v>
      </c>
      <c r="G66" s="68" t="str">
        <f t="shared" si="33"/>
        <v>USDFF3L3W_Quote</v>
      </c>
      <c r="H66" s="69"/>
      <c r="J66" s="11" t="str">
        <f t="shared" si="30"/>
        <v>BasOIS</v>
      </c>
      <c r="K66" s="105" t="str">
        <f t="shared" si="31"/>
        <v>--</v>
      </c>
      <c r="L66" s="108" t="str">
        <f>IFERROR(_xll.qlRateHelperQuoteName(K66,Trigger),"--")</f>
        <v>--</v>
      </c>
      <c r="M66" s="109" t="str">
        <f>IFERROR(_xll.qlRateHelperQuoteValue($K66,Trigger),"--")</f>
        <v>--</v>
      </c>
      <c r="N66" s="108" t="b">
        <v>0</v>
      </c>
      <c r="O66" s="105">
        <v>60</v>
      </c>
      <c r="P66" s="105">
        <v>1</v>
      </c>
      <c r="Q66" s="110" t="str">
        <f>IFERROR(_xll.qlRateHelperEarliestDate(K66,Trigger),"--")</f>
        <v>--</v>
      </c>
      <c r="R66" s="110" t="str">
        <f>IFERROR(_xll.qlRateHelperPillarDate(K66,Trigger),"--")</f>
        <v>--</v>
      </c>
      <c r="T66" s="4" t="str">
        <f t="shared" si="19"/>
        <v/>
      </c>
      <c r="U66" s="4" t="e">
        <v>#N/A</v>
      </c>
      <c r="V66" s="4" t="str">
        <f>IFERROR(_xll.qlRateHelperQuoteName(U66,Trigger),"")</f>
        <v/>
      </c>
      <c r="W66" s="75" t="str">
        <f>IFERROR(_xll.qlRateHelperRate(U66,Trigger),"")</f>
        <v/>
      </c>
      <c r="X66" s="115" t="str">
        <f>IF(ISERROR(_xll.qlSwapRateHelperSpread($U66)),IF(ISERROR(_xll.qlFuturesRateHelperConvexityAdjustment($U66)),"",_xll.qlFuturesRateHelperConvexityAdjustment($U66)),_xll.qlSwapRateHelperSpread($U66))</f>
        <v/>
      </c>
      <c r="Y66" s="5" t="str">
        <f>IFERROR(_xll.qlRateHelperEarliestDate(U66,Trigger),"")</f>
        <v/>
      </c>
      <c r="Z66" s="5" t="str">
        <f>IFERROR(_xll.qlRateHelperPillarDate(U66,Trigger),"")</f>
        <v/>
      </c>
      <c r="AA66" s="5" t="e">
        <v>#N/A</v>
      </c>
      <c r="AG66" s="198">
        <v>48204</v>
      </c>
      <c r="AH66" s="261">
        <v>6.24359555821367E-3</v>
      </c>
      <c r="AI66" s="261">
        <v>1</v>
      </c>
      <c r="AJ66" s="198">
        <v>48113</v>
      </c>
      <c r="AK66" s="198">
        <v>48204</v>
      </c>
      <c r="AL66" s="200">
        <v>91</v>
      </c>
      <c r="AM66" s="201" t="str">
        <v>FedFundsON Actual/360</v>
      </c>
      <c r="AN66" s="200">
        <v>0</v>
      </c>
      <c r="AO66" s="198">
        <v>48201</v>
      </c>
      <c r="AP66" s="200" t="str">
        <v>Actual/360</v>
      </c>
      <c r="AQ66" s="202">
        <v>0.25277777777777777</v>
      </c>
      <c r="AR66" s="203">
        <v>2.4699938472054081E-2</v>
      </c>
      <c r="AS66" s="245">
        <f>_xll.qlDayCounterYearFraction("actual/365 (fixed)",Evaluationdate,AJ66,,,Trigger)</f>
        <v>15.526027397260274</v>
      </c>
      <c r="AT66" s="246">
        <f>_xll.qlDayCounterYearFraction("actual/365 (fixed)",Evaluationdate,AK66,,,Trigger)</f>
        <v>15.775342465753425</v>
      </c>
      <c r="AU66" s="246">
        <f>_xll.qlDayCounterYearFraction(AP66,AJ66,AK66,,,Trigger)</f>
        <v>0.25277777777777777</v>
      </c>
      <c r="AV66" s="247">
        <f>_xll.qlYieldTSDiscount("USDON",AJ66,,Trigger)</f>
        <v>0.77541079323413353</v>
      </c>
      <c r="AW66" s="247">
        <f>_xll.qlYieldTSDiscount("USDON",AK66,,Trigger)</f>
        <v>0.77129097018084913</v>
      </c>
      <c r="AX66" s="203">
        <f t="shared" si="20"/>
        <v>1.9301641772497635E-6</v>
      </c>
      <c r="AY66" s="203">
        <f t="shared" si="21"/>
        <v>-6.93278767727179E-7</v>
      </c>
      <c r="AZ66" s="201" t="b">
        <f t="shared" si="22"/>
        <v>1</v>
      </c>
      <c r="BA66" s="195">
        <f t="shared" si="23"/>
        <v>2.4761066899557392E-2</v>
      </c>
      <c r="BB66" s="248">
        <f t="shared" si="24"/>
        <v>0</v>
      </c>
      <c r="BC66" s="248">
        <f t="shared" si="25"/>
        <v>0</v>
      </c>
      <c r="BD66" s="193"/>
      <c r="BE66" s="193"/>
      <c r="BF66" s="193"/>
      <c r="BG66" s="193"/>
      <c r="BH66" s="193"/>
      <c r="BI66" s="193"/>
      <c r="BJ66" s="193"/>
      <c r="BK66" s="193"/>
      <c r="BL66" s="193"/>
    </row>
    <row r="67" spans="1:64" ht="11.25" customHeight="1" x14ac:dyDescent="0.2">
      <c r="A67" s="63" t="s">
        <v>164</v>
      </c>
      <c r="B67" s="64" t="s">
        <v>2</v>
      </c>
      <c r="C67" s="65">
        <v>2</v>
      </c>
      <c r="D67" s="65" t="s">
        <v>166</v>
      </c>
      <c r="E67" s="66" t="s">
        <v>163</v>
      </c>
      <c r="F67" s="68" t="str">
        <f t="shared" si="32"/>
        <v>USDAM3L1M_Quote</v>
      </c>
      <c r="G67" s="68" t="str">
        <f t="shared" si="33"/>
        <v>USDFF3L1M_Quote</v>
      </c>
      <c r="H67" s="69"/>
      <c r="J67" s="11" t="str">
        <f t="shared" si="30"/>
        <v>BasOIS</v>
      </c>
      <c r="K67" s="105" t="str">
        <f t="shared" si="31"/>
        <v>--</v>
      </c>
      <c r="L67" s="108" t="str">
        <f>IFERROR(_xll.qlRateHelperQuoteName(K67,Trigger),"--")</f>
        <v>--</v>
      </c>
      <c r="M67" s="109" t="str">
        <f>IFERROR(_xll.qlRateHelperQuoteValue($K67,Trigger),"--")</f>
        <v>--</v>
      </c>
      <c r="N67" s="108" t="b">
        <v>0</v>
      </c>
      <c r="O67" s="105">
        <v>60</v>
      </c>
      <c r="P67" s="105">
        <v>1</v>
      </c>
      <c r="Q67" s="110" t="str">
        <f>IFERROR(_xll.qlRateHelperEarliestDate(K67,Trigger),"--")</f>
        <v>--</v>
      </c>
      <c r="R67" s="110" t="str">
        <f>IFERROR(_xll.qlRateHelperPillarDate(K67,Trigger),"--")</f>
        <v>--</v>
      </c>
      <c r="T67" s="4" t="str">
        <f t="shared" si="19"/>
        <v/>
      </c>
      <c r="U67" s="4" t="e">
        <v>#N/A</v>
      </c>
      <c r="V67" s="4" t="str">
        <f>IFERROR(_xll.qlRateHelperQuoteName(U67,Trigger),"")</f>
        <v/>
      </c>
      <c r="W67" s="75" t="str">
        <f>IFERROR(_xll.qlRateHelperRate(U67,Trigger),"")</f>
        <v/>
      </c>
      <c r="X67" s="115" t="str">
        <f>IF(ISERROR(_xll.qlSwapRateHelperSpread($U67)),IF(ISERROR(_xll.qlFuturesRateHelperConvexityAdjustment($U67)),"",_xll.qlFuturesRateHelperConvexityAdjustment($U67)),_xll.qlSwapRateHelperSpread($U67))</f>
        <v/>
      </c>
      <c r="Y67" s="5" t="str">
        <f>IFERROR(_xll.qlRateHelperEarliestDate(U67,Trigger),"")</f>
        <v/>
      </c>
      <c r="Z67" s="5" t="str">
        <f>IFERROR(_xll.qlRateHelperPillarDate(U67,Trigger),"")</f>
        <v/>
      </c>
      <c r="AA67" s="5" t="e">
        <v>#N/A</v>
      </c>
      <c r="AG67" s="198">
        <v>48295</v>
      </c>
      <c r="AH67" s="261">
        <v>6.2509941648837665E-3</v>
      </c>
      <c r="AI67" s="261">
        <v>1</v>
      </c>
      <c r="AJ67" s="198">
        <v>48204</v>
      </c>
      <c r="AK67" s="198">
        <v>48295</v>
      </c>
      <c r="AL67" s="200">
        <v>91</v>
      </c>
      <c r="AM67" s="201" t="str">
        <v>FedFundsON Actual/360</v>
      </c>
      <c r="AN67" s="200">
        <v>0</v>
      </c>
      <c r="AO67" s="198">
        <v>48292</v>
      </c>
      <c r="AP67" s="200" t="str">
        <v>Actual/360</v>
      </c>
      <c r="AQ67" s="202">
        <v>0.25277777777777777</v>
      </c>
      <c r="AR67" s="203">
        <v>2.472920768525446E-2</v>
      </c>
      <c r="AS67" s="245">
        <f>_xll.qlDayCounterYearFraction("actual/365 (fixed)",Evaluationdate,AJ67,,,Trigger)</f>
        <v>15.775342465753425</v>
      </c>
      <c r="AT67" s="246">
        <f>_xll.qlDayCounterYearFraction("actual/365 (fixed)",Evaluationdate,AK67,,,Trigger)</f>
        <v>16.024657534246575</v>
      </c>
      <c r="AU67" s="246">
        <f>_xll.qlDayCounterYearFraction(AP67,AJ67,AK67,,,Trigger)</f>
        <v>0.25277777777777777</v>
      </c>
      <c r="AV67" s="247">
        <f>_xll.qlYieldTSDiscount("USDON",AJ67,,Trigger)</f>
        <v>0.77129097018084913</v>
      </c>
      <c r="AW67" s="247">
        <f>_xll.qlYieldTSDiscount("USDON",AK67,,Trigger)</f>
        <v>0.76718733890373869</v>
      </c>
      <c r="AX67" s="203">
        <f t="shared" si="20"/>
        <v>1.9611590089138117E-6</v>
      </c>
      <c r="AY67" s="203">
        <f t="shared" si="21"/>
        <v>-6.968314814059795E-7</v>
      </c>
      <c r="AZ67" s="201" t="b">
        <f t="shared" si="22"/>
        <v>1</v>
      </c>
      <c r="BA67" s="195">
        <f t="shared" si="23"/>
        <v>2.4790601704979827E-2</v>
      </c>
      <c r="BB67" s="248">
        <f t="shared" si="24"/>
        <v>0</v>
      </c>
      <c r="BC67" s="248">
        <f t="shared" si="25"/>
        <v>0</v>
      </c>
      <c r="BD67" s="193"/>
      <c r="BE67" s="193"/>
      <c r="BF67" s="193"/>
      <c r="BG67" s="193"/>
      <c r="BH67" s="193"/>
      <c r="BI67" s="193"/>
      <c r="BJ67" s="193"/>
      <c r="BK67" s="193"/>
      <c r="BL67" s="193"/>
    </row>
    <row r="68" spans="1:64" ht="11.25" customHeight="1" x14ac:dyDescent="0.2">
      <c r="A68" s="63" t="s">
        <v>164</v>
      </c>
      <c r="B68" s="64" t="s">
        <v>53</v>
      </c>
      <c r="C68" s="65">
        <v>2</v>
      </c>
      <c r="D68" s="65" t="s">
        <v>166</v>
      </c>
      <c r="E68" s="66" t="s">
        <v>163</v>
      </c>
      <c r="F68" s="68" t="str">
        <f t="shared" si="32"/>
        <v>USDAM3L2M_Quote</v>
      </c>
      <c r="G68" s="68" t="str">
        <f t="shared" si="33"/>
        <v>USDFF3L2M_Quote</v>
      </c>
      <c r="H68" s="69"/>
      <c r="J68" s="11" t="str">
        <f t="shared" si="30"/>
        <v>BasOIS</v>
      </c>
      <c r="K68" s="105" t="str">
        <f t="shared" si="31"/>
        <v>--</v>
      </c>
      <c r="L68" s="108" t="str">
        <f>IFERROR(_xll.qlRateHelperQuoteName(K68,Trigger),"--")</f>
        <v>--</v>
      </c>
      <c r="M68" s="109" t="str">
        <f>IFERROR(_xll.qlRateHelperQuoteValue($K68,Trigger),"--")</f>
        <v>--</v>
      </c>
      <c r="N68" s="108" t="b">
        <v>0</v>
      </c>
      <c r="O68" s="105">
        <v>60</v>
      </c>
      <c r="P68" s="105">
        <v>1</v>
      </c>
      <c r="Q68" s="110" t="str">
        <f>IFERROR(_xll.qlRateHelperEarliestDate(K68,Trigger),"--")</f>
        <v>--</v>
      </c>
      <c r="R68" s="110" t="str">
        <f>IFERROR(_xll.qlRateHelperPillarDate(K68,Trigger),"--")</f>
        <v>--</v>
      </c>
      <c r="T68" s="4" t="str">
        <f t="shared" si="19"/>
        <v/>
      </c>
      <c r="U68" s="4" t="e">
        <v>#N/A</v>
      </c>
      <c r="V68" s="4" t="str">
        <f>IFERROR(_xll.qlRateHelperQuoteName(U68,Trigger),"")</f>
        <v/>
      </c>
      <c r="W68" s="75" t="str">
        <f>IFERROR(_xll.qlRateHelperRate(U68,Trigger),"")</f>
        <v/>
      </c>
      <c r="X68" s="115" t="str">
        <f>IF(ISERROR(_xll.qlSwapRateHelperSpread($U68)),IF(ISERROR(_xll.qlFuturesRateHelperConvexityAdjustment($U68)),"",_xll.qlFuturesRateHelperConvexityAdjustment($U68)),_xll.qlSwapRateHelperSpread($U68))</f>
        <v/>
      </c>
      <c r="Y68" s="5" t="str">
        <f>IFERROR(_xll.qlRateHelperEarliestDate(U68,Trigger),"")</f>
        <v/>
      </c>
      <c r="Z68" s="5" t="str">
        <f>IFERROR(_xll.qlRateHelperPillarDate(U68,Trigger),"")</f>
        <v/>
      </c>
      <c r="AA68" s="5" t="e">
        <v>#N/A</v>
      </c>
      <c r="AG68" s="198">
        <v>48386</v>
      </c>
      <c r="AH68" s="261">
        <v>6.256819536027876E-3</v>
      </c>
      <c r="AI68" s="261">
        <v>1</v>
      </c>
      <c r="AJ68" s="198">
        <v>48295</v>
      </c>
      <c r="AK68" s="198">
        <v>48386</v>
      </c>
      <c r="AL68" s="200">
        <v>91</v>
      </c>
      <c r="AM68" s="201" t="str">
        <v>FedFundsON Actual/360</v>
      </c>
      <c r="AN68" s="200">
        <v>0</v>
      </c>
      <c r="AO68" s="198">
        <v>48383</v>
      </c>
      <c r="AP68" s="200" t="str">
        <v>Actual/360</v>
      </c>
      <c r="AQ68" s="202">
        <v>0.25277777777777777</v>
      </c>
      <c r="AR68" s="203">
        <v>2.4752253109560828E-2</v>
      </c>
      <c r="AS68" s="245">
        <f>_xll.qlDayCounterYearFraction("actual/365 (fixed)",Evaluationdate,AJ68,,,Trigger)</f>
        <v>16.024657534246575</v>
      </c>
      <c r="AT68" s="246">
        <f>_xll.qlDayCounterYearFraction("actual/365 (fixed)",Evaluationdate,AK68,,,Trigger)</f>
        <v>16.273972602739725</v>
      </c>
      <c r="AU68" s="246">
        <f>_xll.qlDayCounterYearFraction(AP68,AJ68,AK68,,,Trigger)</f>
        <v>0.25277777777777777</v>
      </c>
      <c r="AV68" s="247">
        <f>_xll.qlYieldTSDiscount("USDON",AJ68,,Trigger)</f>
        <v>0.76718733890373869</v>
      </c>
      <c r="AW68" s="247">
        <f>_xll.qlYieldTSDiscount("USDON",AK68,,Trigger)</f>
        <v>0.76310107186578224</v>
      </c>
      <c r="AX68" s="203">
        <f t="shared" si="20"/>
        <v>1.992153856022133E-6</v>
      </c>
      <c r="AY68" s="203">
        <f t="shared" si="21"/>
        <v>-6.968314814059795E-7</v>
      </c>
      <c r="AZ68" s="201" t="b">
        <f t="shared" si="22"/>
        <v>1</v>
      </c>
      <c r="BA68" s="195">
        <f t="shared" si="23"/>
        <v>2.4813893738695213E-2</v>
      </c>
      <c r="BB68" s="248">
        <f t="shared" si="24"/>
        <v>0</v>
      </c>
      <c r="BC68" s="248">
        <f t="shared" si="25"/>
        <v>0</v>
      </c>
      <c r="BD68" s="193"/>
      <c r="BE68" s="193"/>
      <c r="BF68" s="193"/>
      <c r="BG68" s="193"/>
      <c r="BH68" s="193"/>
      <c r="BI68" s="193"/>
      <c r="BJ68" s="193"/>
      <c r="BK68" s="193"/>
      <c r="BL68" s="193"/>
    </row>
    <row r="69" spans="1:64" ht="11.25" customHeight="1" x14ac:dyDescent="0.2">
      <c r="A69" s="63" t="s">
        <v>164</v>
      </c>
      <c r="B69" s="64" t="s">
        <v>0</v>
      </c>
      <c r="C69" s="65">
        <v>2</v>
      </c>
      <c r="D69" s="65" t="s">
        <v>166</v>
      </c>
      <c r="E69" s="66" t="s">
        <v>163</v>
      </c>
      <c r="F69" s="68" t="str">
        <f t="shared" si="32"/>
        <v>USDAM3L3M_Quote</v>
      </c>
      <c r="G69" s="68" t="str">
        <f t="shared" si="33"/>
        <v>USDFF3L3M_Quote</v>
      </c>
      <c r="H69" s="69"/>
      <c r="J69" s="11" t="str">
        <f t="shared" si="30"/>
        <v>BasOIS</v>
      </c>
      <c r="K69" s="105" t="str">
        <f t="shared" si="31"/>
        <v>--</v>
      </c>
      <c r="L69" s="108" t="str">
        <f>IFERROR(_xll.qlRateHelperQuoteName(K69,Trigger),"--")</f>
        <v>--</v>
      </c>
      <c r="M69" s="109" t="str">
        <f>IFERROR(_xll.qlRateHelperQuoteValue($K69,Trigger),"--")</f>
        <v>--</v>
      </c>
      <c r="N69" s="108" t="b">
        <v>0</v>
      </c>
      <c r="O69" s="105">
        <v>60</v>
      </c>
      <c r="P69" s="105">
        <v>1</v>
      </c>
      <c r="Q69" s="110" t="str">
        <f>IFERROR(_xll.qlRateHelperEarliestDate(K69,Trigger),"--")</f>
        <v>--</v>
      </c>
      <c r="R69" s="110" t="str">
        <f>IFERROR(_xll.qlRateHelperPillarDate(K69,Trigger),"--")</f>
        <v>--</v>
      </c>
      <c r="T69" s="4" t="str">
        <f t="shared" si="19"/>
        <v/>
      </c>
      <c r="U69" s="4" t="e">
        <v>#N/A</v>
      </c>
      <c r="V69" s="4" t="str">
        <f>IFERROR(_xll.qlRateHelperQuoteName(U69,Trigger),"")</f>
        <v/>
      </c>
      <c r="W69" s="75" t="str">
        <f>IFERROR(_xll.qlRateHelperRate(U69,Trigger),"")</f>
        <v/>
      </c>
      <c r="X69" s="115" t="str">
        <f>IF(ISERROR(_xll.qlSwapRateHelperSpread($U69)),IF(ISERROR(_xll.qlFuturesRateHelperConvexityAdjustment($U69)),"",_xll.qlFuturesRateHelperConvexityAdjustment($U69)),_xll.qlSwapRateHelperSpread($U69))</f>
        <v/>
      </c>
      <c r="Y69" s="5" t="str">
        <f>IFERROR(_xll.qlRateHelperEarliestDate(U69,Trigger),"")</f>
        <v/>
      </c>
      <c r="Z69" s="5" t="str">
        <f>IFERROR(_xll.qlRateHelperPillarDate(U69,Trigger),"")</f>
        <v/>
      </c>
      <c r="AA69" s="5" t="e">
        <v>#N/A</v>
      </c>
      <c r="AG69" s="198">
        <v>48478</v>
      </c>
      <c r="AH69" s="261">
        <v>6.4176558016857954E-3</v>
      </c>
      <c r="AI69" s="261">
        <v>1</v>
      </c>
      <c r="AJ69" s="198">
        <v>48386</v>
      </c>
      <c r="AK69" s="198">
        <v>48478</v>
      </c>
      <c r="AL69" s="200">
        <v>92</v>
      </c>
      <c r="AM69" s="201" t="str">
        <v>FedFundsON Actual/360</v>
      </c>
      <c r="AN69" s="200">
        <v>0</v>
      </c>
      <c r="AO69" s="198">
        <v>48477</v>
      </c>
      <c r="AP69" s="200" t="str">
        <v>Actual/360</v>
      </c>
      <c r="AQ69" s="202">
        <v>0.25555555555555554</v>
      </c>
      <c r="AR69" s="203">
        <v>2.5112566180509638E-2</v>
      </c>
      <c r="AS69" s="245">
        <f>_xll.qlDayCounterYearFraction("actual/365 (fixed)",Evaluationdate,AJ69,,,Trigger)</f>
        <v>16.273972602739725</v>
      </c>
      <c r="AT69" s="246">
        <f>_xll.qlDayCounterYearFraction("actual/365 (fixed)",Evaluationdate,AK69,,,Trigger)</f>
        <v>16.526027397260275</v>
      </c>
      <c r="AU69" s="246">
        <f>_xll.qlDayCounterYearFraction(AP69,AJ69,AK69,,,Trigger)</f>
        <v>0.25555555555555554</v>
      </c>
      <c r="AV69" s="247">
        <f>_xll.qlYieldTSDiscount("USDON",AJ69,,Trigger)</f>
        <v>0.76310107186578224</v>
      </c>
      <c r="AW69" s="247">
        <f>_xll.qlYieldTSDiscount("USDON",AK69,,Trigger)</f>
        <v>0.75898872216189173</v>
      </c>
      <c r="AX69" s="203">
        <f t="shared" si="20"/>
        <v>2.0678578426012942E-6</v>
      </c>
      <c r="AY69" s="203">
        <f t="shared" si="21"/>
        <v>-8.8486551419464377E-5</v>
      </c>
      <c r="AZ69" s="201" t="b">
        <f t="shared" si="22"/>
        <v>1</v>
      </c>
      <c r="BA69" s="195">
        <f t="shared" si="23"/>
        <v>2.4831636755947163E-2</v>
      </c>
      <c r="BB69" s="248">
        <f t="shared" si="24"/>
        <v>0</v>
      </c>
      <c r="BC69" s="248">
        <f t="shared" si="25"/>
        <v>0</v>
      </c>
      <c r="BD69" s="193"/>
      <c r="BE69" s="193"/>
      <c r="BF69" s="193"/>
      <c r="BG69" s="193"/>
      <c r="BH69" s="193"/>
      <c r="BI69" s="193"/>
      <c r="BJ69" s="193"/>
      <c r="BK69" s="193"/>
      <c r="BL69" s="193"/>
    </row>
    <row r="70" spans="1:64" ht="11.25" customHeight="1" x14ac:dyDescent="0.2">
      <c r="A70" s="63" t="s">
        <v>164</v>
      </c>
      <c r="B70" s="64" t="s">
        <v>54</v>
      </c>
      <c r="C70" s="65">
        <v>2</v>
      </c>
      <c r="D70" s="65" t="s">
        <v>166</v>
      </c>
      <c r="E70" s="66" t="s">
        <v>163</v>
      </c>
      <c r="F70" s="68" t="str">
        <f t="shared" si="32"/>
        <v>USDAM3L4M_Quote</v>
      </c>
      <c r="G70" s="68" t="str">
        <f t="shared" si="33"/>
        <v>USDFF3L4M_Quote</v>
      </c>
      <c r="H70" s="69"/>
      <c r="J70" s="11" t="str">
        <f t="shared" si="30"/>
        <v>BasOIS</v>
      </c>
      <c r="K70" s="105" t="str">
        <f t="shared" si="31"/>
        <v>--</v>
      </c>
      <c r="L70" s="108" t="str">
        <f>IFERROR(_xll.qlRateHelperQuoteName(K70,Trigger),"--")</f>
        <v>--</v>
      </c>
      <c r="M70" s="109" t="str">
        <f>IFERROR(_xll.qlRateHelperQuoteValue($K70,Trigger),"--")</f>
        <v>--</v>
      </c>
      <c r="N70" s="108" t="b">
        <v>0</v>
      </c>
      <c r="O70" s="105">
        <v>60</v>
      </c>
      <c r="P70" s="105">
        <v>1</v>
      </c>
      <c r="Q70" s="110" t="str">
        <f>IFERROR(_xll.qlRateHelperEarliestDate(K70,Trigger),"--")</f>
        <v>--</v>
      </c>
      <c r="R70" s="110" t="str">
        <f>IFERROR(_xll.qlRateHelperPillarDate(K70,Trigger),"--")</f>
        <v>--</v>
      </c>
      <c r="T70" s="4" t="str">
        <f t="shared" si="19"/>
        <v/>
      </c>
      <c r="U70" s="4" t="e">
        <v>#N/A</v>
      </c>
      <c r="V70" s="4" t="str">
        <f>IFERROR(_xll.qlRateHelperQuoteName(U70,Trigger),"")</f>
        <v/>
      </c>
      <c r="W70" s="75" t="str">
        <f>IFERROR(_xll.qlRateHelperRate(U70,Trigger),"")</f>
        <v/>
      </c>
      <c r="X70" s="115" t="str">
        <f>IF(ISERROR(_xll.qlSwapRateHelperSpread($U70)),IF(ISERROR(_xll.qlFuturesRateHelperConvexityAdjustment($U70)),"",_xll.qlFuturesRateHelperConvexityAdjustment($U70)),_xll.qlSwapRateHelperSpread($U70))</f>
        <v/>
      </c>
      <c r="Y70" s="5" t="str">
        <f>IFERROR(_xll.qlRateHelperEarliestDate(U70,Trigger),"")</f>
        <v/>
      </c>
      <c r="Z70" s="5" t="str">
        <f>IFERROR(_xll.qlRateHelperPillarDate(U70,Trigger),"")</f>
        <v/>
      </c>
      <c r="AA70" s="5" t="e">
        <v>#N/A</v>
      </c>
      <c r="AG70" s="198">
        <v>48569</v>
      </c>
      <c r="AH70" s="261">
        <v>6.2637820270170343E-3</v>
      </c>
      <c r="AI70" s="261">
        <v>1</v>
      </c>
      <c r="AJ70" s="198">
        <v>48478</v>
      </c>
      <c r="AK70" s="198">
        <v>48569</v>
      </c>
      <c r="AL70" s="200">
        <v>91</v>
      </c>
      <c r="AM70" s="201" t="str">
        <v>FedFundsON Actual/360</v>
      </c>
      <c r="AN70" s="200">
        <v>0</v>
      </c>
      <c r="AO70" s="198">
        <v>48568</v>
      </c>
      <c r="AP70" s="200" t="str">
        <v>Actual/360</v>
      </c>
      <c r="AQ70" s="202">
        <v>0.25277777777777777</v>
      </c>
      <c r="AR70" s="203">
        <v>2.4779797029957501E-2</v>
      </c>
      <c r="AS70" s="245">
        <f>_xll.qlDayCounterYearFraction("actual/365 (fixed)",Evaluationdate,AJ70,,,Trigger)</f>
        <v>16.526027397260275</v>
      </c>
      <c r="AT70" s="246">
        <f>_xll.qlDayCounterYearFraction("actual/365 (fixed)",Evaluationdate,AK70,,,Trigger)</f>
        <v>16.775342465753425</v>
      </c>
      <c r="AU70" s="246">
        <f>_xll.qlDayCounterYearFraction(AP70,AJ70,AK70,,,Trigger)</f>
        <v>0.25277777777777777</v>
      </c>
      <c r="AV70" s="247">
        <f>_xll.qlYieldTSDiscount("USDON",AJ70,,Trigger)</f>
        <v>0.75898872216189173</v>
      </c>
      <c r="AW70" s="247">
        <f>_xll.qlYieldTSDiscount("USDON",AK70,,Trigger)</f>
        <v>0.75494082004244867</v>
      </c>
      <c r="AX70" s="203">
        <f t="shared" si="20"/>
        <v>2.054484199756638E-6</v>
      </c>
      <c r="AY70" s="203">
        <f t="shared" si="21"/>
        <v>-6.968314814059795E-7</v>
      </c>
      <c r="AZ70" s="201" t="b">
        <f t="shared" si="22"/>
        <v>1</v>
      </c>
      <c r="BA70" s="195">
        <f t="shared" si="23"/>
        <v>2.4841833151874722E-2</v>
      </c>
      <c r="BB70" s="248">
        <f t="shared" si="24"/>
        <v>0</v>
      </c>
      <c r="BC70" s="248">
        <f t="shared" si="25"/>
        <v>0</v>
      </c>
      <c r="BD70" s="193"/>
      <c r="BE70" s="193"/>
      <c r="BF70" s="193"/>
      <c r="BG70" s="193"/>
      <c r="BH70" s="193"/>
      <c r="BI70" s="193"/>
      <c r="BJ70" s="193"/>
      <c r="BK70" s="193"/>
      <c r="BL70" s="193"/>
    </row>
    <row r="71" spans="1:64" ht="11.25" customHeight="1" x14ac:dyDescent="0.2">
      <c r="A71" s="63" t="s">
        <v>164</v>
      </c>
      <c r="B71" s="64" t="s">
        <v>55</v>
      </c>
      <c r="C71" s="65">
        <v>2</v>
      </c>
      <c r="D71" s="65" t="s">
        <v>166</v>
      </c>
      <c r="E71" s="66" t="s">
        <v>163</v>
      </c>
      <c r="F71" s="68" t="str">
        <f t="shared" si="32"/>
        <v>USDAM3L5M_Quote</v>
      </c>
      <c r="G71" s="68" t="str">
        <f t="shared" si="33"/>
        <v>USDFF3L5M_Quote</v>
      </c>
      <c r="H71" s="69"/>
      <c r="J71" s="11" t="str">
        <f t="shared" si="30"/>
        <v>BasOIS</v>
      </c>
      <c r="K71" s="105" t="str">
        <f t="shared" si="31"/>
        <v>--</v>
      </c>
      <c r="L71" s="108" t="str">
        <f>IFERROR(_xll.qlRateHelperQuoteName(K71,Trigger),"--")</f>
        <v>--</v>
      </c>
      <c r="M71" s="109" t="str">
        <f>IFERROR(_xll.qlRateHelperQuoteValue($K71,Trigger),"--")</f>
        <v>--</v>
      </c>
      <c r="N71" s="108" t="b">
        <v>0</v>
      </c>
      <c r="O71" s="105">
        <v>60</v>
      </c>
      <c r="P71" s="105">
        <v>1</v>
      </c>
      <c r="Q71" s="110" t="str">
        <f>IFERROR(_xll.qlRateHelperEarliestDate(K71,Trigger),"--")</f>
        <v>--</v>
      </c>
      <c r="R71" s="110" t="str">
        <f>IFERROR(_xll.qlRateHelperPillarDate(K71,Trigger),"--")</f>
        <v>--</v>
      </c>
      <c r="T71" s="4" t="str">
        <f t="shared" si="19"/>
        <v/>
      </c>
      <c r="U71" s="4" t="e">
        <v>#N/A</v>
      </c>
      <c r="V71" s="4" t="str">
        <f>IFERROR(_xll.qlRateHelperQuoteName(U71,Trigger),"")</f>
        <v/>
      </c>
      <c r="W71" s="75" t="str">
        <f>IFERROR(_xll.qlRateHelperRate(U71,Trigger),"")</f>
        <v/>
      </c>
      <c r="X71" s="115" t="str">
        <f>IF(ISERROR(_xll.qlSwapRateHelperSpread($U71)),IF(ISERROR(_xll.qlFuturesRateHelperConvexityAdjustment($U71)),"",_xll.qlFuturesRateHelperConvexityAdjustment($U71)),_xll.qlSwapRateHelperSpread($U71))</f>
        <v/>
      </c>
      <c r="Y71" s="5" t="str">
        <f>IFERROR(_xll.qlRateHelperEarliestDate(U71,Trigger),"")</f>
        <v/>
      </c>
      <c r="Z71" s="5" t="str">
        <f>IFERROR(_xll.qlRateHelperPillarDate(U71,Trigger),"")</f>
        <v/>
      </c>
      <c r="AA71" s="5" t="e">
        <v>#N/A</v>
      </c>
      <c r="AG71" s="198">
        <v>48659</v>
      </c>
      <c r="AH71" s="261">
        <v>6.3002896093117666E-3</v>
      </c>
      <c r="AI71" s="261">
        <v>1</v>
      </c>
      <c r="AJ71" s="198">
        <v>48569</v>
      </c>
      <c r="AK71" s="198">
        <v>48659</v>
      </c>
      <c r="AL71" s="200">
        <v>90</v>
      </c>
      <c r="AM71" s="201" t="str">
        <v>FedFundsON Actual/360</v>
      </c>
      <c r="AN71" s="200">
        <v>0</v>
      </c>
      <c r="AO71" s="198">
        <v>48656</v>
      </c>
      <c r="AP71" s="200" t="str">
        <v>Actual/360</v>
      </c>
      <c r="AQ71" s="202">
        <v>0.25</v>
      </c>
      <c r="AR71" s="203">
        <v>2.5201158437247066E-2</v>
      </c>
      <c r="AS71" s="245">
        <f>_xll.qlDayCounterYearFraction("actual/365 (fixed)",Evaluationdate,AJ71,,,Trigger)</f>
        <v>16.775342465753425</v>
      </c>
      <c r="AT71" s="246">
        <f>_xll.qlDayCounterYearFraction("actual/365 (fixed)",Evaluationdate,AK71,,,Trigger)</f>
        <v>17.021917808219179</v>
      </c>
      <c r="AU71" s="246">
        <f>_xll.qlDayCounterYearFraction(AP71,AJ71,AK71,,,Trigger)</f>
        <v>0.25</v>
      </c>
      <c r="AV71" s="247">
        <f>_xll.qlYieldTSDiscount("USDON",AJ71,,Trigger)</f>
        <v>0.75494082004244867</v>
      </c>
      <c r="AW71" s="247">
        <f>_xll.qlYieldTSDiscount("USDON",AK71,,Trigger)</f>
        <v>0.75095779589284251</v>
      </c>
      <c r="AX71" s="203">
        <f t="shared" si="20"/>
        <v>2.039896218496259E-6</v>
      </c>
      <c r="AY71" s="203">
        <f t="shared" si="21"/>
        <v>-1.049203501857221E-4</v>
      </c>
      <c r="AZ71" s="201" t="b">
        <f t="shared" si="22"/>
        <v>1</v>
      </c>
      <c r="BA71" s="195">
        <f t="shared" si="23"/>
        <v>2.4845701715277647E-2</v>
      </c>
      <c r="BB71" s="248">
        <f t="shared" si="24"/>
        <v>0</v>
      </c>
      <c r="BC71" s="248">
        <f t="shared" si="25"/>
        <v>0</v>
      </c>
      <c r="BD71" s="193"/>
      <c r="BE71" s="193"/>
      <c r="BF71" s="193"/>
      <c r="BG71" s="193"/>
      <c r="BH71" s="193"/>
      <c r="BI71" s="193"/>
      <c r="BJ71" s="193"/>
      <c r="BK71" s="193"/>
      <c r="BL71" s="193"/>
    </row>
    <row r="72" spans="1:64" ht="11.25" customHeight="1" x14ac:dyDescent="0.2">
      <c r="A72" s="63" t="s">
        <v>164</v>
      </c>
      <c r="B72" s="64" t="s">
        <v>3</v>
      </c>
      <c r="C72" s="65">
        <v>2</v>
      </c>
      <c r="D72" s="65" t="s">
        <v>166</v>
      </c>
      <c r="E72" s="66" t="s">
        <v>163</v>
      </c>
      <c r="F72" s="68" t="str">
        <f t="shared" si="32"/>
        <v>USDAM3L6M_Quote</v>
      </c>
      <c r="G72" s="68" t="str">
        <f t="shared" si="33"/>
        <v>USDFF3L6M_Quote</v>
      </c>
      <c r="H72" s="69"/>
      <c r="J72" s="11" t="str">
        <f t="shared" si="30"/>
        <v>BasOIS</v>
      </c>
      <c r="K72" s="105" t="str">
        <f t="shared" si="31"/>
        <v>--</v>
      </c>
      <c r="L72" s="108" t="str">
        <f>IFERROR(_xll.qlRateHelperQuoteName(K72,Trigger),"--")</f>
        <v>--</v>
      </c>
      <c r="M72" s="109" t="str">
        <f>IFERROR(_xll.qlRateHelperQuoteValue($K72,Trigger),"--")</f>
        <v>--</v>
      </c>
      <c r="N72" s="108" t="b">
        <v>0</v>
      </c>
      <c r="O72" s="105">
        <v>60</v>
      </c>
      <c r="P72" s="105">
        <v>1</v>
      </c>
      <c r="Q72" s="110" t="str">
        <f>IFERROR(_xll.qlRateHelperEarliestDate(K72,Trigger),"--")</f>
        <v>--</v>
      </c>
      <c r="R72" s="110" t="str">
        <f>IFERROR(_xll.qlRateHelperPillarDate(K72,Trigger),"--")</f>
        <v>--</v>
      </c>
      <c r="T72" s="4" t="str">
        <f t="shared" si="19"/>
        <v/>
      </c>
      <c r="U72" s="4" t="e">
        <v>#N/A</v>
      </c>
      <c r="V72" s="4" t="str">
        <f>IFERROR(_xll.qlRateHelperQuoteName(U72,Trigger),"")</f>
        <v/>
      </c>
      <c r="W72" s="75" t="str">
        <f>IFERROR(_xll.qlRateHelperRate(U72,Trigger),"")</f>
        <v/>
      </c>
      <c r="X72" s="115" t="str">
        <f>IF(ISERROR(_xll.qlSwapRateHelperSpread($U72)),IF(ISERROR(_xll.qlFuturesRateHelperConvexityAdjustment($U72)),"",_xll.qlFuturesRateHelperConvexityAdjustment($U72)),_xll.qlSwapRateHelperSpread($U72))</f>
        <v/>
      </c>
      <c r="Y72" s="5" t="str">
        <f>IFERROR(_xll.qlRateHelperEarliestDate(U72,Trigger),"")</f>
        <v/>
      </c>
      <c r="Z72" s="5" t="str">
        <f>IFERROR(_xll.qlRateHelperPillarDate(U72,Trigger),"")</f>
        <v/>
      </c>
      <c r="AA72" s="5" t="e">
        <v>#N/A</v>
      </c>
      <c r="AG72" s="198">
        <v>48751</v>
      </c>
      <c r="AH72" s="261">
        <v>6.4210214858252349E-3</v>
      </c>
      <c r="AI72" s="261">
        <v>1</v>
      </c>
      <c r="AJ72" s="198">
        <v>48659</v>
      </c>
      <c r="AK72" s="198">
        <v>48751</v>
      </c>
      <c r="AL72" s="200">
        <v>92</v>
      </c>
      <c r="AM72" s="201" t="str">
        <v>FedFundsON Actual/360</v>
      </c>
      <c r="AN72" s="200">
        <v>0</v>
      </c>
      <c r="AO72" s="198">
        <v>48750</v>
      </c>
      <c r="AP72" s="200" t="str">
        <v>Actual/360</v>
      </c>
      <c r="AQ72" s="202">
        <v>0.25555555555555554</v>
      </c>
      <c r="AR72" s="203">
        <v>2.5125736248881356E-2</v>
      </c>
      <c r="AS72" s="245">
        <f>_xll.qlDayCounterYearFraction("actual/365 (fixed)",Evaluationdate,AJ72,,,Trigger)</f>
        <v>17.021917808219179</v>
      </c>
      <c r="AT72" s="246">
        <f>_xll.qlDayCounterYearFraction("actual/365 (fixed)",Evaluationdate,AK72,,,Trigger)</f>
        <v>17.273972602739725</v>
      </c>
      <c r="AU72" s="246">
        <f>_xll.qlDayCounterYearFraction(AP72,AJ72,AK72,,,Trigger)</f>
        <v>0.25555555555555554</v>
      </c>
      <c r="AV72" s="247">
        <f>_xll.qlYieldTSDiscount("USDON",AJ72,,Trigger)</f>
        <v>0.75095779589284251</v>
      </c>
      <c r="AW72" s="247">
        <f>_xll.qlYieldTSDiscount("USDON",AK72,,Trigger)</f>
        <v>0.7469083067311767</v>
      </c>
      <c r="AX72" s="203">
        <f t="shared" si="20"/>
        <v>2.1628973712875655E-6</v>
      </c>
      <c r="AY72" s="203">
        <f t="shared" si="21"/>
        <v>-8.8493656846821978E-5</v>
      </c>
      <c r="AZ72" s="201" t="b">
        <f t="shared" si="22"/>
        <v>1</v>
      </c>
      <c r="BA72" s="195">
        <f t="shared" si="23"/>
        <v>2.4845224160102881E-2</v>
      </c>
      <c r="BB72" s="248">
        <f t="shared" si="24"/>
        <v>0</v>
      </c>
      <c r="BC72" s="248">
        <f t="shared" si="25"/>
        <v>0</v>
      </c>
      <c r="BD72" s="193"/>
      <c r="BE72" s="193"/>
      <c r="BF72" s="193"/>
      <c r="BG72" s="193"/>
      <c r="BH72" s="193"/>
      <c r="BI72" s="193"/>
      <c r="BJ72" s="193"/>
      <c r="BK72" s="193"/>
      <c r="BL72" s="193"/>
    </row>
    <row r="73" spans="1:64" ht="11.25" customHeight="1" x14ac:dyDescent="0.2">
      <c r="A73" s="63" t="s">
        <v>164</v>
      </c>
      <c r="B73" s="64" t="s">
        <v>56</v>
      </c>
      <c r="C73" s="65">
        <v>2</v>
      </c>
      <c r="D73" s="65" t="s">
        <v>166</v>
      </c>
      <c r="E73" s="66" t="s">
        <v>163</v>
      </c>
      <c r="F73" s="68" t="str">
        <f t="shared" si="32"/>
        <v>USDAM3L7M_Quote</v>
      </c>
      <c r="G73" s="68" t="str">
        <f t="shared" si="33"/>
        <v>USDFF3L7M_Quote</v>
      </c>
      <c r="H73" s="69"/>
      <c r="J73" s="11" t="str">
        <f t="shared" si="30"/>
        <v>BasOIS</v>
      </c>
      <c r="K73" s="105" t="str">
        <f t="shared" si="31"/>
        <v>--</v>
      </c>
      <c r="L73" s="108" t="str">
        <f>IFERROR(_xll.qlRateHelperQuoteName(K73,Trigger),"--")</f>
        <v>--</v>
      </c>
      <c r="M73" s="109" t="str">
        <f>IFERROR(_xll.qlRateHelperQuoteValue($K73,Trigger),"--")</f>
        <v>--</v>
      </c>
      <c r="N73" s="108" t="b">
        <v>0</v>
      </c>
      <c r="O73" s="105">
        <v>60</v>
      </c>
      <c r="P73" s="105">
        <v>1</v>
      </c>
      <c r="Q73" s="110" t="str">
        <f>IFERROR(_xll.qlRateHelperEarliestDate(K73,Trigger),"--")</f>
        <v>--</v>
      </c>
      <c r="R73" s="110" t="str">
        <f>IFERROR(_xll.qlRateHelperPillarDate(K73,Trigger),"--")</f>
        <v>--</v>
      </c>
      <c r="T73" s="4" t="str">
        <f t="shared" si="19"/>
        <v/>
      </c>
      <c r="U73" s="4" t="e">
        <v>#N/A</v>
      </c>
      <c r="V73" s="4" t="str">
        <f>IFERROR(_xll.qlRateHelperQuoteName(U73,Trigger),"")</f>
        <v/>
      </c>
      <c r="W73" s="75" t="str">
        <f>IFERROR(_xll.qlRateHelperRate(U73,Trigger),"")</f>
        <v/>
      </c>
      <c r="X73" s="115" t="str">
        <f>IF(ISERROR(_xll.qlSwapRateHelperSpread($U73)),IF(ISERROR(_xll.qlFuturesRateHelperConvexityAdjustment($U73)),"",_xll.qlFuturesRateHelperConvexityAdjustment($U73)),_xll.qlSwapRateHelperSpread($U73))</f>
        <v/>
      </c>
      <c r="Y73" s="5" t="str">
        <f>IFERROR(_xll.qlRateHelperEarliestDate(U73,Trigger),"")</f>
        <v/>
      </c>
      <c r="Z73" s="5" t="str">
        <f>IFERROR(_xll.qlRateHelperPillarDate(U73,Trigger),"")</f>
        <v/>
      </c>
      <c r="AA73" s="5" t="e">
        <v>#N/A</v>
      </c>
      <c r="AG73" s="198">
        <v>48843</v>
      </c>
      <c r="AH73" s="261">
        <v>6.4189286521206352E-3</v>
      </c>
      <c r="AI73" s="261">
        <v>1</v>
      </c>
      <c r="AJ73" s="198">
        <v>48751</v>
      </c>
      <c r="AK73" s="198">
        <v>48843</v>
      </c>
      <c r="AL73" s="200">
        <v>92</v>
      </c>
      <c r="AM73" s="201" t="str">
        <v>FedFundsON Actual/360</v>
      </c>
      <c r="AN73" s="200">
        <v>0</v>
      </c>
      <c r="AO73" s="198">
        <v>48842</v>
      </c>
      <c r="AP73" s="200" t="str">
        <v>Actual/360</v>
      </c>
      <c r="AQ73" s="202">
        <v>0.25555555555555554</v>
      </c>
      <c r="AR73" s="203">
        <v>2.5117546899602487E-2</v>
      </c>
      <c r="AS73" s="245">
        <f>_xll.qlDayCounterYearFraction("actual/365 (fixed)",Evaluationdate,AJ73,,,Trigger)</f>
        <v>17.273972602739725</v>
      </c>
      <c r="AT73" s="246">
        <f>_xll.qlDayCounterYearFraction("actual/365 (fixed)",Evaluationdate,AK73,,,Trigger)</f>
        <v>17.526027397260275</v>
      </c>
      <c r="AU73" s="246">
        <f>_xll.qlDayCounterYearFraction(AP73,AJ73,AK73,,,Trigger)</f>
        <v>0.25555555555555554</v>
      </c>
      <c r="AV73" s="247">
        <f>_xll.qlYieldTSDiscount("USDON",AJ73,,Trigger)</f>
        <v>0.7469083067311767</v>
      </c>
      <c r="AW73" s="247">
        <f>_xll.qlYieldTSDiscount("USDON",AK73,,Trigger)</f>
        <v>0.74288217982190285</v>
      </c>
      <c r="AX73" s="203">
        <f t="shared" si="20"/>
        <v>2.1949253763534115E-6</v>
      </c>
      <c r="AY73" s="203">
        <f t="shared" si="21"/>
        <v>-8.8486551419464377E-5</v>
      </c>
      <c r="AZ73" s="201" t="b">
        <f t="shared" si="22"/>
        <v>1</v>
      </c>
      <c r="BA73" s="195">
        <f t="shared" si="23"/>
        <v>2.4837144380231629E-2</v>
      </c>
      <c r="BB73" s="248">
        <f t="shared" si="24"/>
        <v>0</v>
      </c>
      <c r="BC73" s="248">
        <f t="shared" si="25"/>
        <v>0</v>
      </c>
      <c r="BD73" s="193"/>
      <c r="BE73" s="193"/>
      <c r="BF73" s="193"/>
      <c r="BG73" s="193"/>
      <c r="BH73" s="193"/>
      <c r="BI73" s="193"/>
      <c r="BJ73" s="193"/>
      <c r="BK73" s="193"/>
      <c r="BL73" s="193"/>
    </row>
    <row r="74" spans="1:64" ht="11.25" customHeight="1" x14ac:dyDescent="0.2">
      <c r="A74" s="63" t="s">
        <v>164</v>
      </c>
      <c r="B74" s="64" t="s">
        <v>57</v>
      </c>
      <c r="C74" s="65">
        <v>2</v>
      </c>
      <c r="D74" s="65" t="s">
        <v>166</v>
      </c>
      <c r="E74" s="66" t="s">
        <v>163</v>
      </c>
      <c r="F74" s="68" t="str">
        <f t="shared" si="32"/>
        <v>USDAM3L8M_Quote</v>
      </c>
      <c r="G74" s="68" t="str">
        <f t="shared" si="33"/>
        <v>USDFF3L8M_Quote</v>
      </c>
      <c r="H74" s="69"/>
      <c r="J74" s="11" t="str">
        <f t="shared" si="30"/>
        <v>BasOIS</v>
      </c>
      <c r="K74" s="105" t="str">
        <f t="shared" si="31"/>
        <v>obj_00271#0460</v>
      </c>
      <c r="L74" s="108" t="str">
        <f>IFERROR(_xll.qlRateHelperQuoteName(K74,Trigger),"--")</f>
        <v>USDAM3L1Y_Quote</v>
      </c>
      <c r="M74" s="109">
        <f>IFERROR(_xll.qlRateHelperQuoteValue($K74,Trigger),"--")</f>
        <v>7.62E-3</v>
      </c>
      <c r="N74" s="108" t="b">
        <v>1</v>
      </c>
      <c r="O74" s="105">
        <v>60</v>
      </c>
      <c r="P74" s="105">
        <v>1</v>
      </c>
      <c r="Q74" s="110">
        <f>IFERROR(_xll.qlRateHelperEarliestDate(K74,Trigger),"--")</f>
        <v>42450</v>
      </c>
      <c r="R74" s="110">
        <f>IFERROR(_xll.qlRateHelperPillarDate(K74,Trigger),"--")</f>
        <v>42815</v>
      </c>
      <c r="T74" s="4" t="str">
        <f t="shared" si="19"/>
        <v/>
      </c>
      <c r="U74" s="4" t="e">
        <v>#N/A</v>
      </c>
      <c r="V74" s="4" t="str">
        <f>IFERROR(_xll.qlRateHelperQuoteName(U74,Trigger),"")</f>
        <v/>
      </c>
      <c r="W74" s="75" t="str">
        <f>IFERROR(_xll.qlRateHelperRate(U74,Trigger),"")</f>
        <v/>
      </c>
      <c r="X74" s="115" t="str">
        <f>IF(ISERROR(_xll.qlSwapRateHelperSpread($U74)),IF(ISERROR(_xll.qlFuturesRateHelperConvexityAdjustment($U74)),"",_xll.qlFuturesRateHelperConvexityAdjustment($U74)),_xll.qlSwapRateHelperSpread($U74))</f>
        <v/>
      </c>
      <c r="Y74" s="5" t="str">
        <f>IFERROR(_xll.qlRateHelperEarliestDate(U74,Trigger),"")</f>
        <v/>
      </c>
      <c r="Z74" s="5" t="str">
        <f>IFERROR(_xll.qlRateHelperPillarDate(U74,Trigger),"")</f>
        <v/>
      </c>
      <c r="AA74" s="5" t="e">
        <v>#N/A</v>
      </c>
      <c r="AG74" s="198">
        <v>48934</v>
      </c>
      <c r="AH74" s="261">
        <v>6.2587118344678491E-3</v>
      </c>
      <c r="AI74" s="261">
        <v>1</v>
      </c>
      <c r="AJ74" s="198">
        <v>48843</v>
      </c>
      <c r="AK74" s="198">
        <v>48934</v>
      </c>
      <c r="AL74" s="200">
        <v>91</v>
      </c>
      <c r="AM74" s="201" t="str">
        <v>FedFundsON Actual/360</v>
      </c>
      <c r="AN74" s="200">
        <v>0</v>
      </c>
      <c r="AO74" s="198">
        <v>48933</v>
      </c>
      <c r="AP74" s="200" t="str">
        <v>Actual/360</v>
      </c>
      <c r="AQ74" s="202">
        <v>0.25277777777777777</v>
      </c>
      <c r="AR74" s="203">
        <v>2.4759739125367317E-2</v>
      </c>
      <c r="AS74" s="245">
        <f>_xll.qlDayCounterYearFraction("actual/365 (fixed)",Evaluationdate,AJ74,,,Trigger)</f>
        <v>17.526027397260275</v>
      </c>
      <c r="AT74" s="246">
        <f>_xll.qlDayCounterYearFraction("actual/365 (fixed)",Evaluationdate,AK74,,,Trigger)</f>
        <v>17.775342465753425</v>
      </c>
      <c r="AU74" s="246">
        <f>_xll.qlDayCounterYearFraction(AP74,AJ74,AK74,,,Trigger)</f>
        <v>0.25277777777777777</v>
      </c>
      <c r="AV74" s="247">
        <f>_xll.qlYieldTSDiscount("USDON",AJ74,,Trigger)</f>
        <v>0.74288217982190285</v>
      </c>
      <c r="AW74" s="247">
        <f>_xll.qlYieldTSDiscount("USDON",AK74,,Trigger)</f>
        <v>0.73892383307475573</v>
      </c>
      <c r="AX74" s="203">
        <f t="shared" si="20"/>
        <v>2.1788044709038897E-6</v>
      </c>
      <c r="AY74" s="203">
        <f t="shared" si="21"/>
        <v>-6.968314814059795E-7</v>
      </c>
      <c r="AZ74" s="201" t="b">
        <f t="shared" si="22"/>
        <v>1</v>
      </c>
      <c r="BA74" s="195">
        <f t="shared" si="23"/>
        <v>2.4822162201369319E-2</v>
      </c>
      <c r="BB74" s="248">
        <f t="shared" si="24"/>
        <v>0</v>
      </c>
      <c r="BC74" s="248">
        <f t="shared" si="25"/>
        <v>0</v>
      </c>
      <c r="BD74" s="193"/>
      <c r="BE74" s="193"/>
      <c r="BF74" s="193"/>
      <c r="BG74" s="193"/>
      <c r="BH74" s="193"/>
      <c r="BI74" s="193"/>
      <c r="BJ74" s="193"/>
      <c r="BK74" s="193"/>
      <c r="BL74" s="193"/>
    </row>
    <row r="75" spans="1:64" ht="11.25" customHeight="1" x14ac:dyDescent="0.2">
      <c r="A75" s="63" t="s">
        <v>164</v>
      </c>
      <c r="B75" s="64" t="s">
        <v>58</v>
      </c>
      <c r="C75" s="65">
        <v>2</v>
      </c>
      <c r="D75" s="65" t="s">
        <v>166</v>
      </c>
      <c r="E75" s="66" t="s">
        <v>163</v>
      </c>
      <c r="F75" s="68" t="str">
        <f t="shared" si="32"/>
        <v>USDAM3L9M_Quote</v>
      </c>
      <c r="G75" s="68" t="str">
        <f t="shared" si="33"/>
        <v>USDFF3L9M_Quote</v>
      </c>
      <c r="H75" s="69"/>
      <c r="J75" s="11" t="str">
        <f t="shared" si="30"/>
        <v>BasOIS</v>
      </c>
      <c r="K75" s="105" t="str">
        <f t="shared" si="31"/>
        <v>--</v>
      </c>
      <c r="L75" s="108" t="str">
        <f>IFERROR(_xll.qlRateHelperQuoteName(K75,Trigger),"--")</f>
        <v>--</v>
      </c>
      <c r="M75" s="109" t="str">
        <f>IFERROR(_xll.qlRateHelperQuoteValue($K75,Trigger),"--")</f>
        <v>--</v>
      </c>
      <c r="N75" s="108" t="b">
        <v>0</v>
      </c>
      <c r="O75" s="105">
        <v>60</v>
      </c>
      <c r="P75" s="105">
        <v>1</v>
      </c>
      <c r="Q75" s="110" t="str">
        <f>IFERROR(_xll.qlRateHelperEarliestDate(K75,Trigger),"--")</f>
        <v>--</v>
      </c>
      <c r="R75" s="110" t="str">
        <f>IFERROR(_xll.qlRateHelperPillarDate(K75,Trigger),"--")</f>
        <v>--</v>
      </c>
      <c r="T75" s="4" t="str">
        <f t="shared" si="19"/>
        <v/>
      </c>
      <c r="U75" s="4" t="e">
        <v>#N/A</v>
      </c>
      <c r="V75" s="4" t="str">
        <f>IFERROR(_xll.qlRateHelperQuoteName(U75,Trigger),"")</f>
        <v/>
      </c>
      <c r="W75" s="75" t="str">
        <f>IFERROR(_xll.qlRateHelperRate(U75,Trigger),"")</f>
        <v/>
      </c>
      <c r="X75" s="115" t="str">
        <f>IF(ISERROR(_xll.qlSwapRateHelperSpread($U75)),IF(ISERROR(_xll.qlFuturesRateHelperConvexityAdjustment($U75)),"",_xll.qlFuturesRateHelperConvexityAdjustment($U75)),_xll.qlSwapRateHelperSpread($U75))</f>
        <v/>
      </c>
      <c r="Y75" s="5" t="str">
        <f>IFERROR(_xll.qlRateHelperEarliestDate(U75,Trigger),"")</f>
        <v/>
      </c>
      <c r="Z75" s="5" t="str">
        <f>IFERROR(_xll.qlRateHelperPillarDate(U75,Trigger),"")</f>
        <v/>
      </c>
      <c r="AA75" s="5" t="e">
        <v>#N/A</v>
      </c>
      <c r="AG75" s="198">
        <v>49024</v>
      </c>
      <c r="AH75" s="261">
        <v>6.2890839035514463E-3</v>
      </c>
      <c r="AI75" s="261">
        <v>1</v>
      </c>
      <c r="AJ75" s="198">
        <v>48934</v>
      </c>
      <c r="AK75" s="198">
        <v>49024</v>
      </c>
      <c r="AL75" s="200">
        <v>90</v>
      </c>
      <c r="AM75" s="201" t="str">
        <v>FedFundsON Actual/360</v>
      </c>
      <c r="AN75" s="200">
        <v>0</v>
      </c>
      <c r="AO75" s="198">
        <v>49023</v>
      </c>
      <c r="AP75" s="200" t="str">
        <v>Actual/360</v>
      </c>
      <c r="AQ75" s="202">
        <v>0.25</v>
      </c>
      <c r="AR75" s="203">
        <v>2.5156335614205785E-2</v>
      </c>
      <c r="AS75" s="245">
        <f>_xll.qlDayCounterYearFraction("actual/365 (fixed)",Evaluationdate,AJ75,,,Trigger)</f>
        <v>17.775342465753425</v>
      </c>
      <c r="AT75" s="246">
        <f>_xll.qlDayCounterYearFraction("actual/365 (fixed)",Evaluationdate,AK75,,,Trigger)</f>
        <v>18.021917808219179</v>
      </c>
      <c r="AU75" s="246">
        <f>_xll.qlDayCounterYearFraction(AP75,AJ75,AK75,,,Trigger)</f>
        <v>0.25</v>
      </c>
      <c r="AV75" s="247">
        <f>_xll.qlYieldTSDiscount("USDON",AJ75,,Trigger)</f>
        <v>0.73892383307475573</v>
      </c>
      <c r="AW75" s="247">
        <f>_xll.qlYieldTSDiscount("USDON",AK75,,Trigger)</f>
        <v>0.73503346076424192</v>
      </c>
      <c r="AX75" s="203">
        <f t="shared" si="20"/>
        <v>2.1614992488209827E-6</v>
      </c>
      <c r="AY75" s="203">
        <f t="shared" si="21"/>
        <v>-1.049203501857221E-4</v>
      </c>
      <c r="AZ75" s="201" t="b">
        <f t="shared" si="22"/>
        <v>1</v>
      </c>
      <c r="BA75" s="195">
        <f t="shared" si="23"/>
        <v>2.4801130394357364E-2</v>
      </c>
      <c r="BB75" s="248">
        <f t="shared" si="24"/>
        <v>0</v>
      </c>
      <c r="BC75" s="248">
        <f t="shared" si="25"/>
        <v>0</v>
      </c>
      <c r="BD75" s="193"/>
      <c r="BE75" s="193"/>
      <c r="BF75" s="193"/>
      <c r="BG75" s="193"/>
      <c r="BH75" s="193"/>
      <c r="BI75" s="193"/>
      <c r="BJ75" s="193"/>
      <c r="BK75" s="193"/>
      <c r="BL75" s="193"/>
    </row>
    <row r="76" spans="1:64" ht="11.25" customHeight="1" x14ac:dyDescent="0.2">
      <c r="A76" s="63" t="s">
        <v>164</v>
      </c>
      <c r="B76" s="64" t="s">
        <v>59</v>
      </c>
      <c r="C76" s="65">
        <v>2</v>
      </c>
      <c r="D76" s="65" t="s">
        <v>166</v>
      </c>
      <c r="E76" s="66" t="s">
        <v>163</v>
      </c>
      <c r="F76" s="68" t="str">
        <f t="shared" si="32"/>
        <v>USDAM3L10M_Quote</v>
      </c>
      <c r="G76" s="68" t="str">
        <f t="shared" si="33"/>
        <v>USDFF3L10M_Quote</v>
      </c>
      <c r="H76" s="69"/>
      <c r="J76" s="11" t="str">
        <f t="shared" si="30"/>
        <v>BasOIS</v>
      </c>
      <c r="K76" s="105" t="str">
        <f t="shared" si="31"/>
        <v>--</v>
      </c>
      <c r="L76" s="108" t="str">
        <f>IFERROR(_xll.qlRateHelperQuoteName(K76,Trigger),"--")</f>
        <v>--</v>
      </c>
      <c r="M76" s="109" t="str">
        <f>IFERROR(_xll.qlRateHelperQuoteValue($K76,Trigger),"--")</f>
        <v>--</v>
      </c>
      <c r="N76" s="108" t="b">
        <v>0</v>
      </c>
      <c r="O76" s="105">
        <v>60</v>
      </c>
      <c r="P76" s="105">
        <v>1</v>
      </c>
      <c r="Q76" s="110" t="str">
        <f>IFERROR(_xll.qlRateHelperEarliestDate(K76,Trigger),"--")</f>
        <v>--</v>
      </c>
      <c r="R76" s="110" t="str">
        <f>IFERROR(_xll.qlRateHelperPillarDate(K76,Trigger),"--")</f>
        <v>--</v>
      </c>
      <c r="T76" s="4" t="str">
        <f t="shared" si="19"/>
        <v/>
      </c>
      <c r="U76" s="4" t="e">
        <v>#N/A</v>
      </c>
      <c r="V76" s="4" t="str">
        <f>IFERROR(_xll.qlRateHelperQuoteName(U76,Trigger),"")</f>
        <v/>
      </c>
      <c r="W76" s="75" t="str">
        <f>IFERROR(_xll.qlRateHelperRate(U76,Trigger),"")</f>
        <v/>
      </c>
      <c r="X76" s="115" t="str">
        <f>IF(ISERROR(_xll.qlSwapRateHelperSpread($U76)),IF(ISERROR(_xll.qlFuturesRateHelperConvexityAdjustment($U76)),"",_xll.qlFuturesRateHelperConvexityAdjustment($U76)),_xll.qlSwapRateHelperSpread($U76))</f>
        <v/>
      </c>
      <c r="Y76" s="5" t="str">
        <f>IFERROR(_xll.qlRateHelperEarliestDate(U76,Trigger),"")</f>
        <v/>
      </c>
      <c r="Z76" s="5" t="str">
        <f>IFERROR(_xll.qlRateHelperPillarDate(U76,Trigger),"")</f>
        <v/>
      </c>
      <c r="AA76" s="5" t="e">
        <v>#N/A</v>
      </c>
      <c r="AG76" s="198">
        <v>49116</v>
      </c>
      <c r="AH76" s="261">
        <v>6.403198834931045E-3</v>
      </c>
      <c r="AI76" s="261">
        <v>1</v>
      </c>
      <c r="AJ76" s="198">
        <v>49024</v>
      </c>
      <c r="AK76" s="198">
        <v>49116</v>
      </c>
      <c r="AL76" s="200">
        <v>92</v>
      </c>
      <c r="AM76" s="201" t="str">
        <v>FedFundsON Actual/360</v>
      </c>
      <c r="AN76" s="200">
        <v>0</v>
      </c>
      <c r="AO76" s="198">
        <v>49115</v>
      </c>
      <c r="AP76" s="200" t="str">
        <v>Actual/360</v>
      </c>
      <c r="AQ76" s="202">
        <v>0.25555555555555554</v>
      </c>
      <c r="AR76" s="203">
        <v>2.5055995441034526E-2</v>
      </c>
      <c r="AS76" s="245">
        <f>_xll.qlDayCounterYearFraction("actual/365 (fixed)",Evaluationdate,AJ76,,,Trigger)</f>
        <v>18.021917808219179</v>
      </c>
      <c r="AT76" s="246">
        <f>_xll.qlDayCounterYearFraction("actual/365 (fixed)",Evaluationdate,AK76,,,Trigger)</f>
        <v>18.273972602739725</v>
      </c>
      <c r="AU76" s="246">
        <f>_xll.qlDayCounterYearFraction(AP76,AJ76,AK76,,,Trigger)</f>
        <v>0.25555555555555554</v>
      </c>
      <c r="AV76" s="247">
        <f>_xll.qlYieldTSDiscount("USDON",AJ76,,Trigger)</f>
        <v>0.73503346076424192</v>
      </c>
      <c r="AW76" s="247">
        <f>_xll.qlYieldTSDiscount("USDON",AK76,,Trigger)</f>
        <v>0.73108277932519106</v>
      </c>
      <c r="AX76" s="203">
        <f t="shared" si="20"/>
        <v>2.2899650951154724E-6</v>
      </c>
      <c r="AY76" s="203">
        <f t="shared" si="21"/>
        <v>-8.8493656846821978E-5</v>
      </c>
      <c r="AZ76" s="201" t="b">
        <f t="shared" si="22"/>
        <v>1</v>
      </c>
      <c r="BA76" s="195">
        <f t="shared" si="23"/>
        <v>2.4775605773991259E-2</v>
      </c>
      <c r="BB76" s="248">
        <f t="shared" si="24"/>
        <v>0</v>
      </c>
      <c r="BC76" s="248">
        <f t="shared" si="25"/>
        <v>0</v>
      </c>
      <c r="BD76" s="193"/>
      <c r="BE76" s="193"/>
      <c r="BF76" s="193"/>
      <c r="BG76" s="193"/>
      <c r="BH76" s="193"/>
      <c r="BI76" s="193"/>
      <c r="BJ76" s="193"/>
      <c r="BK76" s="193"/>
      <c r="BL76" s="193"/>
    </row>
    <row r="77" spans="1:64" ht="11.25" customHeight="1" x14ac:dyDescent="0.2">
      <c r="A77" s="63" t="s">
        <v>164</v>
      </c>
      <c r="B77" s="64" t="s">
        <v>60</v>
      </c>
      <c r="C77" s="65">
        <v>2</v>
      </c>
      <c r="D77" s="65" t="s">
        <v>166</v>
      </c>
      <c r="E77" s="66" t="s">
        <v>163</v>
      </c>
      <c r="F77" s="68" t="str">
        <f t="shared" si="32"/>
        <v>USDAM3L11M_Quote</v>
      </c>
      <c r="G77" s="68" t="str">
        <f t="shared" si="33"/>
        <v>USDFF3L11M_Quote</v>
      </c>
      <c r="H77" s="69"/>
      <c r="J77" s="11" t="str">
        <f t="shared" si="30"/>
        <v>BasOIS</v>
      </c>
      <c r="K77" s="105" t="str">
        <f t="shared" si="31"/>
        <v>--</v>
      </c>
      <c r="L77" s="108" t="str">
        <f>IFERROR(_xll.qlRateHelperQuoteName(K77,Trigger),"--")</f>
        <v>--</v>
      </c>
      <c r="M77" s="109" t="str">
        <f>IFERROR(_xll.qlRateHelperQuoteValue($K77,Trigger),"--")</f>
        <v>--</v>
      </c>
      <c r="N77" s="108" t="b">
        <v>0</v>
      </c>
      <c r="O77" s="105">
        <v>60</v>
      </c>
      <c r="P77" s="105">
        <v>1</v>
      </c>
      <c r="Q77" s="110" t="str">
        <f>IFERROR(_xll.qlRateHelperEarliestDate(K77,Trigger),"--")</f>
        <v>--</v>
      </c>
      <c r="R77" s="110" t="str">
        <f>IFERROR(_xll.qlRateHelperPillarDate(K77,Trigger),"--")</f>
        <v>--</v>
      </c>
      <c r="T77" s="4" t="str">
        <f t="shared" si="19"/>
        <v/>
      </c>
      <c r="U77" s="4" t="e">
        <v>#N/A</v>
      </c>
      <c r="V77" s="4" t="str">
        <f>IFERROR(_xll.qlRateHelperQuoteName(U77,Trigger),"")</f>
        <v/>
      </c>
      <c r="W77" s="75" t="str">
        <f>IFERROR(_xll.qlRateHelperRate(U77,Trigger),"")</f>
        <v/>
      </c>
      <c r="X77" s="115" t="str">
        <f>IF(ISERROR(_xll.qlSwapRateHelperSpread($U77)),IF(ISERROR(_xll.qlFuturesRateHelperConvexityAdjustment($U77)),"",_xll.qlFuturesRateHelperConvexityAdjustment($U77)),_xll.qlSwapRateHelperSpread($U77))</f>
        <v/>
      </c>
      <c r="Y77" s="5" t="str">
        <f>IFERROR(_xll.qlRateHelperEarliestDate(U77,Trigger),"")</f>
        <v/>
      </c>
      <c r="Z77" s="5" t="str">
        <f>IFERROR(_xll.qlRateHelperPillarDate(U77,Trigger),"")</f>
        <v/>
      </c>
      <c r="AA77" s="5" t="e">
        <v>#N/A</v>
      </c>
      <c r="AG77" s="198">
        <v>49208</v>
      </c>
      <c r="AH77" s="261">
        <v>6.3946708872257736E-3</v>
      </c>
      <c r="AI77" s="261">
        <v>1</v>
      </c>
      <c r="AJ77" s="198">
        <v>49116</v>
      </c>
      <c r="AK77" s="198">
        <v>49208</v>
      </c>
      <c r="AL77" s="200">
        <v>92</v>
      </c>
      <c r="AM77" s="201" t="str">
        <v>FedFundsON Actual/360</v>
      </c>
      <c r="AN77" s="200">
        <v>0</v>
      </c>
      <c r="AO77" s="198">
        <v>49207</v>
      </c>
      <c r="AP77" s="200" t="str">
        <v>Actual/360</v>
      </c>
      <c r="AQ77" s="202">
        <v>0.25555555555555554</v>
      </c>
      <c r="AR77" s="203">
        <v>2.5022625210883463E-2</v>
      </c>
      <c r="AS77" s="245">
        <f>_xll.qlDayCounterYearFraction("actual/365 (fixed)",Evaluationdate,AJ77,,,Trigger)</f>
        <v>18.273972602739725</v>
      </c>
      <c r="AT77" s="246">
        <f>_xll.qlDayCounterYearFraction("actual/365 (fixed)",Evaluationdate,AK77,,,Trigger)</f>
        <v>18.526027397260275</v>
      </c>
      <c r="AU77" s="246">
        <f>_xll.qlDayCounterYearFraction(AP77,AJ77,AK77,,,Trigger)</f>
        <v>0.25555555555555554</v>
      </c>
      <c r="AV77" s="247">
        <f>_xll.qlYieldTSDiscount("USDON",AJ77,,Trigger)</f>
        <v>0.73108277932519106</v>
      </c>
      <c r="AW77" s="247">
        <f>_xll.qlYieldTSDiscount("USDON",AK77,,Trigger)</f>
        <v>0.72715950483129055</v>
      </c>
      <c r="AX77" s="203">
        <f t="shared" si="20"/>
        <v>2.3219931642405554E-6</v>
      </c>
      <c r="AY77" s="203">
        <f t="shared" si="21"/>
        <v>-8.8486551419464377E-5</v>
      </c>
      <c r="AZ77" s="201" t="b">
        <f t="shared" si="22"/>
        <v>1</v>
      </c>
      <c r="BA77" s="195">
        <f t="shared" si="23"/>
        <v>2.474220931554301E-2</v>
      </c>
      <c r="BB77" s="248">
        <f t="shared" si="24"/>
        <v>0</v>
      </c>
      <c r="BC77" s="248">
        <f t="shared" si="25"/>
        <v>0</v>
      </c>
      <c r="BD77" s="193"/>
      <c r="BE77" s="193"/>
      <c r="BF77" s="193"/>
      <c r="BG77" s="193"/>
      <c r="BH77" s="193"/>
      <c r="BI77" s="193"/>
      <c r="BJ77" s="193"/>
      <c r="BK77" s="193"/>
      <c r="BL77" s="193"/>
    </row>
    <row r="78" spans="1:64" ht="11.25" customHeight="1" x14ac:dyDescent="0.2">
      <c r="A78" s="63" t="s">
        <v>164</v>
      </c>
      <c r="B78" s="64" t="s">
        <v>29</v>
      </c>
      <c r="C78" s="65">
        <v>2</v>
      </c>
      <c r="D78" s="65" t="s">
        <v>166</v>
      </c>
      <c r="E78" s="66" t="s">
        <v>163</v>
      </c>
      <c r="F78" s="68" t="str">
        <f t="shared" si="32"/>
        <v>USDAM3L1Y_Quote</v>
      </c>
      <c r="G78" s="68" t="str">
        <f t="shared" si="33"/>
        <v>USDFF3L1Y_Quote</v>
      </c>
      <c r="H78" s="69" t="str">
        <f>_xll.qlOISAARateHelper(,C78,B78,F78,E78,G78,D78,TRUE,$G$62,$H$62,,Permanent,Trigger,ObjectOverwrite)</f>
        <v>obj_00271#0460</v>
      </c>
      <c r="J78" s="11" t="str">
        <f t="shared" si="30"/>
        <v>BasOIS</v>
      </c>
      <c r="K78" s="105" t="str">
        <f t="shared" si="31"/>
        <v>--</v>
      </c>
      <c r="L78" s="108" t="str">
        <f>IFERROR(_xll.qlRateHelperQuoteName(K78,Trigger),"--")</f>
        <v>--</v>
      </c>
      <c r="M78" s="109" t="str">
        <f>IFERROR(_xll.qlRateHelperQuoteValue($K78,Trigger),"--")</f>
        <v>--</v>
      </c>
      <c r="N78" s="108" t="b">
        <v>0</v>
      </c>
      <c r="O78" s="105">
        <v>60</v>
      </c>
      <c r="P78" s="105">
        <v>1</v>
      </c>
      <c r="Q78" s="110" t="str">
        <f>IFERROR(_xll.qlRateHelperEarliestDate(K78,Trigger),"--")</f>
        <v>--</v>
      </c>
      <c r="R78" s="110" t="str">
        <f>IFERROR(_xll.qlRateHelperPillarDate(K78,Trigger),"--")</f>
        <v>--</v>
      </c>
      <c r="T78" s="4" t="str">
        <f t="shared" si="19"/>
        <v/>
      </c>
      <c r="U78" s="4" t="e">
        <v>#N/A</v>
      </c>
      <c r="V78" s="4" t="str">
        <f>IFERROR(_xll.qlRateHelperQuoteName(U78,Trigger),"")</f>
        <v/>
      </c>
      <c r="W78" s="75" t="str">
        <f>IFERROR(_xll.qlRateHelperRate(U78,Trigger),"")</f>
        <v/>
      </c>
      <c r="X78" s="115" t="str">
        <f>IF(ISERROR(_xll.qlSwapRateHelperSpread($U78)),IF(ISERROR(_xll.qlFuturesRateHelperConvexityAdjustment($U78)),"",_xll.qlFuturesRateHelperConvexityAdjustment($U78)),_xll.qlSwapRateHelperSpread($U78))</f>
        <v/>
      </c>
      <c r="Y78" s="5" t="str">
        <f>IFERROR(_xll.qlRateHelperEarliestDate(U78,Trigger),"")</f>
        <v/>
      </c>
      <c r="Z78" s="5" t="str">
        <f>IFERROR(_xll.qlRateHelperPillarDate(U78,Trigger),"")</f>
        <v/>
      </c>
      <c r="AA78" s="5" t="e">
        <v>#N/A</v>
      </c>
      <c r="AG78" s="198">
        <v>49299</v>
      </c>
      <c r="AH78" s="261">
        <v>6.2283885332797143E-3</v>
      </c>
      <c r="AI78" s="261">
        <v>1</v>
      </c>
      <c r="AJ78" s="198">
        <v>49208</v>
      </c>
      <c r="AK78" s="198">
        <v>49299</v>
      </c>
      <c r="AL78" s="200">
        <v>91</v>
      </c>
      <c r="AM78" s="201" t="str">
        <v>FedFundsON Actual/360</v>
      </c>
      <c r="AN78" s="200">
        <v>0</v>
      </c>
      <c r="AO78" s="198">
        <v>49298</v>
      </c>
      <c r="AP78" s="200" t="str">
        <v>Actual/360</v>
      </c>
      <c r="AQ78" s="202">
        <v>0.25277777777777777</v>
      </c>
      <c r="AR78" s="203">
        <v>2.4639778812974696E-2</v>
      </c>
      <c r="AS78" s="245">
        <f>_xll.qlDayCounterYearFraction("actual/365 (fixed)",Evaluationdate,AJ78,,,Trigger)</f>
        <v>18.526027397260275</v>
      </c>
      <c r="AT78" s="246">
        <f>_xll.qlDayCounterYearFraction("actual/365 (fixed)",Evaluationdate,AK78,,,Trigger)</f>
        <v>18.775342465753425</v>
      </c>
      <c r="AU78" s="246">
        <f>_xll.qlDayCounterYearFraction(AP78,AJ78,AK78,,,Trigger)</f>
        <v>0.25277777777777777</v>
      </c>
      <c r="AV78" s="247">
        <f>_xll.qlYieldTSDiscount("USDON",AJ78,,Trigger)</f>
        <v>0.72715950483129055</v>
      </c>
      <c r="AW78" s="247">
        <f>_xll.qlYieldTSDiscount("USDON",AK78,,Trigger)</f>
        <v>0.72330677701888346</v>
      </c>
      <c r="AX78" s="203">
        <f t="shared" si="20"/>
        <v>2.3031249906777172E-6</v>
      </c>
      <c r="AY78" s="203">
        <f t="shared" si="21"/>
        <v>-6.968314814059795E-7</v>
      </c>
      <c r="AZ78" s="201" t="b">
        <f t="shared" si="22"/>
        <v>1</v>
      </c>
      <c r="BA78" s="195">
        <f t="shared" si="23"/>
        <v>2.4702055538279449E-2</v>
      </c>
      <c r="BB78" s="248">
        <f t="shared" si="24"/>
        <v>0</v>
      </c>
      <c r="BC78" s="248">
        <f t="shared" si="25"/>
        <v>0</v>
      </c>
      <c r="BD78" s="193"/>
      <c r="BE78" s="193"/>
      <c r="BF78" s="193"/>
      <c r="BG78" s="193"/>
      <c r="BH78" s="193"/>
      <c r="BI78" s="193"/>
      <c r="BJ78" s="193"/>
      <c r="BK78" s="193"/>
      <c r="BL78" s="193"/>
    </row>
    <row r="79" spans="1:64" ht="11.25" customHeight="1" x14ac:dyDescent="0.2">
      <c r="A79" s="63" t="s">
        <v>164</v>
      </c>
      <c r="B79" s="64" t="s">
        <v>61</v>
      </c>
      <c r="C79" s="65">
        <v>2</v>
      </c>
      <c r="D79" s="65" t="s">
        <v>166</v>
      </c>
      <c r="E79" s="66" t="s">
        <v>163</v>
      </c>
      <c r="F79" s="68" t="str">
        <f t="shared" si="32"/>
        <v>USDAM3L13M_Quote</v>
      </c>
      <c r="G79" s="68" t="str">
        <f t="shared" si="33"/>
        <v>USDFF3L13M_Quote</v>
      </c>
      <c r="H79" s="69"/>
      <c r="J79" s="11" t="str">
        <f t="shared" si="30"/>
        <v>BasOIS</v>
      </c>
      <c r="K79" s="105" t="str">
        <f t="shared" si="31"/>
        <v>--</v>
      </c>
      <c r="L79" s="108" t="str">
        <f>IFERROR(_xll.qlRateHelperQuoteName(K79,Trigger),"--")</f>
        <v>--</v>
      </c>
      <c r="M79" s="109" t="str">
        <f>IFERROR(_xll.qlRateHelperQuoteValue($K79,Trigger),"--")</f>
        <v>--</v>
      </c>
      <c r="N79" s="108" t="b">
        <v>0</v>
      </c>
      <c r="O79" s="105">
        <v>60</v>
      </c>
      <c r="P79" s="105">
        <v>1</v>
      </c>
      <c r="Q79" s="110" t="str">
        <f>IFERROR(_xll.qlRateHelperEarliestDate(K79,Trigger),"--")</f>
        <v>--</v>
      </c>
      <c r="R79" s="110" t="str">
        <f>IFERROR(_xll.qlRateHelperPillarDate(K79,Trigger),"--")</f>
        <v>--</v>
      </c>
      <c r="T79" s="4" t="str">
        <f t="shared" si="19"/>
        <v/>
      </c>
      <c r="U79" s="4" t="e">
        <v>#N/A</v>
      </c>
      <c r="V79" s="4" t="str">
        <f>IFERROR(_xll.qlRateHelperQuoteName(U79,Trigger),"")</f>
        <v/>
      </c>
      <c r="W79" s="75" t="str">
        <f>IFERROR(_xll.qlRateHelperRate(U79,Trigger),"")</f>
        <v/>
      </c>
      <c r="X79" s="115" t="str">
        <f>IF(ISERROR(_xll.qlSwapRateHelperSpread($U79)),IF(ISERROR(_xll.qlFuturesRateHelperConvexityAdjustment($U79)),"",_xll.qlFuturesRateHelperConvexityAdjustment($U79)),_xll.qlSwapRateHelperSpread($U79))</f>
        <v/>
      </c>
      <c r="Y79" s="5" t="str">
        <f>IFERROR(_xll.qlRateHelperEarliestDate(U79,Trigger),"")</f>
        <v/>
      </c>
      <c r="Z79" s="5" t="str">
        <f>IFERROR(_xll.qlRateHelperPillarDate(U79,Trigger),"")</f>
        <v/>
      </c>
      <c r="AA79" s="5" t="e">
        <v>#N/A</v>
      </c>
      <c r="AG79" s="198">
        <v>49389</v>
      </c>
      <c r="AH79" s="261">
        <v>6.2529025958433307E-3</v>
      </c>
      <c r="AI79" s="261">
        <v>1</v>
      </c>
      <c r="AJ79" s="198">
        <v>49299</v>
      </c>
      <c r="AK79" s="198">
        <v>49389</v>
      </c>
      <c r="AL79" s="200">
        <v>90</v>
      </c>
      <c r="AM79" s="201" t="str">
        <v>FedFundsON Actual/360</v>
      </c>
      <c r="AN79" s="200">
        <v>0</v>
      </c>
      <c r="AO79" s="198">
        <v>49388</v>
      </c>
      <c r="AP79" s="200" t="str">
        <v>Actual/360</v>
      </c>
      <c r="AQ79" s="202">
        <v>0.25</v>
      </c>
      <c r="AR79" s="203">
        <v>2.5011610383373323E-2</v>
      </c>
      <c r="AS79" s="245">
        <f>_xll.qlDayCounterYearFraction("actual/365 (fixed)",Evaluationdate,AJ79,,,Trigger)</f>
        <v>18.775342465753425</v>
      </c>
      <c r="AT79" s="246">
        <f>_xll.qlDayCounterYearFraction("actual/365 (fixed)",Evaluationdate,AK79,,,Trigger)</f>
        <v>19.021917808219179</v>
      </c>
      <c r="AU79" s="246">
        <f>_xll.qlDayCounterYearFraction(AP79,AJ79,AK79,,,Trigger)</f>
        <v>0.25</v>
      </c>
      <c r="AV79" s="247">
        <f>_xll.qlYieldTSDiscount("USDON",AJ79,,Trigger)</f>
        <v>0.72330677701888346</v>
      </c>
      <c r="AW79" s="247">
        <f>_xll.qlYieldTSDiscount("USDON",AK79,,Trigger)</f>
        <v>0.71952457258072999</v>
      </c>
      <c r="AX79" s="203">
        <f t="shared" si="20"/>
        <v>2.2831025223514846E-6</v>
      </c>
      <c r="AY79" s="203">
        <f t="shared" si="21"/>
        <v>-1.049203501857221E-4</v>
      </c>
      <c r="AZ79" s="201" t="b">
        <f t="shared" si="22"/>
        <v>1</v>
      </c>
      <c r="BA79" s="195">
        <f t="shared" si="23"/>
        <v>2.4656130766252039E-2</v>
      </c>
      <c r="BB79" s="248">
        <f t="shared" si="24"/>
        <v>0</v>
      </c>
      <c r="BC79" s="248">
        <f t="shared" si="25"/>
        <v>0</v>
      </c>
      <c r="BD79" s="193"/>
      <c r="BE79" s="193"/>
      <c r="BF79" s="193"/>
      <c r="BG79" s="193"/>
      <c r="BH79" s="193"/>
      <c r="BI79" s="193"/>
      <c r="BJ79" s="193"/>
      <c r="BK79" s="193"/>
      <c r="BL79" s="193"/>
    </row>
    <row r="80" spans="1:64" ht="11.25" customHeight="1" x14ac:dyDescent="0.2">
      <c r="A80" s="63" t="s">
        <v>164</v>
      </c>
      <c r="B80" s="64" t="s">
        <v>62</v>
      </c>
      <c r="C80" s="65">
        <v>2</v>
      </c>
      <c r="D80" s="65" t="s">
        <v>166</v>
      </c>
      <c r="E80" s="66" t="s">
        <v>163</v>
      </c>
      <c r="F80" s="68" t="str">
        <f t="shared" si="32"/>
        <v>USDAM3L14M_Quote</v>
      </c>
      <c r="G80" s="68" t="str">
        <f t="shared" si="33"/>
        <v>USDFF3L14M_Quote</v>
      </c>
      <c r="H80" s="69"/>
      <c r="J80" s="11" t="str">
        <f t="shared" si="30"/>
        <v>BasOIS</v>
      </c>
      <c r="K80" s="105" t="str">
        <f t="shared" si="31"/>
        <v>--</v>
      </c>
      <c r="L80" s="108" t="str">
        <f>IFERROR(_xll.qlRateHelperQuoteName(K80,Trigger),"--")</f>
        <v>--</v>
      </c>
      <c r="M80" s="109" t="str">
        <f>IFERROR(_xll.qlRateHelperQuoteValue($K80,Trigger),"--")</f>
        <v>--</v>
      </c>
      <c r="N80" s="108" t="b">
        <v>0</v>
      </c>
      <c r="O80" s="105">
        <v>60</v>
      </c>
      <c r="P80" s="105">
        <v>1</v>
      </c>
      <c r="Q80" s="110" t="str">
        <f>IFERROR(_xll.qlRateHelperEarliestDate(K80,Trigger),"--")</f>
        <v>--</v>
      </c>
      <c r="R80" s="110" t="str">
        <f>IFERROR(_xll.qlRateHelperPillarDate(K80,Trigger),"--")</f>
        <v>--</v>
      </c>
      <c r="T80" s="4" t="str">
        <f t="shared" si="19"/>
        <v/>
      </c>
      <c r="U80" s="4" t="e">
        <v>#N/A</v>
      </c>
      <c r="V80" s="4" t="str">
        <f>IFERROR(_xll.qlRateHelperQuoteName(U80,Trigger),"")</f>
        <v/>
      </c>
      <c r="W80" s="75" t="str">
        <f>IFERROR(_xll.qlRateHelperRate(U80,Trigger),"")</f>
        <v/>
      </c>
      <c r="X80" s="115" t="str">
        <f>IF(ISERROR(_xll.qlSwapRateHelperSpread($U80)),IF(ISERROR(_xll.qlFuturesRateHelperConvexityAdjustment($U80)),"",_xll.qlFuturesRateHelperConvexityAdjustment($U80)),_xll.qlSwapRateHelperSpread($U80))</f>
        <v/>
      </c>
      <c r="Y80" s="5" t="str">
        <f>IFERROR(_xll.qlRateHelperEarliestDate(U80,Trigger),"")</f>
        <v/>
      </c>
      <c r="Z80" s="5" t="str">
        <f>IFERROR(_xll.qlRateHelperPillarDate(U80,Trigger),"")</f>
        <v/>
      </c>
      <c r="AA80" s="5" t="e">
        <v>#N/A</v>
      </c>
      <c r="AG80" s="198">
        <v>49481</v>
      </c>
      <c r="AH80" s="261">
        <v>6.3598455687070635E-3</v>
      </c>
      <c r="AI80" s="261">
        <v>1</v>
      </c>
      <c r="AJ80" s="198">
        <v>49389</v>
      </c>
      <c r="AK80" s="198">
        <v>49481</v>
      </c>
      <c r="AL80" s="200">
        <v>92</v>
      </c>
      <c r="AM80" s="201" t="str">
        <v>FedFundsON Actual/360</v>
      </c>
      <c r="AN80" s="200">
        <v>0</v>
      </c>
      <c r="AO80" s="198">
        <v>49480</v>
      </c>
      <c r="AP80" s="200" t="str">
        <v>Actual/360</v>
      </c>
      <c r="AQ80" s="202">
        <v>0.25555555555555554</v>
      </c>
      <c r="AR80" s="203">
        <v>2.4886352225375469E-2</v>
      </c>
      <c r="AS80" s="245">
        <f>_xll.qlDayCounterYearFraction("actual/365 (fixed)",Evaluationdate,AJ80,,,Trigger)</f>
        <v>19.021917808219179</v>
      </c>
      <c r="AT80" s="246">
        <f>_xll.qlDayCounterYearFraction("actual/365 (fixed)",Evaluationdate,AK80,,,Trigger)</f>
        <v>19.273972602739725</v>
      </c>
      <c r="AU80" s="246">
        <f>_xll.qlDayCounterYearFraction(AP80,AJ80,AK80,,,Trigger)</f>
        <v>0.25555555555555554</v>
      </c>
      <c r="AV80" s="247">
        <f>_xll.qlYieldTSDiscount("USDON",AJ80,,Trigger)</f>
        <v>0.71952457258072999</v>
      </c>
      <c r="AW80" s="247">
        <f>_xll.qlYieldTSDiscount("USDON",AK80,,Trigger)</f>
        <v>0.71568818462244121</v>
      </c>
      <c r="AX80" s="203">
        <f t="shared" si="20"/>
        <v>2.4170330730784068E-6</v>
      </c>
      <c r="AY80" s="203">
        <f t="shared" si="21"/>
        <v>-8.8493656846821978E-5</v>
      </c>
      <c r="AZ80" s="201" t="b">
        <f t="shared" si="22"/>
        <v>1</v>
      </c>
      <c r="BA80" s="195">
        <f t="shared" si="23"/>
        <v>2.4605549412178927E-2</v>
      </c>
      <c r="BB80" s="248">
        <f t="shared" si="24"/>
        <v>0</v>
      </c>
      <c r="BC80" s="248">
        <f t="shared" si="25"/>
        <v>0</v>
      </c>
      <c r="BD80" s="193"/>
      <c r="BE80" s="193"/>
      <c r="BF80" s="193"/>
      <c r="BG80" s="193"/>
      <c r="BH80" s="193"/>
      <c r="BI80" s="193"/>
      <c r="BJ80" s="193"/>
      <c r="BK80" s="193"/>
      <c r="BL80" s="193"/>
    </row>
    <row r="81" spans="1:63" x14ac:dyDescent="0.2">
      <c r="A81" s="63" t="s">
        <v>164</v>
      </c>
      <c r="B81" s="64" t="s">
        <v>63</v>
      </c>
      <c r="C81" s="65">
        <v>2</v>
      </c>
      <c r="D81" s="65" t="s">
        <v>166</v>
      </c>
      <c r="E81" s="66" t="s">
        <v>163</v>
      </c>
      <c r="F81" s="68" t="str">
        <f t="shared" si="32"/>
        <v>USDAM3L15M_Quote</v>
      </c>
      <c r="G81" s="68" t="str">
        <f t="shared" si="33"/>
        <v>USDFF3L15M_Quote</v>
      </c>
      <c r="H81" s="69"/>
      <c r="J81" s="11" t="str">
        <f t="shared" si="30"/>
        <v>BasOIS</v>
      </c>
      <c r="K81" s="105" t="str">
        <f t="shared" si="31"/>
        <v>--</v>
      </c>
      <c r="L81" s="108" t="str">
        <f>IFERROR(_xll.qlRateHelperQuoteName(K81,Trigger),"--")</f>
        <v>--</v>
      </c>
      <c r="M81" s="109" t="str">
        <f>IFERROR(_xll.qlRateHelperQuoteValue($K81,Trigger),"--")</f>
        <v>--</v>
      </c>
      <c r="N81" s="108" t="b">
        <v>0</v>
      </c>
      <c r="O81" s="105">
        <v>60</v>
      </c>
      <c r="P81" s="105">
        <v>1</v>
      </c>
      <c r="Q81" s="110" t="str">
        <f>IFERROR(_xll.qlRateHelperEarliestDate(K81,Trigger),"--")</f>
        <v>--</v>
      </c>
      <c r="R81" s="110" t="str">
        <f>IFERROR(_xll.qlRateHelperPillarDate(K81,Trigger),"--")</f>
        <v>--</v>
      </c>
      <c r="T81" s="4" t="str">
        <f t="shared" si="19"/>
        <v/>
      </c>
      <c r="U81" s="4" t="e">
        <v>#N/A</v>
      </c>
      <c r="V81" s="4" t="str">
        <f>IFERROR(_xll.qlRateHelperQuoteName(U81,Trigger),"")</f>
        <v/>
      </c>
      <c r="W81" s="75" t="str">
        <f>IFERROR(_xll.qlRateHelperRate(U81,Trigger),"")</f>
        <v/>
      </c>
      <c r="X81" s="115" t="str">
        <f>IF(ISERROR(_xll.qlSwapRateHelperSpread($U81)),IF(ISERROR(_xll.qlFuturesRateHelperConvexityAdjustment($U81)),"",_xll.qlFuturesRateHelperConvexityAdjustment($U81)),_xll.qlSwapRateHelperSpread($U81))</f>
        <v/>
      </c>
      <c r="Y81" s="5" t="str">
        <f>IFERROR(_xll.qlRateHelperEarliestDate(U81,Trigger),"")</f>
        <v/>
      </c>
      <c r="Z81" s="5" t="str">
        <f>IFERROR(_xll.qlRateHelperPillarDate(U81,Trigger),"")</f>
        <v/>
      </c>
      <c r="AA81" s="5" t="e">
        <v>#N/A</v>
      </c>
      <c r="AG81" s="198">
        <v>49573</v>
      </c>
      <c r="AH81" s="261">
        <v>6.3448825070005566E-3</v>
      </c>
      <c r="AI81" s="261">
        <v>1</v>
      </c>
      <c r="AJ81" s="198">
        <v>49481</v>
      </c>
      <c r="AK81" s="198">
        <v>49573</v>
      </c>
      <c r="AL81" s="200">
        <v>92</v>
      </c>
      <c r="AM81" s="201" t="str">
        <v>FedFundsON Actual/360</v>
      </c>
      <c r="AN81" s="200">
        <v>0</v>
      </c>
      <c r="AO81" s="198">
        <v>49572</v>
      </c>
      <c r="AP81" s="200" t="str">
        <v>Actual/360</v>
      </c>
      <c r="AQ81" s="202">
        <v>0.25555555555555554</v>
      </c>
      <c r="AR81" s="203">
        <v>2.4827801114350005E-2</v>
      </c>
      <c r="AS81" s="245">
        <f>_xll.qlDayCounterYearFraction("actual/365 (fixed)",Evaluationdate,AJ81,,,Trigger)</f>
        <v>19.273972602739725</v>
      </c>
      <c r="AT81" s="246">
        <f>_xll.qlDayCounterYearFraction("actual/365 (fixed)",Evaluationdate,AK81,,,Trigger)</f>
        <v>19.526027397260275</v>
      </c>
      <c r="AU81" s="246">
        <f>_xll.qlDayCounterYearFraction(AP81,AJ81,AK81,,,Trigger)</f>
        <v>0.25555555555555554</v>
      </c>
      <c r="AV81" s="247">
        <f>_xll.qlYieldTSDiscount("USDON",AJ81,,Trigger)</f>
        <v>0.71568818462244121</v>
      </c>
      <c r="AW81" s="247">
        <f>_xll.qlYieldTSDiscount("USDON",AK81,,Trigger)</f>
        <v>0.71188287567019526</v>
      </c>
      <c r="AX81" s="203">
        <f t="shared" si="20"/>
        <v>2.4490612062627268E-6</v>
      </c>
      <c r="AY81" s="203">
        <f t="shared" si="21"/>
        <v>-8.8486551419464377E-5</v>
      </c>
      <c r="AZ81" s="201" t="b">
        <f t="shared" si="22"/>
        <v>1</v>
      </c>
      <c r="BA81" s="195">
        <f t="shared" si="23"/>
        <v>2.45468388329824E-2</v>
      </c>
      <c r="BB81" s="248">
        <f t="shared" si="24"/>
        <v>0</v>
      </c>
      <c r="BC81" s="248">
        <f t="shared" si="25"/>
        <v>0</v>
      </c>
      <c r="BD81" s="193"/>
      <c r="BE81" s="193"/>
      <c r="BF81" s="193"/>
      <c r="BG81" s="193"/>
      <c r="BH81" s="193"/>
      <c r="BI81" s="193"/>
      <c r="BJ81" s="193"/>
      <c r="BK81" s="193"/>
    </row>
    <row r="82" spans="1:63" x14ac:dyDescent="0.2">
      <c r="A82" s="63" t="s">
        <v>164</v>
      </c>
      <c r="B82" s="64" t="s">
        <v>64</v>
      </c>
      <c r="C82" s="65">
        <v>2</v>
      </c>
      <c r="D82" s="65" t="s">
        <v>166</v>
      </c>
      <c r="E82" s="66" t="s">
        <v>163</v>
      </c>
      <c r="F82" s="68" t="str">
        <f t="shared" si="32"/>
        <v>USDAM3L16M_Quote</v>
      </c>
      <c r="G82" s="68" t="str">
        <f t="shared" si="33"/>
        <v>USDFF3L16M_Quote</v>
      </c>
      <c r="H82" s="69"/>
      <c r="J82" s="11" t="str">
        <f t="shared" si="30"/>
        <v>BasOIS</v>
      </c>
      <c r="K82" s="105" t="str">
        <f t="shared" si="31"/>
        <v>--</v>
      </c>
      <c r="L82" s="108" t="str">
        <f>IFERROR(_xll.qlRateHelperQuoteName(K82,Trigger),"--")</f>
        <v>--</v>
      </c>
      <c r="M82" s="109" t="str">
        <f>IFERROR(_xll.qlRateHelperQuoteValue($K82,Trigger),"--")</f>
        <v>--</v>
      </c>
      <c r="N82" s="108" t="b">
        <v>0</v>
      </c>
      <c r="O82" s="105">
        <v>60</v>
      </c>
      <c r="P82" s="105">
        <v>1</v>
      </c>
      <c r="Q82" s="110" t="str">
        <f>IFERROR(_xll.qlRateHelperEarliestDate(K82,Trigger),"--")</f>
        <v>--</v>
      </c>
      <c r="R82" s="110" t="str">
        <f>IFERROR(_xll.qlRateHelperPillarDate(K82,Trigger),"--")</f>
        <v>--</v>
      </c>
      <c r="T82" s="4" t="str">
        <f t="shared" si="19"/>
        <v/>
      </c>
      <c r="U82" s="4" t="e">
        <v>#N/A</v>
      </c>
      <c r="V82" s="4" t="str">
        <f>IFERROR(_xll.qlRateHelperQuoteName(U82,Trigger),"")</f>
        <v/>
      </c>
      <c r="W82" s="75" t="str">
        <f>IFERROR(_xll.qlRateHelperRate(U82,Trigger),"")</f>
        <v/>
      </c>
      <c r="X82" s="115" t="str">
        <f>IF(ISERROR(_xll.qlSwapRateHelperSpread($U82)),IF(ISERROR(_xll.qlFuturesRateHelperConvexityAdjustment($U82)),"",_xll.qlFuturesRateHelperConvexityAdjustment($U82)),_xll.qlSwapRateHelperSpread($U82))</f>
        <v/>
      </c>
      <c r="Y82" s="5" t="str">
        <f>IFERROR(_xll.qlRateHelperEarliestDate(U82,Trigger),"")</f>
        <v/>
      </c>
      <c r="Z82" s="5" t="str">
        <f>IFERROR(_xll.qlRateHelperPillarDate(U82,Trigger),"")</f>
        <v/>
      </c>
      <c r="AA82" s="5" t="e">
        <v>#N/A</v>
      </c>
      <c r="AG82" s="198">
        <v>49664</v>
      </c>
      <c r="AH82" s="261">
        <v>6.1728121234524607E-3</v>
      </c>
      <c r="AI82" s="261">
        <v>1</v>
      </c>
      <c r="AJ82" s="198">
        <v>49573</v>
      </c>
      <c r="AK82" s="198">
        <v>49664</v>
      </c>
      <c r="AL82" s="200">
        <v>91</v>
      </c>
      <c r="AM82" s="201" t="str">
        <v>FedFundsON Actual/360</v>
      </c>
      <c r="AN82" s="200">
        <v>0</v>
      </c>
      <c r="AO82" s="198">
        <v>49663</v>
      </c>
      <c r="AP82" s="200" t="str">
        <v>Actual/360</v>
      </c>
      <c r="AQ82" s="202">
        <v>0.25277777777777777</v>
      </c>
      <c r="AR82" s="203">
        <v>2.4419916092778965E-2</v>
      </c>
      <c r="AS82" s="245">
        <f>_xll.qlDayCounterYearFraction("actual/365 (fixed)",Evaluationdate,AJ82,,,Trigger)</f>
        <v>19.526027397260275</v>
      </c>
      <c r="AT82" s="246">
        <f>_xll.qlDayCounterYearFraction("actual/365 (fixed)",Evaluationdate,AK82,,,Trigger)</f>
        <v>19.775342465753425</v>
      </c>
      <c r="AU82" s="246">
        <f>_xll.qlDayCounterYearFraction(AP82,AJ82,AK82,,,Trigger)</f>
        <v>0.25277777777777777</v>
      </c>
      <c r="AV82" s="247">
        <f>_xll.qlYieldTSDiscount("USDON",AJ82,,Trigger)</f>
        <v>0.71188287567019526</v>
      </c>
      <c r="AW82" s="247">
        <f>_xll.qlYieldTSDiscount("USDON",AK82,,Trigger)</f>
        <v>0.70815035574085594</v>
      </c>
      <c r="AX82" s="203">
        <f t="shared" si="20"/>
        <v>2.427445759105724E-6</v>
      </c>
      <c r="AY82" s="203">
        <f t="shared" si="21"/>
        <v>-6.968314814059795E-7</v>
      </c>
      <c r="AZ82" s="201" t="b">
        <f t="shared" si="22"/>
        <v>1</v>
      </c>
      <c r="BA82" s="195">
        <f t="shared" si="23"/>
        <v>2.4481522261579867E-2</v>
      </c>
      <c r="BB82" s="248">
        <f t="shared" si="24"/>
        <v>0</v>
      </c>
      <c r="BC82" s="248">
        <f t="shared" si="25"/>
        <v>0</v>
      </c>
      <c r="BD82" s="193"/>
      <c r="BE82" s="193"/>
      <c r="BF82" s="193"/>
      <c r="BG82" s="193"/>
      <c r="BH82" s="193"/>
      <c r="BI82" s="193"/>
      <c r="BJ82" s="193"/>
      <c r="BK82" s="193"/>
    </row>
    <row r="83" spans="1:63" x14ac:dyDescent="0.2">
      <c r="A83" s="63" t="s">
        <v>164</v>
      </c>
      <c r="B83" s="64" t="s">
        <v>65</v>
      </c>
      <c r="C83" s="65">
        <v>2</v>
      </c>
      <c r="D83" s="65" t="s">
        <v>166</v>
      </c>
      <c r="E83" s="66" t="s">
        <v>163</v>
      </c>
      <c r="F83" s="68" t="str">
        <f t="shared" si="32"/>
        <v>USDAM3L17M_Quote</v>
      </c>
      <c r="G83" s="68" t="str">
        <f t="shared" si="33"/>
        <v>USDFF3L17M_Quote</v>
      </c>
      <c r="H83" s="69"/>
      <c r="J83" s="11" t="str">
        <f t="shared" si="30"/>
        <v>BasOIS</v>
      </c>
      <c r="K83" s="105" t="str">
        <f t="shared" si="31"/>
        <v>--</v>
      </c>
      <c r="L83" s="108" t="str">
        <f>IFERROR(_xll.qlRateHelperQuoteName(K83,Trigger),"--")</f>
        <v>--</v>
      </c>
      <c r="M83" s="109" t="str">
        <f>IFERROR(_xll.qlRateHelperQuoteValue($K83,Trigger),"--")</f>
        <v>--</v>
      </c>
      <c r="N83" s="108" t="b">
        <v>0</v>
      </c>
      <c r="O83" s="105">
        <v>60</v>
      </c>
      <c r="P83" s="105">
        <v>1</v>
      </c>
      <c r="Q83" s="110" t="str">
        <f>IFERROR(_xll.qlRateHelperEarliestDate(K83,Trigger),"--")</f>
        <v>--</v>
      </c>
      <c r="R83" s="110" t="str">
        <f>IFERROR(_xll.qlRateHelperPillarDate(K83,Trigger),"--")</f>
        <v>--</v>
      </c>
      <c r="T83" s="4" t="str">
        <f t="shared" si="19"/>
        <v/>
      </c>
      <c r="U83" s="4" t="e">
        <v>#N/A</v>
      </c>
      <c r="V83" s="4" t="str">
        <f>IFERROR(_xll.qlRateHelperQuoteName(U83,Trigger),"")</f>
        <v/>
      </c>
      <c r="W83" s="75" t="str">
        <f>IFERROR(_xll.qlRateHelperRate(U83,Trigger),"")</f>
        <v/>
      </c>
      <c r="X83" s="115" t="str">
        <f>IF(ISERROR(_xll.qlSwapRateHelperSpread($U83)),IF(ISERROR(_xll.qlFuturesRateHelperConvexityAdjustment($U83)),"",_xll.qlFuturesRateHelperConvexityAdjustment($U83)),_xll.qlSwapRateHelperSpread($U83))</f>
        <v/>
      </c>
      <c r="Y83" s="5" t="str">
        <f>IFERROR(_xll.qlRateHelperEarliestDate(U83,Trigger),"")</f>
        <v/>
      </c>
      <c r="Z83" s="5" t="str">
        <f>IFERROR(_xll.qlRateHelperPillarDate(U83,Trigger),"")</f>
        <v/>
      </c>
      <c r="AA83" s="5" t="e">
        <v>#N/A</v>
      </c>
      <c r="AG83" s="198">
        <v>49755</v>
      </c>
      <c r="AH83" s="261">
        <v>6.1550232553688683E-3</v>
      </c>
      <c r="AI83" s="261">
        <v>1</v>
      </c>
      <c r="AJ83" s="198">
        <v>49664</v>
      </c>
      <c r="AK83" s="198">
        <v>49755</v>
      </c>
      <c r="AL83" s="200">
        <v>91</v>
      </c>
      <c r="AM83" s="201" t="str">
        <v>FedFundsON Actual/360</v>
      </c>
      <c r="AN83" s="200">
        <v>0</v>
      </c>
      <c r="AO83" s="198">
        <v>49754</v>
      </c>
      <c r="AP83" s="200" t="str">
        <v>Actual/360</v>
      </c>
      <c r="AQ83" s="202">
        <v>0.25277777777777777</v>
      </c>
      <c r="AR83" s="203">
        <v>2.4349542548712008E-2</v>
      </c>
      <c r="AS83" s="245">
        <f>_xll.qlDayCounterYearFraction("actual/365 (fixed)",Evaluationdate,AJ83,,,Trigger)</f>
        <v>19.775342465753425</v>
      </c>
      <c r="AT83" s="246">
        <f>_xll.qlDayCounterYearFraction("actual/365 (fixed)",Evaluationdate,AK83,,,Trigger)</f>
        <v>20.024657534246575</v>
      </c>
      <c r="AU83" s="246">
        <f>_xll.qlDayCounterYearFraction(AP83,AJ83,AK83,,,Trigger)</f>
        <v>0.25277777777777777</v>
      </c>
      <c r="AV83" s="247">
        <f>_xll.qlYieldTSDiscount("USDON",AJ83,,Trigger)</f>
        <v>0.70815035574085594</v>
      </c>
      <c r="AW83" s="247">
        <f>_xll.qlYieldTSDiscount("USDON",AK83,,Trigger)</f>
        <v>0.70444991545332936</v>
      </c>
      <c r="AX83" s="203">
        <f t="shared" si="20"/>
        <v>2.4584408387200565E-6</v>
      </c>
      <c r="AY83" s="203">
        <f t="shared" si="21"/>
        <v>-6.968314814059795E-7</v>
      </c>
      <c r="AZ83" s="201" t="b">
        <f t="shared" si="22"/>
        <v>1</v>
      </c>
      <c r="BA83" s="195">
        <f t="shared" si="23"/>
        <v>2.4410901683763503E-2</v>
      </c>
      <c r="BB83" s="248">
        <f t="shared" si="24"/>
        <v>0</v>
      </c>
      <c r="BC83" s="248">
        <f t="shared" si="25"/>
        <v>0</v>
      </c>
      <c r="BD83" s="193"/>
      <c r="BE83" s="193"/>
      <c r="BF83" s="193"/>
      <c r="BG83" s="193"/>
      <c r="BH83" s="193"/>
      <c r="BI83" s="193"/>
      <c r="BJ83" s="193"/>
      <c r="BK83" s="193"/>
    </row>
    <row r="84" spans="1:63" x14ac:dyDescent="0.2">
      <c r="A84" s="63" t="s">
        <v>164</v>
      </c>
      <c r="B84" s="64" t="s">
        <v>66</v>
      </c>
      <c r="C84" s="65">
        <v>2</v>
      </c>
      <c r="D84" s="65" t="s">
        <v>166</v>
      </c>
      <c r="E84" s="66" t="s">
        <v>163</v>
      </c>
      <c r="F84" s="68" t="str">
        <f t="shared" si="32"/>
        <v>USDAM3L18M_Quote</v>
      </c>
      <c r="G84" s="68" t="str">
        <f t="shared" si="33"/>
        <v>USDFF3L18M_Quote</v>
      </c>
      <c r="H84" s="69"/>
      <c r="J84" s="11" t="str">
        <f t="shared" si="30"/>
        <v>BasOIS</v>
      </c>
      <c r="K84" s="105" t="str">
        <f t="shared" si="31"/>
        <v>--</v>
      </c>
      <c r="L84" s="108" t="str">
        <f>IFERROR(_xll.qlRateHelperQuoteName(K84,Trigger),"--")</f>
        <v>--</v>
      </c>
      <c r="M84" s="109" t="str">
        <f>IFERROR(_xll.qlRateHelperQuoteValue($K84,Trigger),"--")</f>
        <v>--</v>
      </c>
      <c r="N84" s="108" t="b">
        <v>0</v>
      </c>
      <c r="O84" s="105">
        <v>60</v>
      </c>
      <c r="P84" s="105">
        <v>1</v>
      </c>
      <c r="Q84" s="110" t="str">
        <f>IFERROR(_xll.qlRateHelperEarliestDate(K84,Trigger),"--")</f>
        <v>--</v>
      </c>
      <c r="R84" s="110" t="str">
        <f>IFERROR(_xll.qlRateHelperPillarDate(K84,Trigger),"--")</f>
        <v>--</v>
      </c>
      <c r="T84" s="4" t="str">
        <f t="shared" si="19"/>
        <v/>
      </c>
      <c r="U84" s="4" t="e">
        <v>#N/A</v>
      </c>
      <c r="V84" s="4" t="str">
        <f>IFERROR(_xll.qlRateHelperQuoteName(U84,Trigger),"")</f>
        <v/>
      </c>
      <c r="W84" s="75" t="str">
        <f>IFERROR(_xll.qlRateHelperRate(U84,Trigger),"")</f>
        <v/>
      </c>
      <c r="X84" s="115" t="str">
        <f>IF(ISERROR(_xll.qlSwapRateHelperSpread($U84)),IF(ISERROR(_xll.qlFuturesRateHelperConvexityAdjustment($U84)),"",_xll.qlFuturesRateHelperConvexityAdjustment($U84)),_xll.qlSwapRateHelperSpread($U84))</f>
        <v/>
      </c>
      <c r="Y84" s="5" t="str">
        <f>IFERROR(_xll.qlRateHelperEarliestDate(U84,Trigger),"")</f>
        <v/>
      </c>
      <c r="Z84" s="5" t="str">
        <f>IFERROR(_xll.qlRateHelperPillarDate(U84,Trigger),"")</f>
        <v/>
      </c>
      <c r="AA84" s="5" t="e">
        <v>#N/A</v>
      </c>
      <c r="AG84" s="198">
        <v>49849</v>
      </c>
      <c r="AH84" s="261">
        <v>6.2892634828609238E-3</v>
      </c>
      <c r="AI84" s="261">
        <v>1</v>
      </c>
      <c r="AJ84" s="198">
        <v>49755</v>
      </c>
      <c r="AK84" s="198">
        <v>49849</v>
      </c>
      <c r="AL84" s="200">
        <v>94</v>
      </c>
      <c r="AM84" s="201" t="str">
        <v>FedFundsON Actual/360</v>
      </c>
      <c r="AN84" s="200">
        <v>0</v>
      </c>
      <c r="AO84" s="198">
        <v>49846</v>
      </c>
      <c r="AP84" s="200" t="str">
        <v>Actual/360</v>
      </c>
      <c r="AQ84" s="202">
        <v>0.26111111111111113</v>
      </c>
      <c r="AR84" s="203">
        <v>2.408654099819077E-2</v>
      </c>
      <c r="AS84" s="245">
        <f>_xll.qlDayCounterYearFraction("actual/365 (fixed)",Evaluationdate,AJ84,,,Trigger)</f>
        <v>20.024657534246575</v>
      </c>
      <c r="AT84" s="246">
        <f>_xll.qlDayCounterYearFraction("actual/365 (fixed)",Evaluationdate,AK84,,,Trigger)</f>
        <v>20.282191780821918</v>
      </c>
      <c r="AU84" s="246">
        <f>_xll.qlDayCounterYearFraction(AP84,AJ84,AK84,,,Trigger)</f>
        <v>0.26111111111111113</v>
      </c>
      <c r="AV84" s="247">
        <f>_xll.qlYieldTSDiscount("USDON",AJ84,,Trigger)</f>
        <v>0.70444991545332936</v>
      </c>
      <c r="AW84" s="247">
        <f>_xll.qlYieldTSDiscount("USDON",AK84,,Trigger)</f>
        <v>0.70066165679173065</v>
      </c>
      <c r="AX84" s="203">
        <f t="shared" si="20"/>
        <v>2.6562801670748705E-6</v>
      </c>
      <c r="AY84" s="203">
        <f t="shared" si="21"/>
        <v>4.8037462896388661E-5</v>
      </c>
      <c r="AZ84" s="201" t="b">
        <f t="shared" si="22"/>
        <v>1</v>
      </c>
      <c r="BA84" s="195">
        <f t="shared" si="23"/>
        <v>2.4336462985107492E-2</v>
      </c>
      <c r="BB84" s="248">
        <f t="shared" si="24"/>
        <v>0</v>
      </c>
      <c r="BC84" s="248">
        <f t="shared" si="25"/>
        <v>0</v>
      </c>
      <c r="BD84" s="193"/>
      <c r="BE84" s="193"/>
      <c r="BF84" s="193"/>
      <c r="BG84" s="193"/>
      <c r="BH84" s="193"/>
      <c r="BI84" s="193"/>
      <c r="BJ84" s="193"/>
      <c r="BK84" s="193"/>
    </row>
    <row r="85" spans="1:63" x14ac:dyDescent="0.2">
      <c r="A85" s="63" t="s">
        <v>164</v>
      </c>
      <c r="B85" s="64" t="s">
        <v>67</v>
      </c>
      <c r="C85" s="65">
        <v>2</v>
      </c>
      <c r="D85" s="65" t="s">
        <v>166</v>
      </c>
      <c r="E85" s="66" t="s">
        <v>163</v>
      </c>
      <c r="F85" s="68" t="str">
        <f t="shared" si="32"/>
        <v>USDAM3L19M_Quote</v>
      </c>
      <c r="G85" s="68" t="str">
        <f t="shared" si="33"/>
        <v>USDFF3L19M_Quote</v>
      </c>
      <c r="H85" s="69"/>
      <c r="J85" s="11" t="str">
        <f t="shared" si="30"/>
        <v>BasOIS</v>
      </c>
      <c r="K85" s="105" t="str">
        <f t="shared" si="31"/>
        <v>--</v>
      </c>
      <c r="L85" s="108" t="str">
        <f>IFERROR(_xll.qlRateHelperQuoteName(K85,Trigger),"--")</f>
        <v>--</v>
      </c>
      <c r="M85" s="109" t="str">
        <f>IFERROR(_xll.qlRateHelperQuoteValue($K85,Trigger),"--")</f>
        <v>--</v>
      </c>
      <c r="N85" s="108" t="b">
        <v>0</v>
      </c>
      <c r="O85" s="105">
        <v>60</v>
      </c>
      <c r="P85" s="105">
        <v>1</v>
      </c>
      <c r="Q85" s="110" t="str">
        <f>IFERROR(_xll.qlRateHelperEarliestDate(K85,Trigger),"--")</f>
        <v>--</v>
      </c>
      <c r="R85" s="110" t="str">
        <f>IFERROR(_xll.qlRateHelperPillarDate(K85,Trigger),"--")</f>
        <v>--</v>
      </c>
      <c r="T85" s="4" t="str">
        <f t="shared" si="19"/>
        <v/>
      </c>
      <c r="U85" s="4" t="e">
        <v>#N/A</v>
      </c>
      <c r="V85" s="4" t="str">
        <f>IFERROR(_xll.qlRateHelperQuoteName(U85,Trigger),"")</f>
        <v/>
      </c>
      <c r="W85" s="75" t="str">
        <f>IFERROR(_xll.qlRateHelperRate(U85,Trigger),"")</f>
        <v/>
      </c>
      <c r="X85" s="115" t="str">
        <f>IF(ISERROR(_xll.qlSwapRateHelperSpread($U85)),IF(ISERROR(_xll.qlFuturesRateHelperConvexityAdjustment($U85)),"",_xll.qlFuturesRateHelperConvexityAdjustment($U85)),_xll.qlSwapRateHelperSpread($U85))</f>
        <v/>
      </c>
      <c r="Y85" s="5" t="str">
        <f>IFERROR(_xll.qlRateHelperEarliestDate(U85,Trigger),"")</f>
        <v/>
      </c>
      <c r="Z85" s="5" t="str">
        <f>IFERROR(_xll.qlRateHelperPillarDate(U85,Trigger),"")</f>
        <v/>
      </c>
      <c r="AA85" s="5" t="e">
        <v>#N/A</v>
      </c>
      <c r="AG85" s="198">
        <v>49940</v>
      </c>
      <c r="AH85" s="261">
        <v>6.1174198374929368E-3</v>
      </c>
      <c r="AI85" s="261">
        <v>1</v>
      </c>
      <c r="AJ85" s="198">
        <v>49849</v>
      </c>
      <c r="AK85" s="198">
        <v>49940</v>
      </c>
      <c r="AL85" s="200">
        <v>91</v>
      </c>
      <c r="AM85" s="201" t="str">
        <v>FedFundsON Actual/360</v>
      </c>
      <c r="AN85" s="200">
        <v>0</v>
      </c>
      <c r="AO85" s="198">
        <v>49937</v>
      </c>
      <c r="AP85" s="200" t="str">
        <v>Actual/360</v>
      </c>
      <c r="AQ85" s="202">
        <v>0.25277777777777777</v>
      </c>
      <c r="AR85" s="203">
        <v>2.4200781774697332E-2</v>
      </c>
      <c r="AS85" s="245">
        <f>_xll.qlDayCounterYearFraction("actual/365 (fixed)",Evaluationdate,AJ85,,,Trigger)</f>
        <v>20.282191780821918</v>
      </c>
      <c r="AT85" s="246">
        <f>_xll.qlDayCounterYearFraction("actual/365 (fixed)",Evaluationdate,AK85,,,Trigger)</f>
        <v>20.531506849315068</v>
      </c>
      <c r="AU85" s="246">
        <f>_xll.qlDayCounterYearFraction(AP85,AJ85,AK85,,,Trigger)</f>
        <v>0.25277777777777777</v>
      </c>
      <c r="AV85" s="247">
        <f>_xll.qlYieldTSDiscount("USDON",AJ85,,Trigger)</f>
        <v>0.70066165679173065</v>
      </c>
      <c r="AW85" s="247">
        <f>_xll.qlYieldTSDiscount("USDON",AK85,,Trigger)</f>
        <v>0.69702651487405731</v>
      </c>
      <c r="AX85" s="203">
        <f t="shared" si="20"/>
        <v>2.5214528614138869E-6</v>
      </c>
      <c r="AY85" s="203">
        <f t="shared" si="21"/>
        <v>-6.968314814059795E-7</v>
      </c>
      <c r="AZ85" s="201" t="b">
        <f t="shared" si="22"/>
        <v>1</v>
      </c>
      <c r="BA85" s="195">
        <f t="shared" si="23"/>
        <v>2.4261612866796081E-2</v>
      </c>
      <c r="BB85" s="248">
        <f t="shared" si="24"/>
        <v>0</v>
      </c>
      <c r="BC85" s="248">
        <f t="shared" si="25"/>
        <v>0</v>
      </c>
      <c r="BD85" s="193"/>
      <c r="BE85" s="193"/>
      <c r="BF85" s="193"/>
      <c r="BG85" s="193"/>
      <c r="BH85" s="193"/>
      <c r="BI85" s="193"/>
      <c r="BJ85" s="193"/>
      <c r="BK85" s="193"/>
    </row>
    <row r="86" spans="1:63" x14ac:dyDescent="0.2">
      <c r="A86" s="63" t="s">
        <v>164</v>
      </c>
      <c r="B86" s="64" t="s">
        <v>68</v>
      </c>
      <c r="C86" s="65">
        <v>2</v>
      </c>
      <c r="D86" s="65" t="s">
        <v>166</v>
      </c>
      <c r="E86" s="66" t="s">
        <v>163</v>
      </c>
      <c r="F86" s="68" t="str">
        <f t="shared" si="32"/>
        <v>USDAM3L20M_Quote</v>
      </c>
      <c r="G86" s="68" t="str">
        <f t="shared" si="33"/>
        <v>USDFF3L20M_Quote</v>
      </c>
      <c r="H86" s="69"/>
      <c r="J86" s="11" t="str">
        <f t="shared" si="30"/>
        <v>BasOIS</v>
      </c>
      <c r="K86" s="105" t="str">
        <f t="shared" si="31"/>
        <v>obj_00274#0460</v>
      </c>
      <c r="L86" s="108" t="str">
        <f>IFERROR(_xll.qlRateHelperQuoteName(K86,Trigger),"--")</f>
        <v>USDAM3L2Y_Quote</v>
      </c>
      <c r="M86" s="109">
        <f>IFERROR(_xll.qlRateHelperQuoteValue($K86,Trigger),"--")</f>
        <v>9.0200000000000002E-3</v>
      </c>
      <c r="N86" s="108" t="b">
        <v>1</v>
      </c>
      <c r="O86" s="105">
        <v>60</v>
      </c>
      <c r="P86" s="105">
        <v>1</v>
      </c>
      <c r="Q86" s="110">
        <f>IFERROR(_xll.qlRateHelperEarliestDate(K86,Trigger),"--")</f>
        <v>42450</v>
      </c>
      <c r="R86" s="110">
        <f>IFERROR(_xll.qlRateHelperPillarDate(K86,Trigger),"--")</f>
        <v>43180</v>
      </c>
      <c r="T86" s="4" t="str">
        <f t="shared" si="19"/>
        <v/>
      </c>
      <c r="U86" s="4" t="e">
        <v>#N/A</v>
      </c>
      <c r="V86" s="4" t="str">
        <f>IFERROR(_xll.qlRateHelperQuoteName(U86,Trigger),"")</f>
        <v/>
      </c>
      <c r="W86" s="75" t="str">
        <f>IFERROR(_xll.qlRateHelperRate(U86,Trigger),"")</f>
        <v/>
      </c>
      <c r="X86" s="115" t="str">
        <f>IF(ISERROR(_xll.qlSwapRateHelperSpread($U86)),IF(ISERROR(_xll.qlFuturesRateHelperConvexityAdjustment($U86)),"",_xll.qlFuturesRateHelperConvexityAdjustment($U86)),_xll.qlSwapRateHelperSpread($U86))</f>
        <v/>
      </c>
      <c r="Y86" s="5" t="str">
        <f>IFERROR(_xll.qlRateHelperEarliestDate(U86,Trigger),"")</f>
        <v/>
      </c>
      <c r="Z86" s="5" t="str">
        <f>IFERROR(_xll.qlRateHelperPillarDate(U86,Trigger),"")</f>
        <v/>
      </c>
      <c r="AA86" s="5" t="e">
        <v>#N/A</v>
      </c>
      <c r="AG86" s="198">
        <v>50031</v>
      </c>
      <c r="AH86" s="261">
        <v>6.1005514286404244E-3</v>
      </c>
      <c r="AI86" s="261">
        <v>1</v>
      </c>
      <c r="AJ86" s="198">
        <v>49940</v>
      </c>
      <c r="AK86" s="198">
        <v>50031</v>
      </c>
      <c r="AL86" s="200">
        <v>91</v>
      </c>
      <c r="AM86" s="201" t="str">
        <v>FedFundsON Actual/360</v>
      </c>
      <c r="AN86" s="200">
        <v>0</v>
      </c>
      <c r="AO86" s="198">
        <v>50028</v>
      </c>
      <c r="AP86" s="200" t="str">
        <v>Actual/360</v>
      </c>
      <c r="AQ86" s="202">
        <v>0.25277777777777777</v>
      </c>
      <c r="AR86" s="203">
        <v>2.4134049607808274E-2</v>
      </c>
      <c r="AS86" s="245">
        <f>_xll.qlDayCounterYearFraction("actual/365 (fixed)",Evaluationdate,AJ86,,,Trigger)</f>
        <v>20.531506849315068</v>
      </c>
      <c r="AT86" s="246">
        <f>_xll.qlDayCounterYearFraction("actual/365 (fixed)",Evaluationdate,AK86,,,Trigger)</f>
        <v>20.780821917808218</v>
      </c>
      <c r="AU86" s="246">
        <f>_xll.qlDayCounterYearFraction(AP86,AJ86,AK86,,,Trigger)</f>
        <v>0.25277777777777777</v>
      </c>
      <c r="AV86" s="247">
        <f>_xll.qlYieldTSDiscount("USDON",AJ86,,Trigger)</f>
        <v>0.69702651487405731</v>
      </c>
      <c r="AW86" s="247">
        <f>_xll.qlYieldTSDiscount("USDON",AK86,,Trigger)</f>
        <v>0.69342190797267833</v>
      </c>
      <c r="AX86" s="203">
        <f t="shared" si="20"/>
        <v>2.5524479879131134E-6</v>
      </c>
      <c r="AY86" s="203">
        <f t="shared" si="21"/>
        <v>-6.968314814059795E-7</v>
      </c>
      <c r="AZ86" s="201" t="b">
        <f t="shared" si="22"/>
        <v>1</v>
      </c>
      <c r="BA86" s="195">
        <f t="shared" si="23"/>
        <v>2.4194656498675825E-2</v>
      </c>
      <c r="BB86" s="248">
        <f t="shared" si="24"/>
        <v>0</v>
      </c>
      <c r="BC86" s="248">
        <f t="shared" si="25"/>
        <v>0</v>
      </c>
      <c r="BD86" s="193"/>
      <c r="BE86" s="193"/>
      <c r="BF86" s="193"/>
      <c r="BG86" s="193"/>
      <c r="BH86" s="193"/>
      <c r="BI86" s="193"/>
      <c r="BJ86" s="193"/>
      <c r="BK86" s="193"/>
    </row>
    <row r="87" spans="1:63" x14ac:dyDescent="0.2">
      <c r="A87" s="63" t="s">
        <v>164</v>
      </c>
      <c r="B87" s="64" t="s">
        <v>69</v>
      </c>
      <c r="C87" s="65">
        <v>2</v>
      </c>
      <c r="D87" s="65" t="s">
        <v>166</v>
      </c>
      <c r="E87" s="66" t="s">
        <v>163</v>
      </c>
      <c r="F87" s="68" t="str">
        <f t="shared" si="32"/>
        <v>USDAM3L21M_Quote</v>
      </c>
      <c r="G87" s="68" t="str">
        <f t="shared" si="33"/>
        <v>USDFF3L21M_Quote</v>
      </c>
      <c r="H87" s="69"/>
      <c r="J87" s="11" t="str">
        <f t="shared" si="30"/>
        <v>BasOIS</v>
      </c>
      <c r="K87" s="105" t="str">
        <f t="shared" si="31"/>
        <v>--</v>
      </c>
      <c r="L87" s="108" t="str">
        <f>IFERROR(_xll.qlRateHelperQuoteName(K87,Trigger),"--")</f>
        <v>--</v>
      </c>
      <c r="M87" s="109" t="str">
        <f>IFERROR(_xll.qlRateHelperQuoteValue($K87,Trigger),"--")</f>
        <v>--</v>
      </c>
      <c r="N87" s="108" t="b">
        <v>0</v>
      </c>
      <c r="O87" s="105">
        <v>60</v>
      </c>
      <c r="P87" s="105">
        <v>1</v>
      </c>
      <c r="Q87" s="110" t="str">
        <f>IFERROR(_xll.qlRateHelperEarliestDate(K87,Trigger),"--")</f>
        <v>--</v>
      </c>
      <c r="R87" s="110" t="str">
        <f>IFERROR(_xll.qlRateHelperPillarDate(K87,Trigger),"--")</f>
        <v>--</v>
      </c>
      <c r="T87" s="4" t="str">
        <f t="shared" si="19"/>
        <v/>
      </c>
      <c r="U87" s="4" t="e">
        <v>#N/A</v>
      </c>
      <c r="V87" s="4" t="str">
        <f>IFERROR(_xll.qlRateHelperQuoteName(U87,Trigger),"")</f>
        <v/>
      </c>
      <c r="W87" s="75" t="str">
        <f>IFERROR(_xll.qlRateHelperRate(U87,Trigger),"")</f>
        <v/>
      </c>
      <c r="X87" s="115" t="str">
        <f>IF(ISERROR(_xll.qlSwapRateHelperSpread($U87)),IF(ISERROR(_xll.qlFuturesRateHelperConvexityAdjustment($U87)),"",_xll.qlFuturesRateHelperConvexityAdjustment($U87)),_xll.qlSwapRateHelperSpread($U87))</f>
        <v/>
      </c>
      <c r="Y87" s="5" t="str">
        <f>IFERROR(_xll.qlRateHelperEarliestDate(U87,Trigger),"")</f>
        <v/>
      </c>
      <c r="Z87" s="5" t="str">
        <f>IFERROR(_xll.qlRateHelperPillarDate(U87,Trigger),"")</f>
        <v/>
      </c>
      <c r="AA87" s="5" t="e">
        <v>#N/A</v>
      </c>
      <c r="AG87" s="198">
        <v>50122</v>
      </c>
      <c r="AH87" s="261">
        <v>6.0849079004687166E-3</v>
      </c>
      <c r="AI87" s="261">
        <v>1</v>
      </c>
      <c r="AJ87" s="198">
        <v>50031</v>
      </c>
      <c r="AK87" s="198">
        <v>50122</v>
      </c>
      <c r="AL87" s="200">
        <v>91</v>
      </c>
      <c r="AM87" s="201" t="str">
        <v>FedFundsON Actual/360</v>
      </c>
      <c r="AN87" s="200">
        <v>0</v>
      </c>
      <c r="AO87" s="198">
        <v>50119</v>
      </c>
      <c r="AP87" s="200" t="str">
        <v>Actual/360</v>
      </c>
      <c r="AQ87" s="202">
        <v>0.25277777777777777</v>
      </c>
      <c r="AR87" s="203">
        <v>2.4072163122733387E-2</v>
      </c>
      <c r="AS87" s="245">
        <f>_xll.qlDayCounterYearFraction("actual/365 (fixed)",Evaluationdate,AJ87,,,Trigger)</f>
        <v>20.780821917808218</v>
      </c>
      <c r="AT87" s="246">
        <f>_xll.qlDayCounterYearFraction("actual/365 (fixed)",Evaluationdate,AK87,,,Trigger)</f>
        <v>21.030136986301368</v>
      </c>
      <c r="AU87" s="246">
        <f>_xll.qlDayCounterYearFraction(AP87,AJ87,AK87,,,Trigger)</f>
        <v>0.25277777777777777</v>
      </c>
      <c r="AV87" s="247">
        <f>_xll.qlYieldTSDiscount("USDON",AJ87,,Trigger)</f>
        <v>0.69342190797267833</v>
      </c>
      <c r="AW87" s="247">
        <f>_xll.qlYieldTSDiscount("USDON",AK87,,Trigger)</f>
        <v>0.68984671212652704</v>
      </c>
      <c r="AX87" s="203">
        <f t="shared" si="20"/>
        <v>2.5834431298566131E-6</v>
      </c>
      <c r="AY87" s="203">
        <f t="shared" si="21"/>
        <v>-6.968314814059795E-7</v>
      </c>
      <c r="AZ87" s="201" t="b">
        <f t="shared" si="22"/>
        <v>1</v>
      </c>
      <c r="BA87" s="195">
        <f t="shared" si="23"/>
        <v>2.4132572050015073E-2</v>
      </c>
      <c r="BB87" s="248">
        <f t="shared" si="24"/>
        <v>0</v>
      </c>
      <c r="BC87" s="248">
        <f t="shared" si="25"/>
        <v>0</v>
      </c>
      <c r="BD87" s="193"/>
      <c r="BE87" s="193"/>
      <c r="BF87" s="193"/>
      <c r="BG87" s="193"/>
      <c r="BH87" s="193"/>
      <c r="BI87" s="193"/>
      <c r="BJ87" s="193"/>
      <c r="BK87" s="193"/>
    </row>
    <row r="88" spans="1:63" x14ac:dyDescent="0.2">
      <c r="A88" s="63" t="s">
        <v>164</v>
      </c>
      <c r="B88" s="64" t="s">
        <v>70</v>
      </c>
      <c r="C88" s="65">
        <v>2</v>
      </c>
      <c r="D88" s="65" t="s">
        <v>166</v>
      </c>
      <c r="E88" s="66" t="s">
        <v>163</v>
      </c>
      <c r="F88" s="68" t="str">
        <f t="shared" si="32"/>
        <v>USDAM3L22M_Quote</v>
      </c>
      <c r="G88" s="68" t="str">
        <f t="shared" si="33"/>
        <v>USDFF3L22M_Quote</v>
      </c>
      <c r="H88" s="69"/>
      <c r="J88" s="11" t="str">
        <f t="shared" si="30"/>
        <v>BasOIS</v>
      </c>
      <c r="K88" s="105" t="str">
        <f t="shared" si="31"/>
        <v>--</v>
      </c>
      <c r="L88" s="108" t="str">
        <f>IFERROR(_xll.qlRateHelperQuoteName(K88,Trigger),"--")</f>
        <v>--</v>
      </c>
      <c r="M88" s="109" t="str">
        <f>IFERROR(_xll.qlRateHelperQuoteValue($K88,Trigger),"--")</f>
        <v>--</v>
      </c>
      <c r="N88" s="108" t="b">
        <v>0</v>
      </c>
      <c r="O88" s="105">
        <v>60</v>
      </c>
      <c r="P88" s="105">
        <v>1</v>
      </c>
      <c r="Q88" s="110" t="str">
        <f>IFERROR(_xll.qlRateHelperEarliestDate(K88,Trigger),"--")</f>
        <v>--</v>
      </c>
      <c r="R88" s="110" t="str">
        <f>IFERROR(_xll.qlRateHelperPillarDate(K88,Trigger),"--")</f>
        <v>--</v>
      </c>
      <c r="T88" s="4" t="str">
        <f t="shared" si="19"/>
        <v/>
      </c>
      <c r="U88" s="4" t="e">
        <v>#N/A</v>
      </c>
      <c r="V88" s="4" t="str">
        <f>IFERROR(_xll.qlRateHelperQuoteName(U88,Trigger),"")</f>
        <v/>
      </c>
      <c r="W88" s="75" t="str">
        <f>IFERROR(_xll.qlRateHelperRate(U88,Trigger),"")</f>
        <v/>
      </c>
      <c r="X88" s="115" t="str">
        <f>IF(ISERROR(_xll.qlSwapRateHelperSpread($U88)),IF(ISERROR(_xll.qlFuturesRateHelperConvexityAdjustment($U88)),"",_xll.qlFuturesRateHelperConvexityAdjustment($U88)),_xll.qlSwapRateHelperSpread($U88))</f>
        <v/>
      </c>
      <c r="Y88" s="5" t="str">
        <f>IFERROR(_xll.qlRateHelperEarliestDate(U88,Trigger),"")</f>
        <v/>
      </c>
      <c r="Z88" s="5" t="str">
        <f>IFERROR(_xll.qlRateHelperPillarDate(U88,Trigger),"")</f>
        <v/>
      </c>
      <c r="AA88" s="5" t="e">
        <v>#N/A</v>
      </c>
      <c r="AG88" s="198">
        <v>50213</v>
      </c>
      <c r="AH88" s="261">
        <v>6.0704821475504635E-3</v>
      </c>
      <c r="AI88" s="261">
        <v>1</v>
      </c>
      <c r="AJ88" s="198">
        <v>50122</v>
      </c>
      <c r="AK88" s="198">
        <v>50213</v>
      </c>
      <c r="AL88" s="200">
        <v>91</v>
      </c>
      <c r="AM88" s="201" t="str">
        <v>FedFundsON Actual/360</v>
      </c>
      <c r="AN88" s="200">
        <v>0</v>
      </c>
      <c r="AO88" s="198">
        <v>50210</v>
      </c>
      <c r="AP88" s="200" t="str">
        <v>Actual/360</v>
      </c>
      <c r="AQ88" s="202">
        <v>0.25277777777777777</v>
      </c>
      <c r="AR88" s="203">
        <v>2.4015094210089745E-2</v>
      </c>
      <c r="AS88" s="245">
        <f>_xll.qlDayCounterYearFraction("actual/365 (fixed)",Evaluationdate,AJ88,,,Trigger)</f>
        <v>21.030136986301368</v>
      </c>
      <c r="AT88" s="246">
        <f>_xll.qlDayCounterYearFraction("actual/365 (fixed)",Evaluationdate,AK88,,,Trigger)</f>
        <v>21.279452054794522</v>
      </c>
      <c r="AU88" s="246">
        <f>_xll.qlDayCounterYearFraction(AP88,AJ88,AK88,,,Trigger)</f>
        <v>0.25277777777777777</v>
      </c>
      <c r="AV88" s="247">
        <f>_xll.qlYieldTSDiscount("USDON",AJ88,,Trigger)</f>
        <v>0.68984671212652704</v>
      </c>
      <c r="AW88" s="247">
        <f>_xll.qlYieldTSDiscount("USDON",AK88,,Trigger)</f>
        <v>0.68629982371118792</v>
      </c>
      <c r="AX88" s="203">
        <f t="shared" si="20"/>
        <v>2.6144382872581888E-6</v>
      </c>
      <c r="AY88" s="203">
        <f t="shared" si="21"/>
        <v>-6.897260540483785E-7</v>
      </c>
      <c r="AZ88" s="201" t="b">
        <f t="shared" si="22"/>
        <v>1</v>
      </c>
      <c r="BA88" s="195">
        <f t="shared" si="23"/>
        <v>2.4075359292660505E-2</v>
      </c>
      <c r="BB88" s="248">
        <f t="shared" si="24"/>
        <v>0</v>
      </c>
      <c r="BC88" s="248">
        <f t="shared" si="25"/>
        <v>0</v>
      </c>
      <c r="BD88" s="193"/>
      <c r="BE88" s="193"/>
      <c r="BF88" s="193"/>
      <c r="BG88" s="193"/>
      <c r="BH88" s="193"/>
      <c r="BI88" s="193"/>
      <c r="BJ88" s="193"/>
      <c r="BK88" s="193"/>
    </row>
    <row r="89" spans="1:63" x14ac:dyDescent="0.2">
      <c r="A89" s="63" t="s">
        <v>164</v>
      </c>
      <c r="B89" s="64" t="s">
        <v>71</v>
      </c>
      <c r="C89" s="65">
        <v>2</v>
      </c>
      <c r="D89" s="65" t="s">
        <v>166</v>
      </c>
      <c r="E89" s="66" t="s">
        <v>163</v>
      </c>
      <c r="F89" s="68" t="str">
        <f t="shared" si="32"/>
        <v>USDAM3L23M_Quote</v>
      </c>
      <c r="G89" s="68" t="str">
        <f t="shared" si="33"/>
        <v>USDFF3L23M_Quote</v>
      </c>
      <c r="H89" s="69"/>
      <c r="J89" s="11" t="str">
        <f t="shared" si="30"/>
        <v>BasOIS</v>
      </c>
      <c r="K89" s="105" t="str">
        <f t="shared" si="31"/>
        <v>--</v>
      </c>
      <c r="L89" s="108" t="str">
        <f>IFERROR(_xll.qlRateHelperQuoteName(K89,Trigger),"--")</f>
        <v>--</v>
      </c>
      <c r="M89" s="109" t="str">
        <f>IFERROR(_xll.qlRateHelperQuoteValue($K89,Trigger),"--")</f>
        <v>--</v>
      </c>
      <c r="N89" s="108" t="b">
        <v>0</v>
      </c>
      <c r="O89" s="105">
        <v>60</v>
      </c>
      <c r="P89" s="105">
        <v>1</v>
      </c>
      <c r="Q89" s="110" t="str">
        <f>IFERROR(_xll.qlRateHelperEarliestDate(K89,Trigger),"--")</f>
        <v>--</v>
      </c>
      <c r="R89" s="110" t="str">
        <f>IFERROR(_xll.qlRateHelperPillarDate(K89,Trigger),"--")</f>
        <v>--</v>
      </c>
      <c r="T89" s="4" t="str">
        <f t="shared" si="19"/>
        <v/>
      </c>
      <c r="U89" s="4" t="e">
        <v>#N/A</v>
      </c>
      <c r="V89" s="4" t="str">
        <f>IFERROR(_xll.qlRateHelperQuoteName(U89,Trigger),"")</f>
        <v/>
      </c>
      <c r="W89" s="75" t="str">
        <f>IFERROR(_xll.qlRateHelperRate(U89,Trigger),"")</f>
        <v/>
      </c>
      <c r="X89" s="115" t="str">
        <f>IF(ISERROR(_xll.qlSwapRateHelperSpread($U89)),IF(ISERROR(_xll.qlFuturesRateHelperConvexityAdjustment($U89)),"",_xll.qlFuturesRateHelperConvexityAdjustment($U89)),_xll.qlSwapRateHelperSpread($U89))</f>
        <v/>
      </c>
      <c r="Y89" s="5" t="str">
        <f>IFERROR(_xll.qlRateHelperEarliestDate(U89,Trigger),"")</f>
        <v/>
      </c>
      <c r="Z89" s="5" t="str">
        <f>IFERROR(_xll.qlRateHelperPillarDate(U89,Trigger),"")</f>
        <v/>
      </c>
      <c r="AA89" s="5" t="e">
        <v>#N/A</v>
      </c>
      <c r="AG89" s="198">
        <v>50304</v>
      </c>
      <c r="AH89" s="261">
        <v>6.0572954861674777E-3</v>
      </c>
      <c r="AI89" s="261">
        <v>1</v>
      </c>
      <c r="AJ89" s="198">
        <v>50213</v>
      </c>
      <c r="AK89" s="198">
        <v>50304</v>
      </c>
      <c r="AL89" s="200">
        <v>91</v>
      </c>
      <c r="AM89" s="201" t="str">
        <v>FedFundsON Actual/360</v>
      </c>
      <c r="AN89" s="200">
        <v>0</v>
      </c>
      <c r="AO89" s="198">
        <v>50301</v>
      </c>
      <c r="AP89" s="200" t="str">
        <v>Actual/360</v>
      </c>
      <c r="AQ89" s="202">
        <v>0.25277777777777777</v>
      </c>
      <c r="AR89" s="203">
        <v>2.3962927198025188E-2</v>
      </c>
      <c r="AS89" s="245">
        <f>_xll.qlDayCounterYearFraction("actual/365 (fixed)",Evaluationdate,AJ89,,,Trigger)</f>
        <v>21.279452054794522</v>
      </c>
      <c r="AT89" s="246">
        <f>_xll.qlDayCounterYearFraction("actual/365 (fixed)",Evaluationdate,AK89,,,Trigger)</f>
        <v>21.528767123287672</v>
      </c>
      <c r="AU89" s="246">
        <f>_xll.qlDayCounterYearFraction(AP89,AJ89,AK89,,,Trigger)</f>
        <v>0.25277777777777777</v>
      </c>
      <c r="AV89" s="247">
        <f>_xll.qlYieldTSDiscount("USDON",AJ89,,Trigger)</f>
        <v>0.68629982371118792</v>
      </c>
      <c r="AW89" s="247">
        <f>_xll.qlYieldTSDiscount("USDON",AK89,,Trigger)</f>
        <v>0.68278015905640588</v>
      </c>
      <c r="AX89" s="203">
        <f t="shared" si="20"/>
        <v>2.6454334601178387E-6</v>
      </c>
      <c r="AY89" s="203">
        <f t="shared" si="21"/>
        <v>-6.968314814059795E-7</v>
      </c>
      <c r="AZ89" s="201" t="b">
        <f t="shared" si="22"/>
        <v>1</v>
      </c>
      <c r="BA89" s="195">
        <f t="shared" si="23"/>
        <v>2.4023018016362731E-2</v>
      </c>
      <c r="BB89" s="248">
        <f t="shared" si="24"/>
        <v>0</v>
      </c>
      <c r="BC89" s="248">
        <f t="shared" si="25"/>
        <v>0</v>
      </c>
      <c r="BD89" s="193"/>
      <c r="BE89" s="193"/>
      <c r="BF89" s="193"/>
      <c r="BG89" s="193"/>
      <c r="BH89" s="193"/>
      <c r="BI89" s="193"/>
      <c r="BJ89" s="193"/>
      <c r="BK89" s="193"/>
    </row>
    <row r="90" spans="1:63" x14ac:dyDescent="0.2">
      <c r="A90" s="63" t="s">
        <v>164</v>
      </c>
      <c r="B90" s="64" t="s">
        <v>72</v>
      </c>
      <c r="C90" s="65">
        <v>2</v>
      </c>
      <c r="D90" s="65" t="s">
        <v>166</v>
      </c>
      <c r="E90" s="66" t="s">
        <v>163</v>
      </c>
      <c r="F90" s="68" t="str">
        <f t="shared" si="32"/>
        <v>USDAM3L2Y_Quote</v>
      </c>
      <c r="G90" s="68" t="str">
        <f t="shared" si="33"/>
        <v>USDFF3L2Y_Quote</v>
      </c>
      <c r="H90" s="69" t="str">
        <f>_xll.qlOISAARateHelper(,C90,B90,F90,E90,G90,D90,TRUE,$G$62,$H$62,,Permanent,Trigger,ObjectOverwrite)</f>
        <v>obj_00274#0460</v>
      </c>
      <c r="J90" s="11" t="str">
        <f t="shared" si="30"/>
        <v>BasOIS</v>
      </c>
      <c r="K90" s="105" t="str">
        <f t="shared" si="31"/>
        <v>obj_00277#0459</v>
      </c>
      <c r="L90" s="108" t="str">
        <f>IFERROR(_xll.qlRateHelperQuoteName(K90,Trigger),"--")</f>
        <v>USDAM3L3Y_Quote</v>
      </c>
      <c r="M90" s="109">
        <f>IFERROR(_xll.qlRateHelperQuoteValue($K90,Trigger),"--")</f>
        <v>1.0369999999999999E-2</v>
      </c>
      <c r="N90" s="108" t="b">
        <v>1</v>
      </c>
      <c r="O90" s="105">
        <v>60</v>
      </c>
      <c r="P90" s="105">
        <v>1</v>
      </c>
      <c r="Q90" s="110">
        <f>IFERROR(_xll.qlRateHelperEarliestDate(K90,Trigger),"--")</f>
        <v>42450</v>
      </c>
      <c r="R90" s="110">
        <f>IFERROR(_xll.qlRateHelperPillarDate(K90,Trigger),"--")</f>
        <v>43545</v>
      </c>
      <c r="T90" s="4" t="str">
        <f t="shared" si="19"/>
        <v/>
      </c>
      <c r="U90" s="4" t="e">
        <v>#N/A</v>
      </c>
      <c r="V90" s="4" t="str">
        <f>IFERROR(_xll.qlRateHelperQuoteName(U90,Trigger),"")</f>
        <v/>
      </c>
      <c r="W90" s="75" t="str">
        <f>IFERROR(_xll.qlRateHelperRate(U90,Trigger),"")</f>
        <v/>
      </c>
      <c r="X90" s="115" t="str">
        <f>IF(ISERROR(_xll.qlSwapRateHelperSpread($U90)),IF(ISERROR(_xll.qlFuturesRateHelperConvexityAdjustment($U90)),"",_xll.qlFuturesRateHelperConvexityAdjustment($U90)),_xll.qlSwapRateHelperSpread($U90))</f>
        <v/>
      </c>
      <c r="Y90" s="5" t="str">
        <f>IFERROR(_xll.qlRateHelperEarliestDate(U90,Trigger),"")</f>
        <v/>
      </c>
      <c r="Z90" s="5" t="str">
        <f>IFERROR(_xll.qlRateHelperPillarDate(U90,Trigger),"")</f>
        <v/>
      </c>
      <c r="AA90" s="5" t="e">
        <v>#N/A</v>
      </c>
      <c r="AG90" s="198">
        <v>50395</v>
      </c>
      <c r="AH90" s="261">
        <v>6.0453266000377133E-3</v>
      </c>
      <c r="AI90" s="261">
        <v>1</v>
      </c>
      <c r="AJ90" s="198">
        <v>50304</v>
      </c>
      <c r="AK90" s="198">
        <v>50395</v>
      </c>
      <c r="AL90" s="200">
        <v>91</v>
      </c>
      <c r="AM90" s="201" t="str">
        <v>FedFundsON Actual/360</v>
      </c>
      <c r="AN90" s="200">
        <v>0</v>
      </c>
      <c r="AO90" s="198">
        <v>50392</v>
      </c>
      <c r="AP90" s="200" t="str">
        <v>Actual/360</v>
      </c>
      <c r="AQ90" s="202">
        <v>0.25277777777777777</v>
      </c>
      <c r="AR90" s="203">
        <v>2.3915577758390955E-2</v>
      </c>
      <c r="AS90" s="245">
        <f>_xll.qlDayCounterYearFraction("actual/365 (fixed)",Evaluationdate,AJ90,,,Trigger)</f>
        <v>21.528767123287672</v>
      </c>
      <c r="AT90" s="246">
        <f>_xll.qlDayCounterYearFraction("actual/365 (fixed)",Evaluationdate,AK90,,,Trigger)</f>
        <v>21.778082191780822</v>
      </c>
      <c r="AU90" s="246">
        <f>_xll.qlDayCounterYearFraction(AP90,AJ90,AK90,,,Trigger)</f>
        <v>0.25277777777777777</v>
      </c>
      <c r="AV90" s="247">
        <f>_xll.qlYieldTSDiscount("USDON",AJ90,,Trigger)</f>
        <v>0.68278015905640588</v>
      </c>
      <c r="AW90" s="247">
        <f>_xll.qlYieldTSDiscount("USDON",AK90,,Trigger)</f>
        <v>0.67928665408035915</v>
      </c>
      <c r="AX90" s="203">
        <f t="shared" si="20"/>
        <v>2.6764286484217619E-6</v>
      </c>
      <c r="AY90" s="203">
        <f t="shared" si="21"/>
        <v>-6.968314814059795E-7</v>
      </c>
      <c r="AZ90" s="201" t="b">
        <f t="shared" si="22"/>
        <v>1</v>
      </c>
      <c r="BA90" s="195">
        <f t="shared" si="23"/>
        <v>2.3975548028777133E-2</v>
      </c>
      <c r="BB90" s="248">
        <f t="shared" si="24"/>
        <v>0</v>
      </c>
      <c r="BC90" s="248">
        <f t="shared" si="25"/>
        <v>0</v>
      </c>
      <c r="BD90" s="193"/>
      <c r="BE90" s="193"/>
      <c r="BF90" s="193"/>
      <c r="BG90" s="193"/>
      <c r="BH90" s="193"/>
      <c r="BI90" s="193"/>
      <c r="BJ90" s="193"/>
      <c r="BK90" s="193"/>
    </row>
    <row r="91" spans="1:63" x14ac:dyDescent="0.2">
      <c r="A91" s="63" t="s">
        <v>164</v>
      </c>
      <c r="B91" s="64" t="s">
        <v>73</v>
      </c>
      <c r="C91" s="65">
        <v>2</v>
      </c>
      <c r="D91" s="65" t="s">
        <v>166</v>
      </c>
      <c r="E91" s="66" t="s">
        <v>163</v>
      </c>
      <c r="F91" s="68" t="str">
        <f t="shared" si="32"/>
        <v>USDAM3L27M_Quote</v>
      </c>
      <c r="G91" s="68" t="str">
        <f t="shared" si="33"/>
        <v>USDFF3L27M_Quote</v>
      </c>
      <c r="H91" s="69"/>
      <c r="J91" s="11" t="str">
        <f t="shared" si="30"/>
        <v>BasOIS</v>
      </c>
      <c r="K91" s="105" t="str">
        <f t="shared" si="31"/>
        <v>--</v>
      </c>
      <c r="L91" s="108" t="str">
        <f>IFERROR(_xll.qlRateHelperQuoteName(K91,Trigger),"--")</f>
        <v>--</v>
      </c>
      <c r="M91" s="109" t="str">
        <f>IFERROR(_xll.qlRateHelperQuoteValue($K91,Trigger),"--")</f>
        <v>--</v>
      </c>
      <c r="N91" s="108" t="b">
        <v>0</v>
      </c>
      <c r="O91" s="105">
        <v>60</v>
      </c>
      <c r="P91" s="105">
        <v>1</v>
      </c>
      <c r="Q91" s="110" t="str">
        <f>IFERROR(_xll.qlRateHelperEarliestDate(K91,Trigger),"--")</f>
        <v>--</v>
      </c>
      <c r="R91" s="110" t="str">
        <f>IFERROR(_xll.qlRateHelperPillarDate(K91,Trigger),"--")</f>
        <v>--</v>
      </c>
      <c r="T91" s="4" t="str">
        <f t="shared" si="19"/>
        <v/>
      </c>
      <c r="U91" s="4" t="e">
        <v>#N/A</v>
      </c>
      <c r="V91" s="4" t="str">
        <f>IFERROR(_xll.qlRateHelperQuoteName(U91,Trigger),"")</f>
        <v/>
      </c>
      <c r="W91" s="75" t="str">
        <f>IFERROR(_xll.qlRateHelperRate(U91,Trigger),"")</f>
        <v/>
      </c>
      <c r="X91" s="115" t="str">
        <f>IF(ISERROR(_xll.qlSwapRateHelperSpread($U91)),IF(ISERROR(_xll.qlFuturesRateHelperConvexityAdjustment($U91)),"",_xll.qlFuturesRateHelperConvexityAdjustment($U91)),_xll.qlSwapRateHelperSpread($U91))</f>
        <v/>
      </c>
      <c r="Y91" s="5" t="str">
        <f>IFERROR(_xll.qlRateHelperEarliestDate(U91,Trigger),"")</f>
        <v/>
      </c>
      <c r="Z91" s="5" t="str">
        <f>IFERROR(_xll.qlRateHelperPillarDate(U91,Trigger),"")</f>
        <v/>
      </c>
      <c r="AA91" s="5" t="e">
        <v>#N/A</v>
      </c>
      <c r="AG91" s="198">
        <v>50486</v>
      </c>
      <c r="AH91" s="261">
        <v>6.0345825945888531E-3</v>
      </c>
      <c r="AI91" s="261">
        <v>1</v>
      </c>
      <c r="AJ91" s="198">
        <v>50395</v>
      </c>
      <c r="AK91" s="198">
        <v>50486</v>
      </c>
      <c r="AL91" s="200">
        <v>91</v>
      </c>
      <c r="AM91" s="201" t="str">
        <v>FedFundsON Actual/360</v>
      </c>
      <c r="AN91" s="200">
        <v>0</v>
      </c>
      <c r="AO91" s="198">
        <v>50483</v>
      </c>
      <c r="AP91" s="200" t="str">
        <v>Actual/360</v>
      </c>
      <c r="AQ91" s="202">
        <v>0.25277777777777777</v>
      </c>
      <c r="AR91" s="203">
        <v>2.3873074000571287E-2</v>
      </c>
      <c r="AS91" s="245">
        <f>_xll.qlDayCounterYearFraction("actual/365 (fixed)",Evaluationdate,AJ91,,,Trigger)</f>
        <v>21.778082191780822</v>
      </c>
      <c r="AT91" s="246">
        <f>_xll.qlDayCounterYearFraction("actual/365 (fixed)",Evaluationdate,AK91,,,Trigger)</f>
        <v>22.027397260273972</v>
      </c>
      <c r="AU91" s="246">
        <f>_xll.qlDayCounterYearFraction(AP91,AJ91,AK91,,,Trigger)</f>
        <v>0.25277777777777777</v>
      </c>
      <c r="AV91" s="247">
        <f>_xll.qlYieldTSDiscount("USDON",AJ91,,Trigger)</f>
        <v>0.67928665408035915</v>
      </c>
      <c r="AW91" s="247">
        <f>_xll.qlYieldTSDiscount("USDON",AK91,,Trigger)</f>
        <v>0.67581826394021705</v>
      </c>
      <c r="AX91" s="203">
        <f t="shared" si="20"/>
        <v>2.7074238521975622E-6</v>
      </c>
      <c r="AY91" s="203">
        <f t="shared" si="21"/>
        <v>-6.968314814059795E-7</v>
      </c>
      <c r="AZ91" s="201" t="b">
        <f t="shared" si="22"/>
        <v>1</v>
      </c>
      <c r="BA91" s="195">
        <f t="shared" si="23"/>
        <v>2.3932949155463047E-2</v>
      </c>
      <c r="BB91" s="248">
        <f t="shared" si="24"/>
        <v>0</v>
      </c>
      <c r="BC91" s="248">
        <f t="shared" si="25"/>
        <v>0</v>
      </c>
      <c r="BD91" s="193"/>
      <c r="BE91" s="193"/>
      <c r="BF91" s="193"/>
      <c r="BG91" s="193"/>
      <c r="BH91" s="193"/>
      <c r="BI91" s="193"/>
      <c r="BJ91" s="193"/>
      <c r="BK91" s="193"/>
    </row>
    <row r="92" spans="1:63" x14ac:dyDescent="0.2">
      <c r="A92" s="63" t="s">
        <v>164</v>
      </c>
      <c r="B92" s="64" t="s">
        <v>74</v>
      </c>
      <c r="C92" s="65">
        <v>2</v>
      </c>
      <c r="D92" s="65" t="s">
        <v>166</v>
      </c>
      <c r="E92" s="66" t="s">
        <v>163</v>
      </c>
      <c r="F92" s="68" t="str">
        <f t="shared" si="32"/>
        <v>USDAM3L30M_Quote</v>
      </c>
      <c r="G92" s="68" t="str">
        <f t="shared" si="33"/>
        <v>USDFF3L30M_Quote</v>
      </c>
      <c r="H92" s="69"/>
      <c r="J92" s="11" t="str">
        <f t="shared" si="30"/>
        <v>BasOIS</v>
      </c>
      <c r="K92" s="105" t="str">
        <f t="shared" si="31"/>
        <v>--</v>
      </c>
      <c r="L92" s="108" t="str">
        <f>IFERROR(_xll.qlRateHelperQuoteName(K92,Trigger),"--")</f>
        <v>--</v>
      </c>
      <c r="M92" s="109" t="str">
        <f>IFERROR(_xll.qlRateHelperQuoteValue($K92,Trigger),"--")</f>
        <v>--</v>
      </c>
      <c r="N92" s="108" t="b">
        <v>0</v>
      </c>
      <c r="O92" s="105">
        <v>60</v>
      </c>
      <c r="P92" s="105">
        <v>1</v>
      </c>
      <c r="Q92" s="110" t="str">
        <f>IFERROR(_xll.qlRateHelperEarliestDate(K92,Trigger),"--")</f>
        <v>--</v>
      </c>
      <c r="R92" s="110" t="str">
        <f>IFERROR(_xll.qlRateHelperPillarDate(K92,Trigger),"--")</f>
        <v>--</v>
      </c>
      <c r="T92" s="4" t="str">
        <f t="shared" si="19"/>
        <v/>
      </c>
      <c r="U92" s="4" t="e">
        <v>#N/A</v>
      </c>
      <c r="V92" s="4" t="str">
        <f>IFERROR(_xll.qlRateHelperQuoteName(U92,Trigger),"")</f>
        <v/>
      </c>
      <c r="W92" s="75" t="str">
        <f>IFERROR(_xll.qlRateHelperRate(U92,Trigger),"")</f>
        <v/>
      </c>
      <c r="X92" s="115" t="str">
        <f>IF(ISERROR(_xll.qlSwapRateHelperSpread($U92)),IF(ISERROR(_xll.qlFuturesRateHelperConvexityAdjustment($U92)),"",_xll.qlFuturesRateHelperConvexityAdjustment($U92)),_xll.qlSwapRateHelperSpread($U92))</f>
        <v/>
      </c>
      <c r="Y92" s="5" t="str">
        <f>IFERROR(_xll.qlRateHelperEarliestDate(U92,Trigger),"")</f>
        <v/>
      </c>
      <c r="Z92" s="5" t="str">
        <f>IFERROR(_xll.qlRateHelperPillarDate(U92,Trigger),"")</f>
        <v/>
      </c>
      <c r="AA92" s="5" t="e">
        <v>#N/A</v>
      </c>
      <c r="AC92" s="198"/>
      <c r="AD92" s="199"/>
      <c r="AF92" s="216"/>
      <c r="AG92" s="198">
        <v>50577</v>
      </c>
      <c r="AH92" s="261">
        <v>6.0250634698205616E-3</v>
      </c>
      <c r="AI92" s="261">
        <v>1</v>
      </c>
      <c r="AJ92" s="198">
        <v>50486</v>
      </c>
      <c r="AK92" s="198">
        <v>50577</v>
      </c>
      <c r="AL92" s="200">
        <v>91</v>
      </c>
      <c r="AM92" s="201" t="str">
        <v>FedFundsON Actual/360</v>
      </c>
      <c r="AN92" s="200">
        <v>0</v>
      </c>
      <c r="AO92" s="198">
        <v>50574</v>
      </c>
      <c r="AP92" s="200" t="str">
        <v>Actual/360</v>
      </c>
      <c r="AQ92" s="202">
        <v>0.25277777777777777</v>
      </c>
      <c r="AR92" s="203">
        <v>2.3835415924564861E-2</v>
      </c>
      <c r="AS92" s="245">
        <f>_xll.qlDayCounterYearFraction("actual/365 (fixed)",Evaluationdate,AJ92,,,Trigger)</f>
        <v>22.027397260273972</v>
      </c>
      <c r="AT92" s="246">
        <f>_xll.qlDayCounterYearFraction("actual/365 (fixed)",Evaluationdate,AK92,,,Trigger)</f>
        <v>22.276712328767122</v>
      </c>
      <c r="AU92" s="246">
        <f>_xll.qlDayCounterYearFraction(AP92,AJ92,AK92,,,Trigger)</f>
        <v>0.25277777777777777</v>
      </c>
      <c r="AV92" s="247">
        <f>_xll.qlYieldTSDiscount("USDON",AJ92,,Trigger)</f>
        <v>0.67581826394021705</v>
      </c>
      <c r="AW92" s="247">
        <f>_xll.qlYieldTSDiscount("USDON",AK92,,Trigger)</f>
        <v>0.67237396269851768</v>
      </c>
      <c r="AX92" s="203">
        <f t="shared" si="20"/>
        <v>2.7384190714176357E-6</v>
      </c>
      <c r="AY92" s="203">
        <f t="shared" si="21"/>
        <v>-6.968314814059795E-7</v>
      </c>
      <c r="AZ92" s="201" t="b">
        <f t="shared" si="22"/>
        <v>1</v>
      </c>
      <c r="BA92" s="195">
        <f t="shared" si="23"/>
        <v>2.3895221239878424E-2</v>
      </c>
      <c r="BB92" s="248">
        <f t="shared" si="24"/>
        <v>0</v>
      </c>
      <c r="BC92" s="248">
        <f t="shared" si="25"/>
        <v>0</v>
      </c>
      <c r="BD92" s="193"/>
      <c r="BE92" s="193"/>
      <c r="BF92" s="193"/>
      <c r="BG92" s="193"/>
      <c r="BH92" s="193"/>
      <c r="BI92" s="193"/>
      <c r="BJ92" s="193"/>
      <c r="BK92" s="193"/>
    </row>
    <row r="93" spans="1:63" x14ac:dyDescent="0.2">
      <c r="A93" s="63" t="s">
        <v>164</v>
      </c>
      <c r="B93" s="64" t="s">
        <v>75</v>
      </c>
      <c r="C93" s="65">
        <v>2</v>
      </c>
      <c r="D93" s="65" t="s">
        <v>166</v>
      </c>
      <c r="E93" s="66" t="s">
        <v>163</v>
      </c>
      <c r="F93" s="68" t="str">
        <f t="shared" si="32"/>
        <v>USDAM3L33M_Quote</v>
      </c>
      <c r="G93" s="68" t="str">
        <f t="shared" si="33"/>
        <v>USDFF3L33M_Quote</v>
      </c>
      <c r="H93" s="69"/>
      <c r="J93" s="11" t="str">
        <f t="shared" si="30"/>
        <v>BasOIS</v>
      </c>
      <c r="K93" s="105" t="str">
        <f t="shared" si="31"/>
        <v>--</v>
      </c>
      <c r="L93" s="108" t="str">
        <f>IFERROR(_xll.qlRateHelperQuoteName(K93,Trigger),"--")</f>
        <v>--</v>
      </c>
      <c r="M93" s="109" t="str">
        <f>IFERROR(_xll.qlRateHelperQuoteValue($K93,Trigger),"--")</f>
        <v>--</v>
      </c>
      <c r="N93" s="108" t="b">
        <v>0</v>
      </c>
      <c r="O93" s="105">
        <v>60</v>
      </c>
      <c r="P93" s="105">
        <v>1</v>
      </c>
      <c r="Q93" s="110" t="str">
        <f>IFERROR(_xll.qlRateHelperEarliestDate(K93,Trigger),"--")</f>
        <v>--</v>
      </c>
      <c r="R93" s="110" t="str">
        <f>IFERROR(_xll.qlRateHelperPillarDate(K93,Trigger),"--")</f>
        <v>--</v>
      </c>
      <c r="T93" s="4" t="str">
        <f t="shared" si="19"/>
        <v/>
      </c>
      <c r="U93" s="4" t="e">
        <v>#N/A</v>
      </c>
      <c r="V93" s="4" t="str">
        <f>IFERROR(_xll.qlRateHelperQuoteName(U93,Trigger),"")</f>
        <v/>
      </c>
      <c r="W93" s="75" t="str">
        <f>IFERROR(_xll.qlRateHelperRate(U93,Trigger),"")</f>
        <v/>
      </c>
      <c r="X93" s="115" t="str">
        <f>IF(ISERROR(_xll.qlSwapRateHelperSpread($U93)),IF(ISERROR(_xll.qlFuturesRateHelperConvexityAdjustment($U93)),"",_xll.qlFuturesRateHelperConvexityAdjustment($U93)),_xll.qlSwapRateHelperSpread($U93))</f>
        <v/>
      </c>
      <c r="Y93" s="5" t="str">
        <f>IFERROR(_xll.qlRateHelperEarliestDate(U93,Trigger),"")</f>
        <v/>
      </c>
      <c r="Z93" s="5" t="str">
        <f>IFERROR(_xll.qlRateHelperPillarDate(U93,Trigger),"")</f>
        <v/>
      </c>
      <c r="AA93" s="5" t="e">
        <v>#N/A</v>
      </c>
      <c r="AC93" s="198"/>
      <c r="AD93" s="199"/>
      <c r="AE93" s="199"/>
      <c r="AF93" s="216"/>
      <c r="AG93" s="198">
        <v>50669</v>
      </c>
      <c r="AH93" s="261">
        <v>6.1705975233377923E-3</v>
      </c>
      <c r="AI93" s="261">
        <v>1</v>
      </c>
      <c r="AJ93" s="198">
        <v>50577</v>
      </c>
      <c r="AK93" s="198">
        <v>50669</v>
      </c>
      <c r="AL93" s="200">
        <v>92</v>
      </c>
      <c r="AM93" s="201" t="str">
        <v>FedFundsON Actual/360</v>
      </c>
      <c r="AN93" s="200">
        <v>0</v>
      </c>
      <c r="AO93" s="198">
        <v>50668</v>
      </c>
      <c r="AP93" s="200" t="str">
        <v>Actual/360</v>
      </c>
      <c r="AQ93" s="202">
        <v>0.25555555555555554</v>
      </c>
      <c r="AR93" s="203">
        <v>2.4145816395669623E-2</v>
      </c>
      <c r="AS93" s="245">
        <f>_xll.qlDayCounterYearFraction("actual/365 (fixed)",Evaluationdate,AJ93,,,Trigger)</f>
        <v>22.276712328767122</v>
      </c>
      <c r="AT93" s="246">
        <f>_xll.qlDayCounterYearFraction("actual/365 (fixed)",Evaluationdate,AK93,,,Trigger)</f>
        <v>22.528767123287672</v>
      </c>
      <c r="AU93" s="246">
        <f>_xll.qlDayCounterYearFraction(AP93,AJ93,AK93,,,Trigger)</f>
        <v>0.25555555555555554</v>
      </c>
      <c r="AV93" s="247">
        <f>_xll.qlYieldTSDiscount("USDON",AJ93,,Trigger)</f>
        <v>0.67237396269851768</v>
      </c>
      <c r="AW93" s="247">
        <f>_xll.qlYieldTSDiscount("USDON",AK93,,Trigger)</f>
        <v>0.66891527169987697</v>
      </c>
      <c r="AX93" s="203">
        <f t="shared" si="20"/>
        <v>2.8306149912042644E-6</v>
      </c>
      <c r="AY93" s="203">
        <f t="shared" si="21"/>
        <v>-8.8486551419464377E-5</v>
      </c>
      <c r="AZ93" s="201" t="b">
        <f t="shared" si="22"/>
        <v>1</v>
      </c>
      <c r="BA93" s="195">
        <f t="shared" si="23"/>
        <v>2.386276912359489E-2</v>
      </c>
      <c r="BB93" s="248">
        <f t="shared" si="24"/>
        <v>0</v>
      </c>
      <c r="BC93" s="248">
        <f t="shared" si="25"/>
        <v>0</v>
      </c>
      <c r="BD93" s="193"/>
      <c r="BE93" s="193"/>
      <c r="BF93" s="193"/>
      <c r="BG93" s="193"/>
      <c r="BH93" s="193"/>
      <c r="BI93" s="193"/>
      <c r="BJ93" s="193"/>
      <c r="BK93" s="193"/>
    </row>
    <row r="94" spans="1:63" x14ac:dyDescent="0.2">
      <c r="A94" s="63" t="s">
        <v>164</v>
      </c>
      <c r="B94" s="64" t="s">
        <v>76</v>
      </c>
      <c r="C94" s="65">
        <v>2</v>
      </c>
      <c r="D94" s="65" t="s">
        <v>166</v>
      </c>
      <c r="E94" s="66" t="s">
        <v>163</v>
      </c>
      <c r="F94" s="68" t="str">
        <f t="shared" si="32"/>
        <v>USDAM3L3Y_Quote</v>
      </c>
      <c r="G94" s="68" t="str">
        <f t="shared" si="33"/>
        <v>USDFF3L3Y_Quote</v>
      </c>
      <c r="H94" s="69" t="str">
        <f>_xll.qlOISAARateHelper(,C94,B94,F94,E94,G94,D94,TRUE,$G$62,$H$62,,Permanent,Trigger,ObjectOverwrite)</f>
        <v>obj_00277#0459</v>
      </c>
      <c r="J94" s="11" t="str">
        <f t="shared" si="30"/>
        <v>BasOIS</v>
      </c>
      <c r="K94" s="105" t="str">
        <f t="shared" si="31"/>
        <v>obj_00276#0459</v>
      </c>
      <c r="L94" s="108" t="str">
        <f>IFERROR(_xll.qlRateHelperQuoteName(K94,Trigger),"--")</f>
        <v>USDAM3L4Y_Quote</v>
      </c>
      <c r="M94" s="109">
        <f>IFERROR(_xll.qlRateHelperQuoteValue($K94,Trigger),"--")</f>
        <v>1.1599999999999999E-2</v>
      </c>
      <c r="N94" s="108" t="b">
        <v>1</v>
      </c>
      <c r="O94" s="105">
        <v>60</v>
      </c>
      <c r="P94" s="105">
        <v>1</v>
      </c>
      <c r="Q94" s="110">
        <f>IFERROR(_xll.qlRateHelperEarliestDate(K94,Trigger),"--")</f>
        <v>42450</v>
      </c>
      <c r="R94" s="110">
        <f>IFERROR(_xll.qlRateHelperPillarDate(K94,Trigger),"--")</f>
        <v>43913</v>
      </c>
      <c r="T94" s="4" t="str">
        <f t="shared" si="19"/>
        <v/>
      </c>
      <c r="U94" s="4" t="e">
        <v>#N/A</v>
      </c>
      <c r="V94" s="4" t="str">
        <f>IFERROR(_xll.qlRateHelperQuoteName(U94,Trigger),"")</f>
        <v/>
      </c>
      <c r="W94" s="75" t="str">
        <f>IFERROR(_xll.qlRateHelperRate(U94,Trigger),"")</f>
        <v/>
      </c>
      <c r="X94" s="115" t="str">
        <f>IF(ISERROR(_xll.qlSwapRateHelperSpread($U94)),IF(ISERROR(_xll.qlFuturesRateHelperConvexityAdjustment($U94)),"",_xll.qlFuturesRateHelperConvexityAdjustment($U94)),_xll.qlSwapRateHelperSpread($U94))</f>
        <v/>
      </c>
      <c r="Y94" s="5" t="str">
        <f>IFERROR(_xll.qlRateHelperEarliestDate(U94,Trigger),"")</f>
        <v/>
      </c>
      <c r="Z94" s="5" t="str">
        <f>IFERROR(_xll.qlRateHelperPillarDate(U94,Trigger),"")</f>
        <v/>
      </c>
      <c r="AA94" s="5" t="e">
        <v>#N/A</v>
      </c>
      <c r="AC94" s="198"/>
      <c r="AD94" s="199"/>
      <c r="AE94" s="199"/>
      <c r="AG94" s="198">
        <v>50760</v>
      </c>
      <c r="AH94" s="261">
        <v>6.0096289810850825E-3</v>
      </c>
      <c r="AI94" s="261">
        <v>1</v>
      </c>
      <c r="AJ94" s="198">
        <v>50669</v>
      </c>
      <c r="AK94" s="198">
        <v>50760</v>
      </c>
      <c r="AL94" s="200">
        <v>91</v>
      </c>
      <c r="AM94" s="201" t="str">
        <v>FedFundsON Actual/360</v>
      </c>
      <c r="AN94" s="200">
        <v>0</v>
      </c>
      <c r="AO94" s="198">
        <v>50759</v>
      </c>
      <c r="AP94" s="200" t="str">
        <v>Actual/360</v>
      </c>
      <c r="AQ94" s="202">
        <v>0.25277777777777777</v>
      </c>
      <c r="AR94" s="203">
        <v>2.3774356408688239E-2</v>
      </c>
      <c r="AS94" s="245">
        <f>_xll.qlDayCounterYearFraction("actual/365 (fixed)",Evaluationdate,AJ94,,,Trigger)</f>
        <v>22.528767123287672</v>
      </c>
      <c r="AT94" s="246">
        <f>_xll.qlDayCounterYearFraction("actual/365 (fixed)",Evaluationdate,AK94,,,Trigger)</f>
        <v>22.778082191780822</v>
      </c>
      <c r="AU94" s="246">
        <f>_xll.qlDayCounterYearFraction(AP94,AJ94,AK94,,,Trigger)</f>
        <v>0.25277777777777777</v>
      </c>
      <c r="AV94" s="247">
        <f>_xll.qlYieldTSDiscount("USDON",AJ94,,Trigger)</f>
        <v>0.66891527169987697</v>
      </c>
      <c r="AW94" s="247">
        <f>_xll.qlYieldTSDiscount("USDON",AK94,,Trigger)</f>
        <v>0.66551638183542883</v>
      </c>
      <c r="AX94" s="203">
        <f t="shared" si="20"/>
        <v>2.8007501634609935E-6</v>
      </c>
      <c r="AY94" s="203">
        <f t="shared" si="21"/>
        <v>-6.968314814059795E-7</v>
      </c>
      <c r="AZ94" s="201" t="b">
        <f t="shared" si="22"/>
        <v>1</v>
      </c>
      <c r="BA94" s="195">
        <f t="shared" si="23"/>
        <v>2.3834097258171115E-2</v>
      </c>
      <c r="BB94" s="248">
        <f t="shared" si="24"/>
        <v>0</v>
      </c>
      <c r="BC94" s="248">
        <f t="shared" si="25"/>
        <v>0</v>
      </c>
      <c r="BD94" s="193"/>
      <c r="BE94" s="193"/>
      <c r="BF94" s="193"/>
      <c r="BG94" s="193"/>
      <c r="BH94" s="193"/>
      <c r="BI94" s="193"/>
      <c r="BJ94" s="193"/>
      <c r="BK94" s="193"/>
    </row>
    <row r="95" spans="1:63" x14ac:dyDescent="0.2">
      <c r="A95" s="63" t="s">
        <v>164</v>
      </c>
      <c r="B95" s="64" t="s">
        <v>77</v>
      </c>
      <c r="C95" s="65">
        <v>2</v>
      </c>
      <c r="D95" s="65" t="s">
        <v>166</v>
      </c>
      <c r="E95" s="66" t="s">
        <v>163</v>
      </c>
      <c r="F95" s="68" t="str">
        <f t="shared" si="32"/>
        <v>USDAM3L39M_Quote</v>
      </c>
      <c r="G95" s="68" t="str">
        <f t="shared" si="33"/>
        <v>USDFF3L39M_Quote</v>
      </c>
      <c r="H95" s="69"/>
      <c r="J95" s="11" t="str">
        <f t="shared" si="30"/>
        <v>BasOIS</v>
      </c>
      <c r="K95" s="105" t="str">
        <f t="shared" si="31"/>
        <v>--</v>
      </c>
      <c r="L95" s="108" t="str">
        <f>IFERROR(_xll.qlRateHelperQuoteName(K95,Trigger),"--")</f>
        <v>--</v>
      </c>
      <c r="M95" s="109" t="str">
        <f>IFERROR(_xll.qlRateHelperQuoteValue($K95,Trigger),"--")</f>
        <v>--</v>
      </c>
      <c r="N95" s="108" t="b">
        <v>0</v>
      </c>
      <c r="O95" s="105">
        <v>60</v>
      </c>
      <c r="P95" s="105">
        <v>1</v>
      </c>
      <c r="Q95" s="110" t="str">
        <f>IFERROR(_xll.qlRateHelperEarliestDate(K95,Trigger),"--")</f>
        <v>--</v>
      </c>
      <c r="R95" s="110" t="str">
        <f>IFERROR(_xll.qlRateHelperPillarDate(K95,Trigger),"--")</f>
        <v>--</v>
      </c>
      <c r="T95" s="4" t="str">
        <f t="shared" si="19"/>
        <v/>
      </c>
      <c r="U95" s="4" t="e">
        <v>#N/A</v>
      </c>
      <c r="V95" s="4" t="str">
        <f>IFERROR(_xll.qlRateHelperQuoteName(U95,Trigger),"")</f>
        <v/>
      </c>
      <c r="W95" s="75" t="str">
        <f>IFERROR(_xll.qlRateHelperRate(U95,Trigger),"")</f>
        <v/>
      </c>
      <c r="X95" s="115" t="str">
        <f>IF(ISERROR(_xll.qlSwapRateHelperSpread($U95)),IF(ISERROR(_xll.qlFuturesRateHelperConvexityAdjustment($U95)),"",_xll.qlFuturesRateHelperConvexityAdjustment($U95)),_xll.qlSwapRateHelperSpread($U95))</f>
        <v/>
      </c>
      <c r="Y95" s="5" t="str">
        <f>IFERROR(_xll.qlRateHelperEarliestDate(U95,Trigger),"")</f>
        <v/>
      </c>
      <c r="Z95" s="5" t="str">
        <f>IFERROR(_xll.qlRateHelperPillarDate(U95,Trigger),"")</f>
        <v/>
      </c>
      <c r="AA95" s="5" t="e">
        <v>#N/A</v>
      </c>
      <c r="AG95" s="198">
        <v>50850</v>
      </c>
      <c r="AH95" s="261">
        <v>6.0421112141979035E-3</v>
      </c>
      <c r="AI95" s="261">
        <v>1</v>
      </c>
      <c r="AJ95" s="198">
        <v>50760</v>
      </c>
      <c r="AK95" s="198">
        <v>50850</v>
      </c>
      <c r="AL95" s="200">
        <v>90</v>
      </c>
      <c r="AM95" s="201" t="str">
        <v>FedFundsON Actual/360</v>
      </c>
      <c r="AN95" s="200">
        <v>0</v>
      </c>
      <c r="AO95" s="198">
        <v>50847</v>
      </c>
      <c r="AP95" s="200" t="str">
        <v>Actual/360</v>
      </c>
      <c r="AQ95" s="202">
        <v>0.25</v>
      </c>
      <c r="AR95" s="203">
        <v>2.4168444856791614E-2</v>
      </c>
      <c r="AS95" s="245">
        <f>_xll.qlDayCounterYearFraction("actual/365 (fixed)",Evaluationdate,AJ95,,,Trigger)</f>
        <v>22.778082191780822</v>
      </c>
      <c r="AT95" s="246">
        <f>_xll.qlDayCounterYearFraction("actual/365 (fixed)",Evaluationdate,AK95,,,Trigger)</f>
        <v>23.024657534246575</v>
      </c>
      <c r="AU95" s="246">
        <f>_xll.qlDayCounterYearFraction(AP95,AJ95,AK95,,,Trigger)</f>
        <v>0.25</v>
      </c>
      <c r="AV95" s="247">
        <f>_xll.qlYieldTSDiscount("USDON",AJ95,,Trigger)</f>
        <v>0.66551638183542883</v>
      </c>
      <c r="AW95" s="247">
        <f>_xll.qlYieldTSDiscount("USDON",AK95,,Trigger)</f>
        <v>0.66217560999063974</v>
      </c>
      <c r="AX95" s="203">
        <f t="shared" si="20"/>
        <v>2.7698512112058634E-6</v>
      </c>
      <c r="AY95" s="203">
        <f t="shared" si="21"/>
        <v>-1.049203501857221E-4</v>
      </c>
      <c r="AZ95" s="201" t="b">
        <f t="shared" si="22"/>
        <v>1</v>
      </c>
      <c r="BA95" s="195">
        <f t="shared" si="23"/>
        <v>2.3810579256528831E-2</v>
      </c>
      <c r="BB95" s="248">
        <f t="shared" si="24"/>
        <v>0</v>
      </c>
      <c r="BC95" s="248">
        <f t="shared" si="25"/>
        <v>0</v>
      </c>
      <c r="BD95" s="193"/>
      <c r="BE95" s="193"/>
      <c r="BF95" s="193"/>
      <c r="BG95" s="193"/>
      <c r="BH95" s="193"/>
      <c r="BI95" s="193"/>
      <c r="BJ95" s="193"/>
      <c r="BK95" s="193"/>
    </row>
    <row r="96" spans="1:63" x14ac:dyDescent="0.2">
      <c r="A96" s="63" t="s">
        <v>164</v>
      </c>
      <c r="B96" s="64" t="s">
        <v>78</v>
      </c>
      <c r="C96" s="65">
        <v>2</v>
      </c>
      <c r="D96" s="65" t="s">
        <v>166</v>
      </c>
      <c r="E96" s="66" t="s">
        <v>163</v>
      </c>
      <c r="F96" s="68" t="str">
        <f t="shared" ref="F96:F117" si="34">Currency&amp;"AM"&amp;$F$62&amp;B96&amp;QuoteSuffix</f>
        <v>USDAM3L42M_Quote</v>
      </c>
      <c r="G96" s="68" t="str">
        <f t="shared" ref="G96:G117" si="35">Currency&amp;$E$62&amp;$F$62&amp;B96&amp;QuoteSuffix</f>
        <v>USDFF3L42M_Quote</v>
      </c>
      <c r="H96" s="69"/>
      <c r="J96" s="11" t="str">
        <f t="shared" si="30"/>
        <v>BasOIS</v>
      </c>
      <c r="K96" s="105" t="str">
        <f t="shared" si="31"/>
        <v>--</v>
      </c>
      <c r="L96" s="108" t="str">
        <f>IFERROR(_xll.qlRateHelperQuoteName(K96,Trigger),"--")</f>
        <v>--</v>
      </c>
      <c r="M96" s="109" t="str">
        <f>IFERROR(_xll.qlRateHelperQuoteValue($K96,Trigger),"--")</f>
        <v>--</v>
      </c>
      <c r="N96" s="108" t="b">
        <v>0</v>
      </c>
      <c r="O96" s="105">
        <v>60</v>
      </c>
      <c r="P96" s="105">
        <v>1</v>
      </c>
      <c r="Q96" s="110" t="str">
        <f>IFERROR(_xll.qlRateHelperEarliestDate(K96,Trigger),"--")</f>
        <v>--</v>
      </c>
      <c r="R96" s="110" t="str">
        <f>IFERROR(_xll.qlRateHelperPillarDate(K96,Trigger),"--")</f>
        <v>--</v>
      </c>
      <c r="T96" s="4" t="str">
        <f t="shared" si="19"/>
        <v/>
      </c>
      <c r="U96" s="4" t="e">
        <v>#N/A</v>
      </c>
      <c r="V96" s="4" t="str">
        <f>IFERROR(_xll.qlRateHelperQuoteName(U96,Trigger),"")</f>
        <v/>
      </c>
      <c r="W96" s="75" t="str">
        <f>IFERROR(_xll.qlRateHelperRate(U96,Trigger),"")</f>
        <v/>
      </c>
      <c r="X96" s="115" t="str">
        <f>IF(ISERROR(_xll.qlSwapRateHelperSpread($U96)),IF(ISERROR(_xll.qlFuturesRateHelperConvexityAdjustment($U96)),"",_xll.qlFuturesRateHelperConvexityAdjustment($U96)),_xll.qlSwapRateHelperSpread($U96))</f>
        <v/>
      </c>
      <c r="Y96" s="5" t="str">
        <f>IFERROR(_xll.qlRateHelperEarliestDate(U96,Trigger),"")</f>
        <v/>
      </c>
      <c r="Z96" s="5" t="str">
        <f>IFERROR(_xll.qlRateHelperPillarDate(U96,Trigger),"")</f>
        <v/>
      </c>
      <c r="AA96" s="5" t="e">
        <v>#N/A</v>
      </c>
      <c r="AG96" s="198">
        <v>50942</v>
      </c>
      <c r="AH96" s="261">
        <v>6.1528978844944031E-3</v>
      </c>
      <c r="AI96" s="261">
        <v>1</v>
      </c>
      <c r="AJ96" s="198">
        <v>50850</v>
      </c>
      <c r="AK96" s="198">
        <v>50942</v>
      </c>
      <c r="AL96" s="200">
        <v>92</v>
      </c>
      <c r="AM96" s="201" t="str">
        <v>FedFundsON Actual/360</v>
      </c>
      <c r="AN96" s="200">
        <v>0</v>
      </c>
      <c r="AO96" s="198">
        <v>50941</v>
      </c>
      <c r="AP96" s="200" t="str">
        <v>Actual/360</v>
      </c>
      <c r="AQ96" s="202">
        <v>0.25555555555555554</v>
      </c>
      <c r="AR96" s="203">
        <v>2.4076556939325928E-2</v>
      </c>
      <c r="AS96" s="245">
        <f>_xll.qlDayCounterYearFraction("actual/365 (fixed)",Evaluationdate,AJ96,,,Trigger)</f>
        <v>23.024657534246575</v>
      </c>
      <c r="AT96" s="246">
        <f>_xll.qlDayCounterYearFraction("actual/365 (fixed)",Evaluationdate,AK96,,,Trigger)</f>
        <v>23.276712328767122</v>
      </c>
      <c r="AU96" s="246">
        <f>_xll.qlDayCounterYearFraction(AP96,AJ96,AK96,,,Trigger)</f>
        <v>0.25555555555555554</v>
      </c>
      <c r="AV96" s="247">
        <f>_xll.qlYieldTSDiscount("USDON",AJ96,,Trigger)</f>
        <v>0.66217560999063974</v>
      </c>
      <c r="AW96" s="247">
        <f>_xll.qlYieldTSDiscount("USDON",AK96,,Trigger)</f>
        <v>0.65878098146145092</v>
      </c>
      <c r="AX96" s="203">
        <f t="shared" si="20"/>
        <v>2.9256556608954425E-6</v>
      </c>
      <c r="AY96" s="203">
        <f t="shared" si="21"/>
        <v>-8.8493656846821978E-5</v>
      </c>
      <c r="AZ96" s="201" t="b">
        <f t="shared" si="22"/>
        <v>1</v>
      </c>
      <c r="BA96" s="195">
        <f t="shared" si="23"/>
        <v>2.3793498038137594E-2</v>
      </c>
      <c r="BB96" s="248">
        <f t="shared" si="24"/>
        <v>0</v>
      </c>
      <c r="BC96" s="248">
        <f t="shared" si="25"/>
        <v>0</v>
      </c>
      <c r="BD96" s="193"/>
      <c r="BE96" s="193"/>
      <c r="BF96" s="193"/>
      <c r="BG96" s="193"/>
      <c r="BH96" s="193"/>
      <c r="BI96" s="193"/>
      <c r="BJ96" s="193"/>
      <c r="BK96" s="193"/>
    </row>
    <row r="97" spans="1:63" x14ac:dyDescent="0.2">
      <c r="A97" s="63" t="s">
        <v>164</v>
      </c>
      <c r="B97" s="64" t="s">
        <v>79</v>
      </c>
      <c r="C97" s="65">
        <v>2</v>
      </c>
      <c r="D97" s="65" t="s">
        <v>166</v>
      </c>
      <c r="E97" s="66" t="s">
        <v>163</v>
      </c>
      <c r="F97" s="68" t="str">
        <f t="shared" si="34"/>
        <v>USDAM3L45M_Quote</v>
      </c>
      <c r="G97" s="68" t="str">
        <f t="shared" si="35"/>
        <v>USDFF3L45M_Quote</v>
      </c>
      <c r="H97" s="69"/>
      <c r="J97" s="11" t="str">
        <f t="shared" si="30"/>
        <v>BasOIS</v>
      </c>
      <c r="K97" s="105" t="str">
        <f t="shared" si="31"/>
        <v>--</v>
      </c>
      <c r="L97" s="108" t="str">
        <f>IFERROR(_xll.qlRateHelperQuoteName(K97,Trigger),"--")</f>
        <v>--</v>
      </c>
      <c r="M97" s="109" t="str">
        <f>IFERROR(_xll.qlRateHelperQuoteValue($K97,Trigger),"--")</f>
        <v>--</v>
      </c>
      <c r="N97" s="108" t="b">
        <v>0</v>
      </c>
      <c r="O97" s="105">
        <v>60</v>
      </c>
      <c r="P97" s="105">
        <v>1</v>
      </c>
      <c r="Q97" s="110" t="str">
        <f>IFERROR(_xll.qlRateHelperEarliestDate(K97,Trigger),"--")</f>
        <v>--</v>
      </c>
      <c r="R97" s="110" t="str">
        <f>IFERROR(_xll.qlRateHelperPillarDate(K97,Trigger),"--")</f>
        <v>--</v>
      </c>
      <c r="T97" s="4" t="str">
        <f t="shared" si="19"/>
        <v/>
      </c>
      <c r="U97" s="4" t="e">
        <v>#N/A</v>
      </c>
      <c r="V97" s="4" t="str">
        <f>IFERROR(_xll.qlRateHelperQuoteName(U97,Trigger),"")</f>
        <v/>
      </c>
      <c r="W97" s="75" t="str">
        <f>IFERROR(_xll.qlRateHelperRate(U97,Trigger),"")</f>
        <v/>
      </c>
      <c r="X97" s="115" t="str">
        <f>IF(ISERROR(_xll.qlSwapRateHelperSpread($U97)),IF(ISERROR(_xll.qlFuturesRateHelperConvexityAdjustment($U97)),"",_xll.qlFuturesRateHelperConvexityAdjustment($U97)),_xll.qlSwapRateHelperSpread($U97))</f>
        <v/>
      </c>
      <c r="Y97" s="5" t="str">
        <f>IFERROR(_xll.qlRateHelperEarliestDate(U97,Trigger),"")</f>
        <v/>
      </c>
      <c r="Z97" s="5" t="str">
        <f>IFERROR(_xll.qlRateHelperPillarDate(U97,Trigger),"")</f>
        <v/>
      </c>
      <c r="AA97" s="5" t="e">
        <v>#N/A</v>
      </c>
      <c r="AG97" s="198">
        <v>51034</v>
      </c>
      <c r="AH97" s="261">
        <v>6.1494344480481581E-3</v>
      </c>
      <c r="AI97" s="261">
        <v>1</v>
      </c>
      <c r="AJ97" s="198">
        <v>50942</v>
      </c>
      <c r="AK97" s="198">
        <v>51034</v>
      </c>
      <c r="AL97" s="200">
        <v>92</v>
      </c>
      <c r="AM97" s="201" t="str">
        <v>FedFundsON Actual/360</v>
      </c>
      <c r="AN97" s="200">
        <v>0</v>
      </c>
      <c r="AO97" s="198">
        <v>51033</v>
      </c>
      <c r="AP97" s="200" t="str">
        <v>Actual/360</v>
      </c>
      <c r="AQ97" s="202">
        <v>0.25555555555555554</v>
      </c>
      <c r="AR97" s="203">
        <v>2.4063004361927577E-2</v>
      </c>
      <c r="AS97" s="245">
        <f>_xll.qlDayCounterYearFraction("actual/365 (fixed)",Evaluationdate,AJ97,,,Trigger)</f>
        <v>23.276712328767122</v>
      </c>
      <c r="AT97" s="246">
        <f>_xll.qlDayCounterYearFraction("actual/365 (fixed)",Evaluationdate,AK97,,,Trigger)</f>
        <v>23.528767123287672</v>
      </c>
      <c r="AU97" s="246">
        <f>_xll.qlDayCounterYearFraction(AP97,AJ97,AK97,,,Trigger)</f>
        <v>0.25555555555555554</v>
      </c>
      <c r="AV97" s="247">
        <f>_xll.qlYieldTSDiscount("USDON",AJ97,,Trigger)</f>
        <v>0.65878098146145092</v>
      </c>
      <c r="AW97" s="247">
        <f>_xll.qlYieldTSDiscount("USDON",AK97,,Trigger)</f>
        <v>0.65540599972452174</v>
      </c>
      <c r="AX97" s="203">
        <f t="shared" si="20"/>
        <v>2.9576840504718867E-6</v>
      </c>
      <c r="AY97" s="203">
        <f t="shared" si="21"/>
        <v>-8.8486551419464377E-5</v>
      </c>
      <c r="AZ97" s="201" t="b">
        <f t="shared" si="22"/>
        <v>1</v>
      </c>
      <c r="BA97" s="195">
        <f t="shared" si="23"/>
        <v>2.3780029570207091E-2</v>
      </c>
      <c r="BB97" s="248">
        <f t="shared" si="24"/>
        <v>0</v>
      </c>
      <c r="BC97" s="248">
        <f t="shared" si="25"/>
        <v>0</v>
      </c>
      <c r="BD97" s="193"/>
      <c r="BE97" s="193"/>
      <c r="BF97" s="193"/>
      <c r="BG97" s="193"/>
      <c r="BH97" s="193"/>
      <c r="BI97" s="193"/>
      <c r="BJ97" s="193"/>
      <c r="BK97" s="193"/>
    </row>
    <row r="98" spans="1:63" x14ac:dyDescent="0.2">
      <c r="A98" s="63" t="s">
        <v>164</v>
      </c>
      <c r="B98" s="64" t="s">
        <v>80</v>
      </c>
      <c r="C98" s="65">
        <v>2</v>
      </c>
      <c r="D98" s="65" t="s">
        <v>166</v>
      </c>
      <c r="E98" s="66" t="s">
        <v>163</v>
      </c>
      <c r="F98" s="68" t="str">
        <f t="shared" si="34"/>
        <v>USDAM3L4Y_Quote</v>
      </c>
      <c r="G98" s="68" t="str">
        <f t="shared" si="35"/>
        <v>USDFF3L4Y_Quote</v>
      </c>
      <c r="H98" s="69" t="str">
        <f>_xll.qlOISAARateHelper(,C98,B98,F98,E98,G98,D98,TRUE,$G$62,$H$62,,Permanent,Trigger,ObjectOverwrite)</f>
        <v>obj_00276#0459</v>
      </c>
      <c r="J98" s="11" t="str">
        <f t="shared" si="30"/>
        <v>BasOIS</v>
      </c>
      <c r="K98" s="105" t="str">
        <f t="shared" si="31"/>
        <v>obj_00273#0460</v>
      </c>
      <c r="L98" s="108" t="str">
        <f>IFERROR(_xll.qlRateHelperQuoteName(K98,Trigger),"--")</f>
        <v>USDAM3L5Y_Quote</v>
      </c>
      <c r="M98" s="109">
        <f>IFERROR(_xll.qlRateHelperQuoteValue($K98,Trigger),"--")</f>
        <v>1.272E-2</v>
      </c>
      <c r="N98" s="108" t="b">
        <v>1</v>
      </c>
      <c r="O98" s="105">
        <v>60</v>
      </c>
      <c r="P98" s="105">
        <v>1</v>
      </c>
      <c r="Q98" s="110">
        <f>IFERROR(_xll.qlRateHelperEarliestDate(K98,Trigger),"--")</f>
        <v>42450</v>
      </c>
      <c r="R98" s="110">
        <f>IFERROR(_xll.qlRateHelperPillarDate(K98,Trigger),"--")</f>
        <v>44277</v>
      </c>
      <c r="T98" s="4" t="str">
        <f t="shared" si="19"/>
        <v/>
      </c>
      <c r="U98" s="4" t="e">
        <v>#N/A</v>
      </c>
      <c r="V98" s="4" t="str">
        <f>IFERROR(_xll.qlRateHelperQuoteName(U98,Trigger),"")</f>
        <v/>
      </c>
      <c r="W98" s="75" t="str">
        <f>IFERROR(_xll.qlRateHelperRate(U98,Trigger),"")</f>
        <v/>
      </c>
      <c r="X98" s="115" t="str">
        <f>IF(ISERROR(_xll.qlSwapRateHelperSpread($U98)),IF(ISERROR(_xll.qlFuturesRateHelperConvexityAdjustment($U98)),"",_xll.qlFuturesRateHelperConvexityAdjustment($U98)),_xll.qlSwapRateHelperSpread($U98))</f>
        <v/>
      </c>
      <c r="Y98" s="5" t="str">
        <f>IFERROR(_xll.qlRateHelperEarliestDate(U98,Trigger),"")</f>
        <v/>
      </c>
      <c r="Z98" s="5" t="str">
        <f>IFERROR(_xll.qlRateHelperPillarDate(U98,Trigger),"")</f>
        <v/>
      </c>
      <c r="AA98" s="5" t="e">
        <v>#N/A</v>
      </c>
      <c r="AF98" s="216"/>
      <c r="AG98" s="198">
        <v>51125</v>
      </c>
      <c r="AH98" s="261">
        <v>5.9936372827569086E-3</v>
      </c>
      <c r="AI98" s="261">
        <v>1</v>
      </c>
      <c r="AJ98" s="198">
        <v>51034</v>
      </c>
      <c r="AK98" s="198">
        <v>51125</v>
      </c>
      <c r="AL98" s="200">
        <v>91</v>
      </c>
      <c r="AM98" s="201" t="str">
        <v>FedFundsON Actual/360</v>
      </c>
      <c r="AN98" s="200">
        <v>0</v>
      </c>
      <c r="AO98" s="198">
        <v>51124</v>
      </c>
      <c r="AP98" s="200" t="str">
        <v>Actual/360</v>
      </c>
      <c r="AQ98" s="202">
        <v>0.25277777777777777</v>
      </c>
      <c r="AR98" s="203">
        <v>2.3711092547170187E-2</v>
      </c>
      <c r="AS98" s="245">
        <f>_xll.qlDayCounterYearFraction("actual/365 (fixed)",Evaluationdate,AJ98,,,Trigger)</f>
        <v>23.528767123287672</v>
      </c>
      <c r="AT98" s="246">
        <f>_xll.qlDayCounterYearFraction("actual/365 (fixed)",Evaluationdate,AK98,,,Trigger)</f>
        <v>23.778082191780822</v>
      </c>
      <c r="AU98" s="246">
        <f>_xll.qlDayCounterYearFraction(AP98,AJ98,AK98,,,Trigger)</f>
        <v>0.25277777777777777</v>
      </c>
      <c r="AV98" s="247">
        <f>_xll.qlYieldTSDiscount("USDON",AJ98,,Trigger)</f>
        <v>0.65540599972452174</v>
      </c>
      <c r="AW98" s="247">
        <f>_xll.qlYieldTSDiscount("USDON",AK98,,Trigger)</f>
        <v>0.6520860999376914</v>
      </c>
      <c r="AX98" s="203">
        <f t="shared" ref="AX98:AX142" si="36">$AD$17^2/(4*$AD$15^3)*(1-EXP(-2*$AD$15*AS98))*(1-EXP(-$AD$15*(AT98-AS98)))^2</f>
        <v>2.9250719271406025E-6</v>
      </c>
      <c r="AY98" s="203">
        <f t="shared" ref="AY98:AY142" si="37">$AD$17^2/(2*$AD$15^2)*(AT98-AS98-(1-EXP(-$AD$15*(AT98-AS98)))^2/$AD$15-(1-EXP(-2*$AD$15*(AT98-AS98)))/(2*$AD$15))</f>
        <v>-6.968314814059795E-7</v>
      </c>
      <c r="AZ98" s="201" t="b">
        <f t="shared" ref="AZ98:AZ142" si="38">NOT(ISERR(AY98))</f>
        <v>1</v>
      </c>
      <c r="BA98" s="195">
        <f t="shared" ref="BA98:BA142" si="39">(AV98/AW98-1)/AU98+$AD$13</f>
        <v>2.3771005133550106E-2</v>
      </c>
      <c r="BB98" s="248">
        <f t="shared" ref="BB98:BB142" si="40">(LN(1+(BA98-$AD$13)*AU98)-AX98-AY98)/AU98+$AD$13-AR98</f>
        <v>0</v>
      </c>
      <c r="BC98" s="248">
        <f t="shared" ref="BC98:BC142" si="41">(LN(AV98/AW98)-AX98-AY98)/AU98+$AD$13-AR98</f>
        <v>0</v>
      </c>
      <c r="BD98" s="193"/>
      <c r="BE98" s="193"/>
      <c r="BF98" s="193"/>
      <c r="BG98" s="193"/>
      <c r="BH98" s="193"/>
      <c r="BI98" s="193"/>
      <c r="BJ98" s="193"/>
      <c r="BK98" s="193"/>
    </row>
    <row r="99" spans="1:63" x14ac:dyDescent="0.2">
      <c r="A99" s="63" t="s">
        <v>164</v>
      </c>
      <c r="B99" s="64" t="s">
        <v>81</v>
      </c>
      <c r="C99" s="65">
        <v>2</v>
      </c>
      <c r="D99" s="65" t="s">
        <v>166</v>
      </c>
      <c r="E99" s="66" t="s">
        <v>163</v>
      </c>
      <c r="F99" s="68" t="str">
        <f t="shared" si="34"/>
        <v>USDAM3L51M_Quote</v>
      </c>
      <c r="G99" s="68" t="str">
        <f t="shared" si="35"/>
        <v>USDFF3L51M_Quote</v>
      </c>
      <c r="H99" s="69"/>
      <c r="J99" s="11" t="str">
        <f t="shared" si="30"/>
        <v>BasOIS</v>
      </c>
      <c r="K99" s="105" t="str">
        <f t="shared" si="31"/>
        <v>--</v>
      </c>
      <c r="L99" s="108" t="str">
        <f>IFERROR(_xll.qlRateHelperQuoteName(K99,Trigger),"--")</f>
        <v>--</v>
      </c>
      <c r="M99" s="109" t="str">
        <f>IFERROR(_xll.qlRateHelperQuoteValue($K99,Trigger),"--")</f>
        <v>--</v>
      </c>
      <c r="N99" s="108" t="b">
        <v>0</v>
      </c>
      <c r="O99" s="105">
        <v>60</v>
      </c>
      <c r="P99" s="105">
        <v>1</v>
      </c>
      <c r="Q99" s="110" t="str">
        <f>IFERROR(_xll.qlRateHelperEarliestDate(K99,Trigger),"--")</f>
        <v>--</v>
      </c>
      <c r="R99" s="110" t="str">
        <f>IFERROR(_xll.qlRateHelperPillarDate(K99,Trigger),"--")</f>
        <v>--</v>
      </c>
      <c r="T99" s="4" t="str">
        <f t="shared" si="19"/>
        <v/>
      </c>
      <c r="U99" s="4" t="e">
        <v>#N/A</v>
      </c>
      <c r="V99" s="4" t="str">
        <f>IFERROR(_xll.qlRateHelperQuoteName(U99,Trigger),"")</f>
        <v/>
      </c>
      <c r="W99" s="75" t="str">
        <f>IFERROR(_xll.qlRateHelperRate(U99,Trigger),"")</f>
        <v/>
      </c>
      <c r="X99" s="115" t="str">
        <f>IF(ISERROR(_xll.qlSwapRateHelperSpread($U99)),IF(ISERROR(_xll.qlFuturesRateHelperConvexityAdjustment($U99)),"",_xll.qlFuturesRateHelperConvexityAdjustment($U99)),_xll.qlSwapRateHelperSpread($U99))</f>
        <v/>
      </c>
      <c r="Y99" s="5" t="str">
        <f>IFERROR(_xll.qlRateHelperEarliestDate(U99,Trigger),"")</f>
        <v/>
      </c>
      <c r="Z99" s="5" t="str">
        <f>IFERROR(_xll.qlRateHelperPillarDate(U99,Trigger),"")</f>
        <v/>
      </c>
      <c r="AA99" s="5" t="e">
        <v>#N/A</v>
      </c>
      <c r="AC99" s="198"/>
      <c r="AF99" s="230"/>
      <c r="AG99" s="198">
        <v>51216</v>
      </c>
      <c r="AH99" s="261">
        <v>5.9927192432085311E-3</v>
      </c>
      <c r="AI99" s="261">
        <v>1</v>
      </c>
      <c r="AJ99" s="198">
        <v>51125</v>
      </c>
      <c r="AK99" s="198">
        <v>51216</v>
      </c>
      <c r="AL99" s="200">
        <v>91</v>
      </c>
      <c r="AM99" s="201" t="str">
        <v>FedFundsON Actual/360</v>
      </c>
      <c r="AN99" s="200">
        <v>0</v>
      </c>
      <c r="AO99" s="198">
        <v>51215</v>
      </c>
      <c r="AP99" s="200" t="str">
        <v>Actual/360</v>
      </c>
      <c r="AQ99" s="202">
        <v>0.25277777777777777</v>
      </c>
      <c r="AR99" s="203">
        <v>2.370746074236342E-2</v>
      </c>
      <c r="AS99" s="245">
        <f>_xll.qlDayCounterYearFraction("actual/365 (fixed)",Evaluationdate,AJ99,,,Trigger)</f>
        <v>23.778082191780822</v>
      </c>
      <c r="AT99" s="246">
        <f>_xll.qlDayCounterYearFraction("actual/365 (fixed)",Evaluationdate,AK99,,,Trigger)</f>
        <v>24.027397260273972</v>
      </c>
      <c r="AU99" s="246">
        <f>_xll.qlDayCounterYearFraction(AP99,AJ99,AK99,,,Trigger)</f>
        <v>0.25277777777777777</v>
      </c>
      <c r="AV99" s="247">
        <f>_xll.qlYieldTSDiscount("USDON",AJ99,,Trigger)</f>
        <v>0.6520860999376914</v>
      </c>
      <c r="AW99" s="247">
        <f>_xll.qlYieldTSDiscount("USDON",AK99,,Trigger)</f>
        <v>0.64878359230230909</v>
      </c>
      <c r="AX99" s="203">
        <f t="shared" si="36"/>
        <v>2.9560672548846441E-6</v>
      </c>
      <c r="AY99" s="203">
        <f t="shared" si="37"/>
        <v>-6.968314814059795E-7</v>
      </c>
      <c r="AZ99" s="201" t="b">
        <f t="shared" si="38"/>
        <v>1</v>
      </c>
      <c r="BA99" s="195">
        <f t="shared" si="39"/>
        <v>2.3767478083224464E-2</v>
      </c>
      <c r="BB99" s="248">
        <f t="shared" si="40"/>
        <v>0</v>
      </c>
      <c r="BC99" s="248">
        <f t="shared" si="41"/>
        <v>0</v>
      </c>
      <c r="BD99" s="193"/>
      <c r="BE99" s="193"/>
      <c r="BF99" s="193"/>
      <c r="BG99" s="193"/>
      <c r="BH99" s="193"/>
      <c r="BI99" s="193"/>
      <c r="BJ99" s="193"/>
      <c r="BK99" s="193"/>
    </row>
    <row r="100" spans="1:63" x14ac:dyDescent="0.2">
      <c r="A100" s="63" t="s">
        <v>164</v>
      </c>
      <c r="B100" s="64" t="s">
        <v>82</v>
      </c>
      <c r="C100" s="65">
        <v>2</v>
      </c>
      <c r="D100" s="65" t="s">
        <v>166</v>
      </c>
      <c r="E100" s="66" t="s">
        <v>163</v>
      </c>
      <c r="F100" s="68" t="str">
        <f t="shared" si="34"/>
        <v>USDAM3L54M_Quote</v>
      </c>
      <c r="G100" s="68" t="str">
        <f t="shared" si="35"/>
        <v>USDFF3L54M_Quote</v>
      </c>
      <c r="H100" s="69"/>
      <c r="J100" s="11" t="str">
        <f t="shared" si="30"/>
        <v>BasOIS</v>
      </c>
      <c r="K100" s="105" t="str">
        <f t="shared" si="31"/>
        <v>obj_00275#0460</v>
      </c>
      <c r="L100" s="108" t="str">
        <f>IFERROR(_xll.qlRateHelperQuoteName(K100,Trigger),"--")</f>
        <v>USDAM3L7Y_Quote</v>
      </c>
      <c r="M100" s="109">
        <f>IFERROR(_xll.qlRateHelperQuoteValue($K100,Trigger),"--")</f>
        <v>1.474E-2</v>
      </c>
      <c r="N100" s="108" t="b">
        <v>1</v>
      </c>
      <c r="O100" s="105">
        <v>60</v>
      </c>
      <c r="P100" s="105">
        <v>1</v>
      </c>
      <c r="Q100" s="110">
        <f>IFERROR(_xll.qlRateHelperEarliestDate(K100,Trigger),"--")</f>
        <v>42450</v>
      </c>
      <c r="R100" s="110">
        <f>IFERROR(_xll.qlRateHelperPillarDate(K100,Trigger),"--")</f>
        <v>45006</v>
      </c>
      <c r="T100" s="4" t="str">
        <f t="shared" si="19"/>
        <v/>
      </c>
      <c r="U100" s="4" t="e">
        <v>#N/A</v>
      </c>
      <c r="V100" s="4" t="str">
        <f>IFERROR(_xll.qlRateHelperQuoteName(U100,Trigger),"")</f>
        <v/>
      </c>
      <c r="W100" s="75" t="str">
        <f>IFERROR(_xll.qlRateHelperRate(U100,Trigger),"")</f>
        <v/>
      </c>
      <c r="X100" s="115" t="str">
        <f>IF(ISERROR(_xll.qlSwapRateHelperSpread($U100)),IF(ISERROR(_xll.qlFuturesRateHelperConvexityAdjustment($U100)),"",_xll.qlFuturesRateHelperConvexityAdjustment($U100)),_xll.qlSwapRateHelperSpread($U100))</f>
        <v/>
      </c>
      <c r="Y100" s="5" t="str">
        <f>IFERROR(_xll.qlRateHelperEarliestDate(U100,Trigger),"")</f>
        <v/>
      </c>
      <c r="Z100" s="5" t="str">
        <f>IFERROR(_xll.qlRateHelperPillarDate(U100,Trigger),"")</f>
        <v/>
      </c>
      <c r="AA100" s="5" t="e">
        <v>#N/A</v>
      </c>
      <c r="AC100" s="198"/>
      <c r="AF100" s="230"/>
      <c r="AG100" s="198">
        <v>51308</v>
      </c>
      <c r="AH100" s="261">
        <v>6.1466388283177376E-3</v>
      </c>
      <c r="AI100" s="261">
        <v>1</v>
      </c>
      <c r="AJ100" s="198">
        <v>51216</v>
      </c>
      <c r="AK100" s="198">
        <v>51308</v>
      </c>
      <c r="AL100" s="200">
        <v>92</v>
      </c>
      <c r="AM100" s="201" t="str">
        <v>FedFundsON Actual/360</v>
      </c>
      <c r="AN100" s="200">
        <v>0</v>
      </c>
      <c r="AO100" s="198">
        <v>51307</v>
      </c>
      <c r="AP100" s="200" t="str">
        <v>Actual/360</v>
      </c>
      <c r="AQ100" s="202">
        <v>0.25555555555555554</v>
      </c>
      <c r="AR100" s="203">
        <v>2.4052064980373759E-2</v>
      </c>
      <c r="AS100" s="245">
        <f>_xll.qlDayCounterYearFraction("actual/365 (fixed)",Evaluationdate,AJ100,,,Trigger)</f>
        <v>24.027397260273972</v>
      </c>
      <c r="AT100" s="246">
        <f>_xll.qlDayCounterYearFraction("actual/365 (fixed)",Evaluationdate,AK100,,,Trigger)</f>
        <v>24.279452054794522</v>
      </c>
      <c r="AU100" s="246">
        <f>_xll.qlDayCounterYearFraction(AP100,AJ100,AK100,,,Trigger)</f>
        <v>0.25555555555555554</v>
      </c>
      <c r="AV100" s="247">
        <f>_xll.qlYieldTSDiscount("USDON",AJ100,,Trigger)</f>
        <v>0.64878359230230909</v>
      </c>
      <c r="AW100" s="247">
        <f>_xll.qlYieldTSDiscount("USDON",AK100,,Trigger)</f>
        <v>0.64546157079260669</v>
      </c>
      <c r="AX100" s="203">
        <f t="shared" si="36"/>
        <v>3.0530730455169052E-6</v>
      </c>
      <c r="AY100" s="203">
        <f t="shared" si="37"/>
        <v>-8.8486551419464377E-5</v>
      </c>
      <c r="AZ100" s="201" t="b">
        <f t="shared" si="38"/>
        <v>1</v>
      </c>
      <c r="BA100" s="195">
        <f t="shared" si="39"/>
        <v>2.3769409054547996E-2</v>
      </c>
      <c r="BB100" s="248">
        <f t="shared" si="40"/>
        <v>0</v>
      </c>
      <c r="BC100" s="248">
        <f t="shared" si="41"/>
        <v>0</v>
      </c>
      <c r="BD100" s="193"/>
      <c r="BE100" s="193"/>
      <c r="BF100" s="193"/>
      <c r="BG100" s="193"/>
      <c r="BH100" s="193"/>
      <c r="BI100" s="193"/>
      <c r="BJ100" s="193"/>
      <c r="BK100" s="193"/>
    </row>
    <row r="101" spans="1:63" x14ac:dyDescent="0.2">
      <c r="A101" s="63" t="s">
        <v>164</v>
      </c>
      <c r="B101" s="64" t="s">
        <v>83</v>
      </c>
      <c r="C101" s="65">
        <v>2</v>
      </c>
      <c r="D101" s="65" t="s">
        <v>166</v>
      </c>
      <c r="E101" s="66" t="s">
        <v>163</v>
      </c>
      <c r="F101" s="68" t="str">
        <f t="shared" si="34"/>
        <v>USDAM3L57M_Quote</v>
      </c>
      <c r="G101" s="68" t="str">
        <f t="shared" si="35"/>
        <v>USDFF3L57M_Quote</v>
      </c>
      <c r="H101" s="69"/>
      <c r="J101" s="11" t="str">
        <f t="shared" si="30"/>
        <v>BasOIS</v>
      </c>
      <c r="K101" s="105" t="str">
        <f t="shared" si="31"/>
        <v>--</v>
      </c>
      <c r="L101" s="108" t="str">
        <f>IFERROR(_xll.qlRateHelperQuoteName(K101,Trigger),"--")</f>
        <v>--</v>
      </c>
      <c r="M101" s="109" t="str">
        <f>IFERROR(_xll.qlRateHelperQuoteValue($K101,Trigger),"--")</f>
        <v>--</v>
      </c>
      <c r="N101" s="108" t="b">
        <v>0</v>
      </c>
      <c r="O101" s="105">
        <v>60</v>
      </c>
      <c r="P101" s="105">
        <v>1</v>
      </c>
      <c r="Q101" s="110" t="str">
        <f>IFERROR(_xll.qlRateHelperEarliestDate(K101,Trigger),"--")</f>
        <v>--</v>
      </c>
      <c r="R101" s="110" t="str">
        <f>IFERROR(_xll.qlRateHelperPillarDate(K101,Trigger),"--")</f>
        <v>--</v>
      </c>
      <c r="T101" s="4" t="str">
        <f t="shared" si="19"/>
        <v/>
      </c>
      <c r="U101" s="4" t="e">
        <v>#N/A</v>
      </c>
      <c r="V101" s="4" t="str">
        <f>IFERROR(_xll.qlRateHelperQuoteName(U101,Trigger),"")</f>
        <v/>
      </c>
      <c r="W101" s="75" t="str">
        <f>IFERROR(_xll.qlRateHelperRate(U101,Trigger),"")</f>
        <v/>
      </c>
      <c r="X101" s="115" t="str">
        <f>IF(ISERROR(_xll.qlSwapRateHelperSpread($U101)),IF(ISERROR(_xll.qlFuturesRateHelperConvexityAdjustment($U101)),"",_xll.qlFuturesRateHelperConvexityAdjustment($U101)),_xll.qlSwapRateHelperSpread($U101))</f>
        <v/>
      </c>
      <c r="Y101" s="5" t="str">
        <f>IFERROR(_xll.qlRateHelperEarliestDate(U101,Trigger),"")</f>
        <v/>
      </c>
      <c r="Z101" s="5" t="str">
        <f>IFERROR(_xll.qlRateHelperPillarDate(U101,Trigger),"")</f>
        <v/>
      </c>
      <c r="AA101" s="5" t="e">
        <v>#N/A</v>
      </c>
      <c r="AC101" s="198"/>
      <c r="AF101" s="230"/>
      <c r="AG101" s="198">
        <v>51400</v>
      </c>
      <c r="AH101" s="261">
        <v>6.1482249142883957E-3</v>
      </c>
      <c r="AI101" s="261">
        <v>1</v>
      </c>
      <c r="AJ101" s="198">
        <v>51308</v>
      </c>
      <c r="AK101" s="198">
        <v>51400</v>
      </c>
      <c r="AL101" s="200">
        <v>92</v>
      </c>
      <c r="AM101" s="201" t="str">
        <v>FedFundsON Actual/360</v>
      </c>
      <c r="AN101" s="200">
        <v>0</v>
      </c>
      <c r="AO101" s="198">
        <v>51399</v>
      </c>
      <c r="AP101" s="200" t="str">
        <v>Actual/360</v>
      </c>
      <c r="AQ101" s="202">
        <v>0.25555555555555554</v>
      </c>
      <c r="AR101" s="203">
        <v>2.4058271403737203E-2</v>
      </c>
      <c r="AS101" s="245">
        <f>_xll.qlDayCounterYearFraction("actual/365 (fixed)",Evaluationdate,AJ101,,,Trigger)</f>
        <v>24.279452054794522</v>
      </c>
      <c r="AT101" s="246">
        <f>_xll.qlDayCounterYearFraction("actual/365 (fixed)",Evaluationdate,AK101,,,Trigger)</f>
        <v>24.531506849315068</v>
      </c>
      <c r="AU101" s="246">
        <f>_xll.qlDayCounterYearFraction(AP101,AJ101,AK101,,,Trigger)</f>
        <v>0.25555555555555554</v>
      </c>
      <c r="AV101" s="247">
        <f>_xll.qlYieldTSDiscount("USDON",AJ101,,Trigger)</f>
        <v>0.64546157079260669</v>
      </c>
      <c r="AW101" s="247">
        <f>_xll.qlYieldTSDiscount("USDON",AK101,,Trigger)</f>
        <v>0.64215552479149618</v>
      </c>
      <c r="AX101" s="203">
        <f t="shared" si="36"/>
        <v>3.0851014993218695E-6</v>
      </c>
      <c r="AY101" s="203">
        <f t="shared" si="37"/>
        <v>-8.8493656846821978E-5</v>
      </c>
      <c r="AZ101" s="201" t="b">
        <f t="shared" si="38"/>
        <v>1</v>
      </c>
      <c r="BA101" s="195">
        <f t="shared" si="39"/>
        <v>2.3775745452670714E-2</v>
      </c>
      <c r="BB101" s="248">
        <f t="shared" si="40"/>
        <v>0</v>
      </c>
      <c r="BC101" s="248">
        <f t="shared" si="41"/>
        <v>0</v>
      </c>
      <c r="BD101" s="193"/>
      <c r="BE101" s="193"/>
      <c r="BF101" s="193"/>
      <c r="BG101" s="193"/>
      <c r="BH101" s="193"/>
      <c r="BI101" s="193"/>
      <c r="BJ101" s="193"/>
      <c r="BK101" s="193"/>
    </row>
    <row r="102" spans="1:63" x14ac:dyDescent="0.2">
      <c r="A102" s="63" t="s">
        <v>164</v>
      </c>
      <c r="B102" s="64" t="s">
        <v>84</v>
      </c>
      <c r="C102" s="65">
        <v>2</v>
      </c>
      <c r="D102" s="65" t="s">
        <v>166</v>
      </c>
      <c r="E102" s="66" t="s">
        <v>163</v>
      </c>
      <c r="F102" s="68" t="str">
        <f t="shared" si="34"/>
        <v>USDAM3L5Y_Quote</v>
      </c>
      <c r="G102" s="68" t="str">
        <f t="shared" si="35"/>
        <v>USDFF3L5Y_Quote</v>
      </c>
      <c r="H102" s="69" t="str">
        <f>_xll.qlOISAARateHelper(,C102,B102,F102,E102,G102,D102,TRUE,$G$62,$H$62,,Permanent,Trigger,ObjectOverwrite)</f>
        <v>obj_00273#0460</v>
      </c>
      <c r="J102" s="11" t="str">
        <f t="shared" si="30"/>
        <v>BasOIS</v>
      </c>
      <c r="K102" s="105" t="str">
        <f t="shared" si="31"/>
        <v>--</v>
      </c>
      <c r="L102" s="108" t="str">
        <f>IFERROR(_xll.qlRateHelperQuoteName(K102,Trigger),"--")</f>
        <v>--</v>
      </c>
      <c r="M102" s="109" t="str">
        <f>IFERROR(_xll.qlRateHelperQuoteValue($K102,Trigger),"--")</f>
        <v>--</v>
      </c>
      <c r="N102" s="108" t="b">
        <v>0</v>
      </c>
      <c r="O102" s="105">
        <v>60</v>
      </c>
      <c r="P102" s="105">
        <v>1</v>
      </c>
      <c r="Q102" s="110" t="str">
        <f>IFERROR(_xll.qlRateHelperEarliestDate(K102,Trigger),"--")</f>
        <v>--</v>
      </c>
      <c r="R102" s="110" t="str">
        <f>IFERROR(_xll.qlRateHelperPillarDate(K102,Trigger),"--")</f>
        <v>--</v>
      </c>
      <c r="T102" s="4" t="str">
        <f t="shared" si="19"/>
        <v/>
      </c>
      <c r="U102" s="4" t="e">
        <v>#N/A</v>
      </c>
      <c r="V102" s="4" t="str">
        <f>IFERROR(_xll.qlRateHelperQuoteName(U102,Trigger),"")</f>
        <v/>
      </c>
      <c r="W102" s="75" t="str">
        <f>IFERROR(_xll.qlRateHelperRate(U102,Trigger),"")</f>
        <v/>
      </c>
      <c r="X102" s="115" t="str">
        <f>IF(ISERROR(_xll.qlSwapRateHelperSpread($U102)),IF(ISERROR(_xll.qlFuturesRateHelperConvexityAdjustment($U102)),"",_xll.qlFuturesRateHelperConvexityAdjustment($U102)),_xll.qlSwapRateHelperSpread($U102))</f>
        <v/>
      </c>
      <c r="Y102" s="5" t="str">
        <f>IFERROR(_xll.qlRateHelperEarliestDate(U102,Trigger),"")</f>
        <v/>
      </c>
      <c r="Z102" s="5" t="str">
        <f>IFERROR(_xll.qlRateHelperPillarDate(U102,Trigger),"")</f>
        <v/>
      </c>
      <c r="AA102" s="5" t="e">
        <v>#N/A</v>
      </c>
      <c r="AC102" s="198"/>
      <c r="AF102" s="230"/>
      <c r="AG102" s="198">
        <v>51491</v>
      </c>
      <c r="AH102" s="261">
        <v>5.9973887493735391E-3</v>
      </c>
      <c r="AI102" s="261">
        <v>1</v>
      </c>
      <c r="AJ102" s="198">
        <v>51400</v>
      </c>
      <c r="AK102" s="198">
        <v>51491</v>
      </c>
      <c r="AL102" s="200">
        <v>91</v>
      </c>
      <c r="AM102" s="201" t="str">
        <v>FedFundsON Actual/360</v>
      </c>
      <c r="AN102" s="200">
        <v>0</v>
      </c>
      <c r="AO102" s="198">
        <v>51490</v>
      </c>
      <c r="AP102" s="200" t="str">
        <v>Actual/360</v>
      </c>
      <c r="AQ102" s="202">
        <v>0.25277777777777777</v>
      </c>
      <c r="AR102" s="203">
        <v>2.3725933514005211E-2</v>
      </c>
      <c r="AS102" s="245">
        <f>_xll.qlDayCounterYearFraction("actual/365 (fixed)",Evaluationdate,AJ102,,,Trigger)</f>
        <v>24.531506849315068</v>
      </c>
      <c r="AT102" s="246">
        <f>_xll.qlDayCounterYearFraction("actual/365 (fixed)",Evaluationdate,AK102,,,Trigger)</f>
        <v>24.780821917808218</v>
      </c>
      <c r="AU102" s="246">
        <f>_xll.qlDayCounterYearFraction(AP102,AJ102,AK102,,,Trigger)</f>
        <v>0.25277777777777777</v>
      </c>
      <c r="AV102" s="247">
        <f>_xll.qlYieldTSDiscount("USDON",AJ102,,Trigger)</f>
        <v>0.64215552479149618</v>
      </c>
      <c r="AW102" s="247">
        <f>_xll.qlYieldTSDiscount("USDON",AK102,,Trigger)</f>
        <v>0.63890026762165575</v>
      </c>
      <c r="AX102" s="203">
        <f t="shared" si="36"/>
        <v>3.0497345480421553E-6</v>
      </c>
      <c r="AY102" s="203">
        <f t="shared" si="37"/>
        <v>-6.968314814059795E-7</v>
      </c>
      <c r="AZ102" s="201" t="b">
        <f t="shared" si="38"/>
        <v>1</v>
      </c>
      <c r="BA102" s="195">
        <f t="shared" si="39"/>
        <v>2.3786417370201859E-2</v>
      </c>
      <c r="BB102" s="248">
        <f t="shared" si="40"/>
        <v>0</v>
      </c>
      <c r="BC102" s="248">
        <f t="shared" si="41"/>
        <v>0</v>
      </c>
      <c r="BD102" s="193"/>
      <c r="BE102" s="193"/>
      <c r="BF102" s="193"/>
      <c r="BG102" s="193"/>
      <c r="BH102" s="193"/>
      <c r="BI102" s="193"/>
      <c r="BJ102" s="193"/>
      <c r="BK102" s="193"/>
    </row>
    <row r="103" spans="1:63" x14ac:dyDescent="0.2">
      <c r="A103" s="63" t="s">
        <v>164</v>
      </c>
      <c r="B103" s="64" t="s">
        <v>85</v>
      </c>
      <c r="C103" s="65">
        <v>2</v>
      </c>
      <c r="D103" s="65" t="s">
        <v>166</v>
      </c>
      <c r="E103" s="66" t="s">
        <v>163</v>
      </c>
      <c r="F103" s="68" t="str">
        <f t="shared" si="34"/>
        <v>USDAM3L6Y_Quote</v>
      </c>
      <c r="G103" s="68" t="str">
        <f t="shared" si="35"/>
        <v>USDFF3L6Y_Quote</v>
      </c>
      <c r="H103" s="69"/>
      <c r="J103" s="11" t="str">
        <f t="shared" si="30"/>
        <v>BasOIS</v>
      </c>
      <c r="K103" s="105" t="str">
        <f t="shared" si="31"/>
        <v>obj_00272#0460</v>
      </c>
      <c r="L103" s="108" t="str">
        <f>IFERROR(_xll.qlRateHelperQuoteName(K103,Trigger),"--")</f>
        <v>USDAM3L10Y_Quote</v>
      </c>
      <c r="M103" s="109">
        <f>IFERROR(_xll.qlRateHelperQuoteValue($K103,Trigger),"--")</f>
        <v>1.7000000000000001E-2</v>
      </c>
      <c r="N103" s="108" t="b">
        <v>1</v>
      </c>
      <c r="O103" s="105">
        <v>60</v>
      </c>
      <c r="P103" s="105">
        <v>1</v>
      </c>
      <c r="Q103" s="110">
        <f>IFERROR(_xll.qlRateHelperEarliestDate(K103,Trigger),"--")</f>
        <v>42450</v>
      </c>
      <c r="R103" s="110">
        <f>IFERROR(_xll.qlRateHelperPillarDate(K103,Trigger),"--")</f>
        <v>46104</v>
      </c>
      <c r="T103" s="4" t="str">
        <f t="shared" si="19"/>
        <v/>
      </c>
      <c r="U103" s="4" t="e">
        <v>#N/A</v>
      </c>
      <c r="V103" s="4" t="str">
        <f>IFERROR(_xll.qlRateHelperQuoteName(U103,Trigger),"")</f>
        <v/>
      </c>
      <c r="W103" s="75" t="str">
        <f>IFERROR(_xll.qlRateHelperRate(U103,Trigger),"")</f>
        <v/>
      </c>
      <c r="X103" s="115" t="str">
        <f>IF(ISERROR(_xll.qlSwapRateHelperSpread($U103)),IF(ISERROR(_xll.qlFuturesRateHelperConvexityAdjustment($U103)),"",_xll.qlFuturesRateHelperConvexityAdjustment($U103)),_xll.qlSwapRateHelperSpread($U103))</f>
        <v/>
      </c>
      <c r="Y103" s="5" t="str">
        <f>IFERROR(_xll.qlRateHelperEarliestDate(U103,Trigger),"")</f>
        <v/>
      </c>
      <c r="Z103" s="5" t="str">
        <f>IFERROR(_xll.qlRateHelperPillarDate(U103,Trigger),"")</f>
        <v/>
      </c>
      <c r="AA103" s="5" t="e">
        <v>#N/A</v>
      </c>
      <c r="AC103" s="198"/>
      <c r="AF103" s="230"/>
      <c r="AG103" s="198">
        <v>51581</v>
      </c>
      <c r="AH103" s="261">
        <v>6.0396860284351248E-3</v>
      </c>
      <c r="AI103" s="261">
        <v>1</v>
      </c>
      <c r="AJ103" s="198">
        <v>51491</v>
      </c>
      <c r="AK103" s="198">
        <v>51581</v>
      </c>
      <c r="AL103" s="200">
        <v>90</v>
      </c>
      <c r="AM103" s="201" t="str">
        <v>FedFundsON Actual/360</v>
      </c>
      <c r="AN103" s="200">
        <v>0</v>
      </c>
      <c r="AO103" s="198">
        <v>51580</v>
      </c>
      <c r="AP103" s="200" t="str">
        <v>Actual/360</v>
      </c>
      <c r="AQ103" s="202">
        <v>0.25</v>
      </c>
      <c r="AR103" s="203">
        <v>2.4158744113740499E-2</v>
      </c>
      <c r="AS103" s="245">
        <f>_xll.qlDayCounterYearFraction("actual/365 (fixed)",Evaluationdate,AJ103,,,Trigger)</f>
        <v>24.780821917808218</v>
      </c>
      <c r="AT103" s="246">
        <f>_xll.qlDayCounterYearFraction("actual/365 (fixed)",Evaluationdate,AK103,,,Trigger)</f>
        <v>25.027397260273972</v>
      </c>
      <c r="AU103" s="246">
        <f>_xll.qlDayCounterYearFraction(AP103,AJ103,AK103,,,Trigger)</f>
        <v>0.25</v>
      </c>
      <c r="AV103" s="247">
        <f>_xll.qlYieldTSDiscount("USDON",AJ103,,Trigger)</f>
        <v>0.63890026762165575</v>
      </c>
      <c r="AW103" s="247">
        <f>_xll.qlYieldTSDiscount("USDON",AK103,,Trigger)</f>
        <v>0.63569449071252171</v>
      </c>
      <c r="AX103" s="203">
        <f t="shared" si="36"/>
        <v>3.0133935988780522E-6</v>
      </c>
      <c r="AY103" s="203">
        <f t="shared" si="37"/>
        <v>-1.049203501857221E-4</v>
      </c>
      <c r="AZ103" s="201" t="b">
        <f t="shared" si="38"/>
        <v>1</v>
      </c>
      <c r="BA103" s="195">
        <f t="shared" si="39"/>
        <v>2.380180866576851E-2</v>
      </c>
      <c r="BB103" s="248">
        <f t="shared" si="40"/>
        <v>0</v>
      </c>
      <c r="BC103" s="248">
        <f t="shared" si="41"/>
        <v>0</v>
      </c>
      <c r="BD103" s="193"/>
      <c r="BE103" s="193"/>
      <c r="BF103" s="193"/>
      <c r="BG103" s="193"/>
      <c r="BH103" s="193"/>
      <c r="BI103" s="193"/>
      <c r="BJ103" s="193"/>
      <c r="BK103" s="193"/>
    </row>
    <row r="104" spans="1:63" x14ac:dyDescent="0.2">
      <c r="A104" s="63" t="s">
        <v>164</v>
      </c>
      <c r="B104" s="64" t="s">
        <v>86</v>
      </c>
      <c r="C104" s="65">
        <v>2</v>
      </c>
      <c r="D104" s="65" t="s">
        <v>166</v>
      </c>
      <c r="E104" s="66" t="s">
        <v>163</v>
      </c>
      <c r="F104" s="68" t="str">
        <f t="shared" si="34"/>
        <v>USDAM3L7Y_Quote</v>
      </c>
      <c r="G104" s="68" t="str">
        <f t="shared" si="35"/>
        <v>USDFF3L7Y_Quote</v>
      </c>
      <c r="H104" s="69" t="str">
        <f>_xll.qlOISAARateHelper(,C104,B104,F104,E104,G104,D104,TRUE,$G$62,$H$62,,Permanent,Trigger,ObjectOverwrite)</f>
        <v>obj_00275#0460</v>
      </c>
      <c r="J104" s="11" t="str">
        <f t="shared" si="30"/>
        <v>BasOIS</v>
      </c>
      <c r="K104" s="105" t="str">
        <f t="shared" si="31"/>
        <v>obj_003f1#0459</v>
      </c>
      <c r="L104" s="108" t="str">
        <f>IFERROR(_xll.qlRateHelperQuoteName(K104,Trigger),"--")</f>
        <v>USDAM3L12Y_Quote</v>
      </c>
      <c r="M104" s="109">
        <f>IFERROR(_xll.qlRateHelperQuoteValue($K104,Trigger),"--")</f>
        <v>1.8149999999999999E-2</v>
      </c>
      <c r="N104" s="108" t="b">
        <v>1</v>
      </c>
      <c r="O104" s="105">
        <v>60</v>
      </c>
      <c r="P104" s="105">
        <v>1</v>
      </c>
      <c r="Q104" s="110">
        <f>IFERROR(_xll.qlRateHelperEarliestDate(K104,Trigger),"--")</f>
        <v>42450</v>
      </c>
      <c r="R104" s="110">
        <f>IFERROR(_xll.qlRateHelperPillarDate(K104,Trigger),"--")</f>
        <v>46833</v>
      </c>
      <c r="T104" s="4" t="str">
        <f t="shared" si="19"/>
        <v/>
      </c>
      <c r="U104" s="4" t="e">
        <v>#N/A</v>
      </c>
      <c r="V104" s="4" t="str">
        <f>IFERROR(_xll.qlRateHelperQuoteName(U104,Trigger),"")</f>
        <v/>
      </c>
      <c r="W104" s="75" t="str">
        <f>IFERROR(_xll.qlRateHelperRate(U104,Trigger),"")</f>
        <v/>
      </c>
      <c r="X104" s="115" t="str">
        <f>IF(ISERROR(_xll.qlSwapRateHelperSpread($U104)),IF(ISERROR(_xll.qlFuturesRateHelperConvexityAdjustment($U104)),"",_xll.qlFuturesRateHelperConvexityAdjustment($U104)),_xll.qlSwapRateHelperSpread($U104))</f>
        <v/>
      </c>
      <c r="Y104" s="5" t="str">
        <f>IFERROR(_xll.qlRateHelperEarliestDate(U104,Trigger),"")</f>
        <v/>
      </c>
      <c r="Z104" s="5" t="str">
        <f>IFERROR(_xll.qlRateHelperPillarDate(U104,Trigger),"")</f>
        <v/>
      </c>
      <c r="AA104" s="5" t="e">
        <v>#N/A</v>
      </c>
      <c r="AC104" s="198"/>
      <c r="AF104" s="230"/>
      <c r="AG104" s="198">
        <v>51673</v>
      </c>
      <c r="AH104" s="261">
        <v>6.1599742634015475E-3</v>
      </c>
      <c r="AI104" s="261">
        <v>1</v>
      </c>
      <c r="AJ104" s="198">
        <v>51581</v>
      </c>
      <c r="AK104" s="198">
        <v>51673</v>
      </c>
      <c r="AL104" s="200">
        <v>92</v>
      </c>
      <c r="AM104" s="201" t="str">
        <v>FedFundsON Actual/360</v>
      </c>
      <c r="AN104" s="200">
        <v>0</v>
      </c>
      <c r="AO104" s="198">
        <v>51672</v>
      </c>
      <c r="AP104" s="200" t="str">
        <v>Actual/360</v>
      </c>
      <c r="AQ104" s="202">
        <v>0.25555555555555554</v>
      </c>
      <c r="AR104" s="203">
        <v>2.4104247117658233E-2</v>
      </c>
      <c r="AS104" s="245">
        <f>_xll.qlDayCounterYearFraction("actual/365 (fixed)",Evaluationdate,AJ104,,,Trigger)</f>
        <v>25.027397260273972</v>
      </c>
      <c r="AT104" s="246">
        <f>_xll.qlDayCounterYearFraction("actual/365 (fixed)",Evaluationdate,AK104,,,Trigger)</f>
        <v>25.279452054794522</v>
      </c>
      <c r="AU104" s="246">
        <f>_xll.qlDayCounterYearFraction(AP104,AJ104,AK104,,,Trigger)</f>
        <v>0.25555555555555554</v>
      </c>
      <c r="AV104" s="247">
        <f>_xll.qlYieldTSDiscount("USDON",AJ104,,Trigger)</f>
        <v>0.63569449071252171</v>
      </c>
      <c r="AW104" s="247">
        <f>_xll.qlYieldTSDiscount("USDON",AK104,,Trigger)</f>
        <v>0.63243097627469491</v>
      </c>
      <c r="AX104" s="203">
        <f t="shared" si="36"/>
        <v>3.180142549700688E-6</v>
      </c>
      <c r="AY104" s="203">
        <f t="shared" si="37"/>
        <v>-8.8486551419464377E-5</v>
      </c>
      <c r="AZ104" s="201" t="b">
        <f t="shared" si="38"/>
        <v>1</v>
      </c>
      <c r="BA104" s="195">
        <f t="shared" si="39"/>
        <v>2.3822359903638617E-2</v>
      </c>
      <c r="BB104" s="248">
        <f t="shared" si="40"/>
        <v>0</v>
      </c>
      <c r="BC104" s="248">
        <f t="shared" si="41"/>
        <v>0</v>
      </c>
      <c r="BD104" s="193"/>
      <c r="BE104" s="193"/>
      <c r="BF104" s="193"/>
      <c r="BG104" s="193"/>
      <c r="BH104" s="193"/>
      <c r="BI104" s="193"/>
      <c r="BJ104" s="193"/>
      <c r="BK104" s="193"/>
    </row>
    <row r="105" spans="1:63" x14ac:dyDescent="0.2">
      <c r="A105" s="63" t="s">
        <v>164</v>
      </c>
      <c r="B105" s="64" t="s">
        <v>87</v>
      </c>
      <c r="C105" s="65">
        <v>2</v>
      </c>
      <c r="D105" s="65" t="s">
        <v>166</v>
      </c>
      <c r="E105" s="66" t="s">
        <v>163</v>
      </c>
      <c r="F105" s="68" t="str">
        <f t="shared" si="34"/>
        <v>USDAM3L8Y_Quote</v>
      </c>
      <c r="G105" s="68" t="str">
        <f t="shared" si="35"/>
        <v>USDFF3L8Y_Quote</v>
      </c>
      <c r="H105" s="69"/>
      <c r="J105" s="11" t="str">
        <f t="shared" si="30"/>
        <v>BasOIS</v>
      </c>
      <c r="K105" s="105" t="str">
        <f t="shared" si="31"/>
        <v>obj_003ee#0459</v>
      </c>
      <c r="L105" s="108" t="str">
        <f>IFERROR(_xll.qlRateHelperQuoteName(K105,Trigger),"--")</f>
        <v>USDAM3L15Y_Quote</v>
      </c>
      <c r="M105" s="109">
        <f>IFERROR(_xll.qlRateHelperQuoteValue($K105,Trigger),"--")</f>
        <v>1.9349999999999999E-2</v>
      </c>
      <c r="N105" s="108" t="b">
        <v>1</v>
      </c>
      <c r="O105" s="105">
        <v>60</v>
      </c>
      <c r="P105" s="105">
        <v>1</v>
      </c>
      <c r="Q105" s="110">
        <f>IFERROR(_xll.qlRateHelperEarliestDate(K105,Trigger),"--")</f>
        <v>42450</v>
      </c>
      <c r="R105" s="110">
        <f>IFERROR(_xll.qlRateHelperPillarDate(K105,Trigger),"--")</f>
        <v>47928</v>
      </c>
      <c r="T105" s="4" t="str">
        <f t="shared" si="19"/>
        <v/>
      </c>
      <c r="U105" s="4" t="e">
        <v>#N/A</v>
      </c>
      <c r="V105" s="4" t="str">
        <f>IFERROR(_xll.qlRateHelperQuoteName(U105,Trigger),"")</f>
        <v/>
      </c>
      <c r="W105" s="75" t="str">
        <f>IFERROR(_xll.qlRateHelperRate(U105,Trigger),"")</f>
        <v/>
      </c>
      <c r="X105" s="115" t="str">
        <f>IF(ISERROR(_xll.qlSwapRateHelperSpread($U105)),IF(ISERROR(_xll.qlFuturesRateHelperConvexityAdjustment($U105)),"",_xll.qlFuturesRateHelperConvexityAdjustment($U105)),_xll.qlSwapRateHelperSpread($U105))</f>
        <v/>
      </c>
      <c r="Y105" s="5" t="str">
        <f>IFERROR(_xll.qlRateHelperEarliestDate(U105,Trigger),"")</f>
        <v/>
      </c>
      <c r="Z105" s="5" t="str">
        <f>IFERROR(_xll.qlRateHelperPillarDate(U105,Trigger),"")</f>
        <v/>
      </c>
      <c r="AA105" s="5" t="e">
        <v>#N/A</v>
      </c>
      <c r="AC105" s="190"/>
      <c r="AF105" s="230"/>
      <c r="AG105" s="198">
        <v>51767</v>
      </c>
      <c r="AH105" s="261">
        <v>6.1598334706944409E-3</v>
      </c>
      <c r="AI105" s="261">
        <v>1</v>
      </c>
      <c r="AJ105" s="198">
        <v>51673</v>
      </c>
      <c r="AK105" s="198">
        <v>51767</v>
      </c>
      <c r="AL105" s="200">
        <v>94</v>
      </c>
      <c r="AM105" s="201" t="str">
        <v>FedFundsON Actual/360</v>
      </c>
      <c r="AN105" s="200">
        <v>0</v>
      </c>
      <c r="AO105" s="198">
        <v>51764</v>
      </c>
      <c r="AP105" s="200" t="str">
        <v>Actual/360</v>
      </c>
      <c r="AQ105" s="202">
        <v>0.26111111111111113</v>
      </c>
      <c r="AR105" s="203">
        <v>2.3590851589893602E-2</v>
      </c>
      <c r="AS105" s="245">
        <f>_xll.qlDayCounterYearFraction("actual/365 (fixed)",Evaluationdate,AJ105,,,Trigger)</f>
        <v>25.279452054794522</v>
      </c>
      <c r="AT105" s="246">
        <f>_xll.qlDayCounterYearFraction("actual/365 (fixed)",Evaluationdate,AK105,,,Trigger)</f>
        <v>25.536986301369861</v>
      </c>
      <c r="AU105" s="246">
        <f>_xll.qlDayCounterYearFraction(AP105,AJ105,AK105,,,Trigger)</f>
        <v>0.26111111111111113</v>
      </c>
      <c r="AV105" s="247">
        <f>_xll.qlYieldTSDiscount("USDON",AJ105,,Trigger)</f>
        <v>0.63243097627469491</v>
      </c>
      <c r="AW105" s="247">
        <f>_xll.qlYieldTSDiscount("USDON",AK105,,Trigger)</f>
        <v>0.62911099412671057</v>
      </c>
      <c r="AX105" s="203">
        <f t="shared" si="36"/>
        <v>3.353348733791162E-6</v>
      </c>
      <c r="AY105" s="203">
        <f t="shared" si="37"/>
        <v>4.803035746903106E-5</v>
      </c>
      <c r="AZ105" s="201" t="b">
        <f t="shared" si="38"/>
        <v>1</v>
      </c>
      <c r="BA105" s="195">
        <f t="shared" si="39"/>
        <v>2.3840782145445938E-2</v>
      </c>
      <c r="BB105" s="248">
        <f t="shared" si="40"/>
        <v>0</v>
      </c>
      <c r="BC105" s="248">
        <f t="shared" si="41"/>
        <v>0</v>
      </c>
      <c r="BD105" s="193"/>
      <c r="BE105" s="193"/>
      <c r="BF105" s="193"/>
      <c r="BG105" s="193"/>
      <c r="BH105" s="193"/>
      <c r="BI105" s="193"/>
      <c r="BJ105" s="193"/>
      <c r="BK105" s="193"/>
    </row>
    <row r="106" spans="1:63" x14ac:dyDescent="0.2">
      <c r="A106" s="63" t="s">
        <v>164</v>
      </c>
      <c r="B106" s="64" t="s">
        <v>88</v>
      </c>
      <c r="C106" s="65">
        <v>2</v>
      </c>
      <c r="D106" s="65" t="s">
        <v>166</v>
      </c>
      <c r="E106" s="66" t="s">
        <v>163</v>
      </c>
      <c r="F106" s="68" t="str">
        <f t="shared" si="34"/>
        <v>USDAM3L9Y_Quote</v>
      </c>
      <c r="G106" s="68" t="str">
        <f t="shared" si="35"/>
        <v>USDFF3L9Y_Quote</v>
      </c>
      <c r="H106" s="69"/>
      <c r="J106" s="11" t="str">
        <f t="shared" si="30"/>
        <v>BasOIS</v>
      </c>
      <c r="K106" s="105" t="str">
        <f t="shared" si="31"/>
        <v>obj_003f0#0459</v>
      </c>
      <c r="L106" s="108" t="str">
        <f>IFERROR(_xll.qlRateHelperQuoteName(K106,Trigger),"--")</f>
        <v>USDAM3L20Y_Quote</v>
      </c>
      <c r="M106" s="109">
        <f>IFERROR(_xll.qlRateHelperQuoteValue($K106,Trigger),"--")</f>
        <v>2.0550000000000002E-2</v>
      </c>
      <c r="N106" s="108" t="b">
        <v>1</v>
      </c>
      <c r="O106" s="105">
        <v>60</v>
      </c>
      <c r="P106" s="105">
        <v>1</v>
      </c>
      <c r="Q106" s="110">
        <f>IFERROR(_xll.qlRateHelperEarliestDate(K106,Trigger),"--")</f>
        <v>42450</v>
      </c>
      <c r="R106" s="110">
        <f>IFERROR(_xll.qlRateHelperPillarDate(K106,Trigger),"--")</f>
        <v>49755</v>
      </c>
      <c r="T106" s="4" t="str">
        <f t="shared" si="19"/>
        <v/>
      </c>
      <c r="U106" s="4" t="e">
        <v>#N/A</v>
      </c>
      <c r="V106" s="4" t="str">
        <f>IFERROR(_xll.qlRateHelperQuoteName(U106,Trigger),"")</f>
        <v/>
      </c>
      <c r="W106" s="75" t="str">
        <f>IFERROR(_xll.qlRateHelperRate(U106,Trigger),"")</f>
        <v/>
      </c>
      <c r="X106" s="115" t="str">
        <f>IF(ISERROR(_xll.qlSwapRateHelperSpread($U106)),IF(ISERROR(_xll.qlFuturesRateHelperConvexityAdjustment($U106)),"",_xll.qlFuturesRateHelperConvexityAdjustment($U106)),_xll.qlSwapRateHelperSpread($U106))</f>
        <v/>
      </c>
      <c r="Y106" s="5" t="str">
        <f>IFERROR(_xll.qlRateHelperEarliestDate(U106,Trigger),"")</f>
        <v/>
      </c>
      <c r="Z106" s="5" t="str">
        <f>IFERROR(_xll.qlRateHelperPillarDate(U106,Trigger),"")</f>
        <v/>
      </c>
      <c r="AA106" s="5" t="e">
        <v>#N/A</v>
      </c>
      <c r="AF106" s="230"/>
      <c r="AG106" s="198">
        <v>51858</v>
      </c>
      <c r="AH106" s="261">
        <v>6.0138173192347986E-3</v>
      </c>
      <c r="AI106" s="261">
        <v>1</v>
      </c>
      <c r="AJ106" s="198">
        <v>51767</v>
      </c>
      <c r="AK106" s="198">
        <v>51858</v>
      </c>
      <c r="AL106" s="200">
        <v>91</v>
      </c>
      <c r="AM106" s="201" t="str">
        <v>FedFundsON Actual/360</v>
      </c>
      <c r="AN106" s="200">
        <v>0</v>
      </c>
      <c r="AO106" s="198">
        <v>51855</v>
      </c>
      <c r="AP106" s="200" t="str">
        <v>Actual/360</v>
      </c>
      <c r="AQ106" s="202">
        <v>0.25277777777777777</v>
      </c>
      <c r="AR106" s="203">
        <v>2.3790925658511292E-2</v>
      </c>
      <c r="AS106" s="245">
        <f>_xll.qlDayCounterYearFraction("actual/365 (fixed)",Evaluationdate,AJ106,,,Trigger)</f>
        <v>25.536986301369861</v>
      </c>
      <c r="AT106" s="246">
        <f>_xll.qlDayCounterYearFraction("actual/365 (fixed)",Evaluationdate,AK106,,,Trigger)</f>
        <v>25.786301369863015</v>
      </c>
      <c r="AU106" s="246">
        <f>_xll.qlDayCounterYearFraction(AP106,AJ106,AK106,,,Trigger)</f>
        <v>0.25277777777777777</v>
      </c>
      <c r="AV106" s="247">
        <f>_xll.qlYieldTSDiscount("USDON",AJ106,,Trigger)</f>
        <v>0.62911099412671057</v>
      </c>
      <c r="AW106" s="247">
        <f>_xll.qlYieldTSDiscount("USDON",AK106,,Trigger)</f>
        <v>0.62591149754760256</v>
      </c>
      <c r="AX106" s="203">
        <f t="shared" si="36"/>
        <v>3.1747380282497326E-6</v>
      </c>
      <c r="AY106" s="203">
        <f t="shared" si="37"/>
        <v>-6.897260540483785E-7</v>
      </c>
      <c r="AZ106" s="201" t="b">
        <f t="shared" si="38"/>
        <v>1</v>
      </c>
      <c r="BA106" s="195">
        <f t="shared" si="39"/>
        <v>2.3852266492558033E-2</v>
      </c>
      <c r="BB106" s="248">
        <f t="shared" si="40"/>
        <v>0</v>
      </c>
      <c r="BC106" s="248">
        <f t="shared" si="41"/>
        <v>0</v>
      </c>
      <c r="BD106" s="193"/>
      <c r="BE106" s="193"/>
      <c r="BF106" s="193"/>
      <c r="BG106" s="193"/>
      <c r="BH106" s="193"/>
      <c r="BI106" s="193"/>
      <c r="BJ106" s="193"/>
      <c r="BK106" s="193"/>
    </row>
    <row r="107" spans="1:63" x14ac:dyDescent="0.2">
      <c r="A107" s="63" t="s">
        <v>164</v>
      </c>
      <c r="B107" s="64" t="s">
        <v>89</v>
      </c>
      <c r="C107" s="65">
        <v>2</v>
      </c>
      <c r="D107" s="65" t="s">
        <v>166</v>
      </c>
      <c r="E107" s="66" t="s">
        <v>163</v>
      </c>
      <c r="F107" s="68" t="str">
        <f t="shared" si="34"/>
        <v>USDAM3L10Y_Quote</v>
      </c>
      <c r="G107" s="68" t="str">
        <f t="shared" si="35"/>
        <v>USDFF3L10Y_Quote</v>
      </c>
      <c r="H107" s="69" t="str">
        <f>_xll.qlOISAARateHelper(,C107,B107,F107,E107,G107,D107,TRUE,$G$62,$H$62,,Permanent,Trigger,ObjectOverwrite)</f>
        <v>obj_00272#0460</v>
      </c>
      <c r="J107" s="11" t="str">
        <f t="shared" si="30"/>
        <v>BasOIS</v>
      </c>
      <c r="K107" s="105" t="str">
        <f t="shared" si="31"/>
        <v>obj_003ef#0459</v>
      </c>
      <c r="L107" s="108" t="str">
        <f>IFERROR(_xll.qlRateHelperQuoteName(K107,Trigger),"--")</f>
        <v>USDAM3L25Y_Quote</v>
      </c>
      <c r="M107" s="109">
        <f>IFERROR(_xll.qlRateHelperQuoteValue($K107,Trigger),"--")</f>
        <v>2.1129999999999999E-2</v>
      </c>
      <c r="N107" s="108" t="b">
        <v>1</v>
      </c>
      <c r="O107" s="105">
        <v>60</v>
      </c>
      <c r="P107" s="105">
        <v>1</v>
      </c>
      <c r="Q107" s="110">
        <f>IFERROR(_xll.qlRateHelperEarliestDate(K107,Trigger),"--")</f>
        <v>42450</v>
      </c>
      <c r="R107" s="110">
        <f>IFERROR(_xll.qlRateHelperPillarDate(K107,Trigger),"--")</f>
        <v>51581</v>
      </c>
      <c r="T107" s="4" t="str">
        <f t="shared" si="19"/>
        <v/>
      </c>
      <c r="U107" s="4" t="e">
        <v>#N/A</v>
      </c>
      <c r="V107" s="4" t="str">
        <f>IFERROR(_xll.qlRateHelperQuoteName(U107,Trigger),"")</f>
        <v/>
      </c>
      <c r="W107" s="75" t="str">
        <f>IFERROR(_xll.qlRateHelperRate(U107,Trigger),"")</f>
        <v/>
      </c>
      <c r="X107" s="115" t="str">
        <f>IF(ISERROR(_xll.qlSwapRateHelperSpread($U107)),IF(ISERROR(_xll.qlFuturesRateHelperConvexityAdjustment($U107)),"",_xll.qlFuturesRateHelperConvexityAdjustment($U107)),_xll.qlSwapRateHelperSpread($U107))</f>
        <v/>
      </c>
      <c r="Y107" s="5" t="str">
        <f>IFERROR(_xll.qlRateHelperEarliestDate(U107,Trigger),"")</f>
        <v/>
      </c>
      <c r="Z107" s="5" t="str">
        <f>IFERROR(_xll.qlRateHelperPillarDate(U107,Trigger),"")</f>
        <v/>
      </c>
      <c r="AA107" s="5" t="e">
        <v>#N/A</v>
      </c>
      <c r="AF107" s="230"/>
      <c r="AG107" s="198">
        <v>51946</v>
      </c>
      <c r="AH107" s="261">
        <v>5.8183927519755612E-3</v>
      </c>
      <c r="AI107" s="261">
        <v>1</v>
      </c>
      <c r="AJ107" s="198">
        <v>51858</v>
      </c>
      <c r="AK107" s="198">
        <v>51946</v>
      </c>
      <c r="AL107" s="200">
        <v>88</v>
      </c>
      <c r="AM107" s="201" t="str">
        <v>FedFundsON Actual/360</v>
      </c>
      <c r="AN107" s="200">
        <v>0</v>
      </c>
      <c r="AO107" s="198">
        <v>51945</v>
      </c>
      <c r="AP107" s="200" t="str">
        <v>Actual/360</v>
      </c>
      <c r="AQ107" s="202">
        <v>0.24444444444444444</v>
      </c>
      <c r="AR107" s="203">
        <v>2.3802515803536387E-2</v>
      </c>
      <c r="AS107" s="245">
        <f>_xll.qlDayCounterYearFraction("actual/365 (fixed)",Evaluationdate,AJ107,,,Trigger)</f>
        <v>25.786301369863015</v>
      </c>
      <c r="AT107" s="246">
        <f>_xll.qlDayCounterYearFraction("actual/365 (fixed)",Evaluationdate,AK107,,,Trigger)</f>
        <v>26.027397260273972</v>
      </c>
      <c r="AU107" s="246">
        <f>_xll.qlDayCounterYearFraction(AP107,AJ107,AK107,,,Trigger)</f>
        <v>0.24444444444444444</v>
      </c>
      <c r="AV107" s="247">
        <f>_xll.qlYieldTSDiscount("USDON",AJ107,,Trigger)</f>
        <v>0.62591149754760256</v>
      </c>
      <c r="AW107" s="247">
        <f>_xll.qlYieldTSDiscount("USDON",AK107,,Trigger)</f>
        <v>0.62283160318704511</v>
      </c>
      <c r="AX107" s="203">
        <f t="shared" si="36"/>
        <v>2.9978504822179863E-6</v>
      </c>
      <c r="AY107" s="203">
        <f t="shared" si="37"/>
        <v>-1.2562728635145959E-6</v>
      </c>
      <c r="AZ107" s="201" t="b">
        <f t="shared" si="38"/>
        <v>1</v>
      </c>
      <c r="BA107" s="195">
        <f t="shared" si="39"/>
        <v>2.3859493452438194E-2</v>
      </c>
      <c r="BB107" s="248">
        <f t="shared" si="40"/>
        <v>0</v>
      </c>
      <c r="BC107" s="248">
        <f t="shared" si="41"/>
        <v>0</v>
      </c>
      <c r="BD107" s="193"/>
      <c r="BE107" s="193"/>
      <c r="BF107" s="193"/>
      <c r="BG107" s="193"/>
      <c r="BH107" s="193"/>
      <c r="BI107" s="193"/>
      <c r="BJ107" s="193"/>
      <c r="BK107" s="193"/>
    </row>
    <row r="108" spans="1:63" x14ac:dyDescent="0.2">
      <c r="A108" s="63" t="s">
        <v>164</v>
      </c>
      <c r="B108" s="64" t="s">
        <v>90</v>
      </c>
      <c r="C108" s="65">
        <v>2</v>
      </c>
      <c r="D108" s="65" t="s">
        <v>166</v>
      </c>
      <c r="E108" s="66" t="s">
        <v>163</v>
      </c>
      <c r="F108" s="68" t="str">
        <f t="shared" si="34"/>
        <v>USDAM3L12Y_Quote</v>
      </c>
      <c r="G108" s="68" t="str">
        <f t="shared" si="35"/>
        <v>USDFF3L12Y_Quote</v>
      </c>
      <c r="H108" s="69" t="str">
        <f>_xll.qlOISAARateHelper(,C108,B108,F108,E108,G108,D108,TRUE,$G$62,$H$62,,Permanent,Trigger,ObjectOverwrite)</f>
        <v>obj_003f1#0459</v>
      </c>
      <c r="J108" s="11" t="str">
        <f t="shared" si="30"/>
        <v>BasOIS</v>
      </c>
      <c r="K108" s="105" t="str">
        <f t="shared" si="31"/>
        <v>--</v>
      </c>
      <c r="L108" s="108" t="str">
        <f>IFERROR(_xll.qlRateHelperQuoteName(K108,Trigger),"--")</f>
        <v>--</v>
      </c>
      <c r="M108" s="109" t="str">
        <f>IFERROR(_xll.qlRateHelperQuoteValue($K108,Trigger),"--")</f>
        <v>--</v>
      </c>
      <c r="N108" s="108" t="b">
        <v>0</v>
      </c>
      <c r="O108" s="105">
        <v>60</v>
      </c>
      <c r="P108" s="105">
        <v>1</v>
      </c>
      <c r="Q108" s="110" t="str">
        <f>IFERROR(_xll.qlRateHelperEarliestDate(K108,Trigger),"--")</f>
        <v>--</v>
      </c>
      <c r="R108" s="110" t="str">
        <f>IFERROR(_xll.qlRateHelperPillarDate(K108,Trigger),"--")</f>
        <v>--</v>
      </c>
      <c r="T108" s="4" t="str">
        <f t="shared" si="19"/>
        <v/>
      </c>
      <c r="U108" s="4" t="e">
        <v>#N/A</v>
      </c>
      <c r="V108" s="4" t="str">
        <f>IFERROR(_xll.qlRateHelperQuoteName(U108,Trigger),"")</f>
        <v/>
      </c>
      <c r="W108" s="75" t="str">
        <f>IFERROR(_xll.qlRateHelperRate(U108,Trigger),"")</f>
        <v/>
      </c>
      <c r="X108" s="115" t="str">
        <f>IF(ISERROR(_xll.qlSwapRateHelperSpread($U108)),IF(ISERROR(_xll.qlFuturesRateHelperConvexityAdjustment($U108)),"",_xll.qlFuturesRateHelperConvexityAdjustment($U108)),_xll.qlSwapRateHelperSpread($U108))</f>
        <v/>
      </c>
      <c r="Y108" s="5" t="str">
        <f>IFERROR(_xll.qlRateHelperEarliestDate(U108,Trigger),"")</f>
        <v/>
      </c>
      <c r="Z108" s="5" t="str">
        <f>IFERROR(_xll.qlRateHelperPillarDate(U108,Trigger),"")</f>
        <v/>
      </c>
      <c r="AA108" s="5" t="e">
        <v>#N/A</v>
      </c>
      <c r="AF108" s="230"/>
      <c r="AG108" s="198">
        <v>52040</v>
      </c>
      <c r="AH108" s="261">
        <v>6.1668195446502412E-3</v>
      </c>
      <c r="AI108" s="261">
        <v>1</v>
      </c>
      <c r="AJ108" s="198">
        <v>51946</v>
      </c>
      <c r="AK108" s="198">
        <v>52040</v>
      </c>
      <c r="AL108" s="200">
        <v>94</v>
      </c>
      <c r="AM108" s="201" t="str">
        <v>FedFundsON Actual/360</v>
      </c>
      <c r="AN108" s="200">
        <v>0</v>
      </c>
      <c r="AO108" s="198">
        <v>52037</v>
      </c>
      <c r="AP108" s="200" t="str">
        <v>Actual/360</v>
      </c>
      <c r="AQ108" s="202">
        <v>0.26111111111111113</v>
      </c>
      <c r="AR108" s="203">
        <v>2.3617606766745604E-2</v>
      </c>
      <c r="AS108" s="245">
        <f>_xll.qlDayCounterYearFraction("actual/365 (fixed)",Evaluationdate,AJ108,,,Trigger)</f>
        <v>26.027397260273972</v>
      </c>
      <c r="AT108" s="246">
        <f>_xll.qlDayCounterYearFraction("actual/365 (fixed)",Evaluationdate,AK108,,,Trigger)</f>
        <v>26.284931506849315</v>
      </c>
      <c r="AU108" s="246">
        <f>_xll.qlDayCounterYearFraction(AP108,AJ108,AK108,,,Trigger)</f>
        <v>0.26111111111111113</v>
      </c>
      <c r="AV108" s="247">
        <f>_xll.qlYieldTSDiscount("USDON",AJ108,,Trigger)</f>
        <v>0.62283160318704511</v>
      </c>
      <c r="AW108" s="247">
        <f>_xll.qlYieldTSDiscount("USDON",AK108,,Trigger)</f>
        <v>0.61955761932587639</v>
      </c>
      <c r="AX108" s="203">
        <f t="shared" si="36"/>
        <v>3.4525671180654495E-6</v>
      </c>
      <c r="AY108" s="203">
        <f t="shared" si="37"/>
        <v>4.8037462896388661E-5</v>
      </c>
      <c r="AZ108" s="201" t="b">
        <f t="shared" si="38"/>
        <v>1</v>
      </c>
      <c r="BA108" s="195">
        <f t="shared" si="39"/>
        <v>2.3868087959612296E-2</v>
      </c>
      <c r="BB108" s="248">
        <f t="shared" si="40"/>
        <v>0</v>
      </c>
      <c r="BC108" s="248">
        <f t="shared" si="41"/>
        <v>0</v>
      </c>
      <c r="BD108" s="193"/>
      <c r="BE108" s="193"/>
      <c r="BF108" s="193"/>
      <c r="BG108" s="193"/>
      <c r="BH108" s="193"/>
      <c r="BI108" s="193"/>
      <c r="BJ108" s="193"/>
      <c r="BK108" s="193"/>
    </row>
    <row r="109" spans="1:63" x14ac:dyDescent="0.2">
      <c r="A109" s="63" t="s">
        <v>164</v>
      </c>
      <c r="B109" s="64" t="s">
        <v>91</v>
      </c>
      <c r="C109" s="65">
        <v>2</v>
      </c>
      <c r="D109" s="65" t="s">
        <v>166</v>
      </c>
      <c r="E109" s="66" t="s">
        <v>163</v>
      </c>
      <c r="F109" s="68" t="str">
        <f t="shared" si="34"/>
        <v>USDAM3L15Y_Quote</v>
      </c>
      <c r="G109" s="68" t="str">
        <f t="shared" si="35"/>
        <v>USDFF3L15Y_Quote</v>
      </c>
      <c r="H109" s="69" t="str">
        <f>_xll.qlOISAARateHelper(,C109,B109,F109,E109,G109,D109,TRUE,$G$62,$H$62,,Permanent,Trigger,ObjectOverwrite)</f>
        <v>obj_003ee#0459</v>
      </c>
      <c r="J109" s="11" t="str">
        <f t="shared" si="30"/>
        <v>BasOIS</v>
      </c>
      <c r="K109" s="105" t="str">
        <f t="shared" si="31"/>
        <v>obj_003ed#0459</v>
      </c>
      <c r="L109" s="108" t="str">
        <f>IFERROR(_xll.qlRateHelperQuoteName(K109,Trigger),"--")</f>
        <v>USDAM3L30Y_Quote</v>
      </c>
      <c r="M109" s="109">
        <f>IFERROR(_xll.qlRateHelperQuoteValue($K109,Trigger),"--")</f>
        <v>2.1480000000000003E-2</v>
      </c>
      <c r="N109" s="108" t="b">
        <v>1</v>
      </c>
      <c r="O109" s="105">
        <v>60</v>
      </c>
      <c r="P109" s="105">
        <v>1</v>
      </c>
      <c r="Q109" s="110">
        <f>IFERROR(_xll.qlRateHelperEarliestDate(K109,Trigger),"--")</f>
        <v>42450</v>
      </c>
      <c r="R109" s="110">
        <f>IFERROR(_xll.qlRateHelperPillarDate(K109,Trigger),"--")</f>
        <v>53407</v>
      </c>
      <c r="T109" s="4" t="str">
        <f t="shared" si="19"/>
        <v/>
      </c>
      <c r="U109" s="4" t="e">
        <v>#N/A</v>
      </c>
      <c r="V109" s="4" t="str">
        <f>IFERROR(_xll.qlRateHelperQuoteName(U109,Trigger),"")</f>
        <v/>
      </c>
      <c r="W109" s="75" t="str">
        <f>IFERROR(_xll.qlRateHelperRate(U109,Trigger),"")</f>
        <v/>
      </c>
      <c r="X109" s="115" t="str">
        <f>IF(ISERROR(_xll.qlSwapRateHelperSpread($U109)),IF(ISERROR(_xll.qlFuturesRateHelperConvexityAdjustment($U109)),"",_xll.qlFuturesRateHelperConvexityAdjustment($U109)),_xll.qlSwapRateHelperSpread($U109))</f>
        <v/>
      </c>
      <c r="Y109" s="5" t="str">
        <f>IFERROR(_xll.qlRateHelperEarliestDate(U109,Trigger),"")</f>
        <v/>
      </c>
      <c r="Z109" s="5" t="str">
        <f>IFERROR(_xll.qlRateHelperPillarDate(U109,Trigger),"")</f>
        <v/>
      </c>
      <c r="AA109" s="5" t="e">
        <v>#N/A</v>
      </c>
      <c r="AF109" s="230"/>
      <c r="AG109" s="198">
        <v>52131</v>
      </c>
      <c r="AH109" s="261">
        <v>6.0176138412443353E-3</v>
      </c>
      <c r="AI109" s="261">
        <v>1</v>
      </c>
      <c r="AJ109" s="198">
        <v>52040</v>
      </c>
      <c r="AK109" s="198">
        <v>52131</v>
      </c>
      <c r="AL109" s="200">
        <v>91</v>
      </c>
      <c r="AM109" s="201" t="str">
        <v>FedFundsON Actual/360</v>
      </c>
      <c r="AN109" s="200">
        <v>0</v>
      </c>
      <c r="AO109" s="198">
        <v>52128</v>
      </c>
      <c r="AP109" s="200" t="str">
        <v>Actual/360</v>
      </c>
      <c r="AQ109" s="202">
        <v>0.25277777777777777</v>
      </c>
      <c r="AR109" s="203">
        <v>2.3805944866461107E-2</v>
      </c>
      <c r="AS109" s="245">
        <f>_xll.qlDayCounterYearFraction("actual/365 (fixed)",Evaluationdate,AJ109,,,Trigger)</f>
        <v>26.284931506849315</v>
      </c>
      <c r="AT109" s="246">
        <f>_xll.qlDayCounterYearFraction("actual/365 (fixed)",Evaluationdate,AK109,,,Trigger)</f>
        <v>26.534246575342465</v>
      </c>
      <c r="AU109" s="246">
        <f>_xll.qlDayCounterYearFraction(AP109,AJ109,AK109,,,Trigger)</f>
        <v>0.25277777777777777</v>
      </c>
      <c r="AV109" s="247">
        <f>_xll.qlYieldTSDiscount("USDON",AJ109,,Trigger)</f>
        <v>0.61955761932587639</v>
      </c>
      <c r="AW109" s="247">
        <f>_xll.qlYieldTSDiscount("USDON",AK109,,Trigger)</f>
        <v>0.61640431561730757</v>
      </c>
      <c r="AX109" s="203">
        <f t="shared" si="36"/>
        <v>3.2677244313342187E-6</v>
      </c>
      <c r="AY109" s="203">
        <f t="shared" si="37"/>
        <v>-6.968314814059795E-7</v>
      </c>
      <c r="AZ109" s="201" t="b">
        <f t="shared" si="38"/>
        <v>1</v>
      </c>
      <c r="BA109" s="195">
        <f t="shared" si="39"/>
        <v>2.3867703990377881E-2</v>
      </c>
      <c r="BB109" s="248">
        <f t="shared" si="40"/>
        <v>0</v>
      </c>
      <c r="BC109" s="248">
        <f t="shared" si="41"/>
        <v>0</v>
      </c>
      <c r="BD109" s="193"/>
      <c r="BE109" s="193"/>
      <c r="BF109" s="193"/>
      <c r="BG109" s="193"/>
      <c r="BH109" s="193"/>
      <c r="BI109" s="193"/>
      <c r="BJ109" s="193"/>
      <c r="BK109" s="193"/>
    </row>
    <row r="110" spans="1:63" x14ac:dyDescent="0.2">
      <c r="A110" s="63" t="s">
        <v>164</v>
      </c>
      <c r="B110" s="64" t="s">
        <v>92</v>
      </c>
      <c r="C110" s="65">
        <v>2</v>
      </c>
      <c r="D110" s="65" t="s">
        <v>166</v>
      </c>
      <c r="E110" s="66" t="s">
        <v>163</v>
      </c>
      <c r="F110" s="68" t="str">
        <f t="shared" si="34"/>
        <v>USDAM3L20Y_Quote</v>
      </c>
      <c r="G110" s="68" t="str">
        <f t="shared" si="35"/>
        <v>USDFF3L20Y_Quote</v>
      </c>
      <c r="H110" s="69" t="str">
        <f>_xll.qlOISAARateHelper(,C110,B110,F110,E110,G110,D110,TRUE,$G$62,$H$62,,Permanent,Trigger,ObjectOverwrite)</f>
        <v>obj_003f0#0459</v>
      </c>
      <c r="J110" s="11" t="str">
        <f t="shared" si="30"/>
        <v>BasOIS</v>
      </c>
      <c r="K110" s="105" t="str">
        <f t="shared" si="31"/>
        <v>--</v>
      </c>
      <c r="L110" s="108" t="str">
        <f>IFERROR(_xll.qlRateHelperQuoteName(K110,Trigger),"--")</f>
        <v>--</v>
      </c>
      <c r="M110" s="109" t="str">
        <f>IFERROR(_xll.qlRateHelperQuoteValue($K110,Trigger),"--")</f>
        <v>--</v>
      </c>
      <c r="N110" s="108" t="b">
        <v>0</v>
      </c>
      <c r="O110" s="105">
        <v>60</v>
      </c>
      <c r="P110" s="105">
        <v>1</v>
      </c>
      <c r="Q110" s="110" t="str">
        <f>IFERROR(_xll.qlRateHelperEarliestDate(K110,Trigger),"--")</f>
        <v>--</v>
      </c>
      <c r="R110" s="110" t="str">
        <f>IFERROR(_xll.qlRateHelperPillarDate(K110,Trigger),"--")</f>
        <v>--</v>
      </c>
      <c r="T110" s="4" t="str">
        <f t="shared" si="19"/>
        <v/>
      </c>
      <c r="U110" s="4" t="e">
        <v>#N/A</v>
      </c>
      <c r="V110" s="4" t="str">
        <f>IFERROR(_xll.qlRateHelperQuoteName(U110,Trigger),"")</f>
        <v/>
      </c>
      <c r="W110" s="75" t="str">
        <f>IFERROR(_xll.qlRateHelperRate(U110,Trigger),"")</f>
        <v/>
      </c>
      <c r="X110" s="115" t="str">
        <f>IF(ISERROR(_xll.qlSwapRateHelperSpread($U110)),IF(ISERROR(_xll.qlFuturesRateHelperConvexityAdjustment($U110)),"",_xll.qlFuturesRateHelperConvexityAdjustment($U110)),_xll.qlSwapRateHelperSpread($U110))</f>
        <v/>
      </c>
      <c r="Y110" s="5" t="str">
        <f>IFERROR(_xll.qlRateHelperEarliestDate(U110,Trigger),"")</f>
        <v/>
      </c>
      <c r="Z110" s="5" t="str">
        <f>IFERROR(_xll.qlRateHelperPillarDate(U110,Trigger),"")</f>
        <v/>
      </c>
      <c r="AA110" s="5" t="e">
        <v>#N/A</v>
      </c>
      <c r="AC110" s="197"/>
      <c r="AF110" s="230"/>
      <c r="AG110" s="198">
        <v>52222</v>
      </c>
      <c r="AH110" s="261">
        <v>6.0169201412184356E-3</v>
      </c>
      <c r="AI110" s="261">
        <v>1</v>
      </c>
      <c r="AJ110" s="198">
        <v>52131</v>
      </c>
      <c r="AK110" s="198">
        <v>52222</v>
      </c>
      <c r="AL110" s="200">
        <v>91</v>
      </c>
      <c r="AM110" s="201" t="str">
        <v>FedFundsON Actual/360</v>
      </c>
      <c r="AN110" s="200">
        <v>0</v>
      </c>
      <c r="AO110" s="198">
        <v>52219</v>
      </c>
      <c r="AP110" s="200" t="str">
        <v>Actual/360</v>
      </c>
      <c r="AQ110" s="202">
        <v>0.25277777777777777</v>
      </c>
      <c r="AR110" s="203">
        <v>2.3803200558666339E-2</v>
      </c>
      <c r="AS110" s="245">
        <f>_xll.qlDayCounterYearFraction("actual/365 (fixed)",Evaluationdate,AJ110,,,Trigger)</f>
        <v>26.534246575342465</v>
      </c>
      <c r="AT110" s="246">
        <f>_xll.qlDayCounterYearFraction("actual/365 (fixed)",Evaluationdate,AK110,,,Trigger)</f>
        <v>26.783561643835615</v>
      </c>
      <c r="AU110" s="246">
        <f>_xll.qlDayCounterYearFraction(AP110,AJ110,AK110,,,Trigger)</f>
        <v>0.25277777777777777</v>
      </c>
      <c r="AV110" s="247">
        <f>_xll.qlYieldTSDiscount("USDON",AJ110,,Trigger)</f>
        <v>0.61640431561730757</v>
      </c>
      <c r="AW110" s="247">
        <f>_xll.qlYieldTSDiscount("USDON",AK110,,Trigger)</f>
        <v>0.61326746739482374</v>
      </c>
      <c r="AX110" s="203">
        <f t="shared" si="36"/>
        <v>3.2987199299451973E-6</v>
      </c>
      <c r="AY110" s="203">
        <f t="shared" si="37"/>
        <v>-6.968314814059795E-7</v>
      </c>
      <c r="AZ110" s="201" t="b">
        <f t="shared" si="38"/>
        <v>1</v>
      </c>
      <c r="BA110" s="195">
        <f t="shared" si="39"/>
        <v>2.386506889139315E-2</v>
      </c>
      <c r="BB110" s="248">
        <f t="shared" si="40"/>
        <v>0</v>
      </c>
      <c r="BC110" s="248">
        <f t="shared" si="41"/>
        <v>0</v>
      </c>
      <c r="BD110" s="193"/>
      <c r="BE110" s="193"/>
      <c r="BF110" s="193"/>
      <c r="BG110" s="193"/>
      <c r="BH110" s="193"/>
      <c r="BI110" s="193"/>
      <c r="BJ110" s="193"/>
      <c r="BK110" s="193"/>
    </row>
    <row r="111" spans="1:63" x14ac:dyDescent="0.2">
      <c r="A111" s="63" t="s">
        <v>164</v>
      </c>
      <c r="B111" s="64" t="s">
        <v>93</v>
      </c>
      <c r="C111" s="65">
        <v>2</v>
      </c>
      <c r="D111" s="65" t="s">
        <v>166</v>
      </c>
      <c r="E111" s="66" t="s">
        <v>163</v>
      </c>
      <c r="F111" s="68" t="str">
        <f t="shared" si="34"/>
        <v>USDAM3L25Y_Quote</v>
      </c>
      <c r="G111" s="68" t="str">
        <f t="shared" si="35"/>
        <v>USDFF3L25Y_Quote</v>
      </c>
      <c r="H111" s="69" t="str">
        <f>_xll.qlOISAARateHelper(,C111,B111,F111,E111,G111,D111,TRUE,$G$62,$H$62,,Permanent,Trigger,ObjectOverwrite)</f>
        <v>obj_003ef#0459</v>
      </c>
      <c r="J111" s="11" t="str">
        <f t="shared" si="30"/>
        <v>BasOIS</v>
      </c>
      <c r="K111" s="105" t="str">
        <f t="shared" si="31"/>
        <v>--</v>
      </c>
      <c r="L111" s="108" t="str">
        <f>IFERROR(_xll.qlRateHelperQuoteName(K111,Trigger),"--")</f>
        <v>--</v>
      </c>
      <c r="M111" s="109" t="str">
        <f>IFERROR(_xll.qlRateHelperQuoteValue($K111,Trigger),"--")</f>
        <v>--</v>
      </c>
      <c r="N111" s="108" t="b">
        <v>0</v>
      </c>
      <c r="O111" s="105">
        <v>60</v>
      </c>
      <c r="P111" s="105">
        <v>1</v>
      </c>
      <c r="Q111" s="110" t="str">
        <f>IFERROR(_xll.qlRateHelperEarliestDate(K111,Trigger),"--")</f>
        <v>--</v>
      </c>
      <c r="R111" s="110" t="str">
        <f>IFERROR(_xll.qlRateHelperPillarDate(K111,Trigger),"--")</f>
        <v>--</v>
      </c>
      <c r="T111" s="4" t="str">
        <f t="shared" si="19"/>
        <v/>
      </c>
      <c r="U111" s="4" t="e">
        <v>#N/A</v>
      </c>
      <c r="V111" s="4" t="str">
        <f>IFERROR(_xll.qlRateHelperQuoteName(U111,Trigger),"")</f>
        <v/>
      </c>
      <c r="W111" s="75" t="str">
        <f>IFERROR(_xll.qlRateHelperRate(U111,Trigger),"")</f>
        <v/>
      </c>
      <c r="X111" s="115" t="str">
        <f>IF(ISERROR(_xll.qlSwapRateHelperSpread($U111)),IF(ISERROR(_xll.qlFuturesRateHelperConvexityAdjustment($U111)),"",_xll.qlFuturesRateHelperConvexityAdjustment($U111)),_xll.qlSwapRateHelperSpread($U111))</f>
        <v/>
      </c>
      <c r="Y111" s="5" t="str">
        <f>IFERROR(_xll.qlRateHelperEarliestDate(U111,Trigger),"")</f>
        <v/>
      </c>
      <c r="Z111" s="5" t="str">
        <f>IFERROR(_xll.qlRateHelperPillarDate(U111,Trigger),"")</f>
        <v/>
      </c>
      <c r="AA111" s="5" t="e">
        <v>#N/A</v>
      </c>
      <c r="AC111" s="198"/>
      <c r="AF111" s="230"/>
      <c r="AG111" s="198">
        <v>52313</v>
      </c>
      <c r="AH111" s="261">
        <v>6.0152409163221022E-3</v>
      </c>
      <c r="AI111" s="261">
        <v>1</v>
      </c>
      <c r="AJ111" s="198">
        <v>52222</v>
      </c>
      <c r="AK111" s="198">
        <v>52313</v>
      </c>
      <c r="AL111" s="200">
        <v>91</v>
      </c>
      <c r="AM111" s="201" t="str">
        <v>FedFundsON Actual/360</v>
      </c>
      <c r="AN111" s="200">
        <v>0</v>
      </c>
      <c r="AO111" s="198">
        <v>52310</v>
      </c>
      <c r="AP111" s="200" t="str">
        <v>Actual/360</v>
      </c>
      <c r="AQ111" s="202">
        <v>0.25277777777777777</v>
      </c>
      <c r="AR111" s="203">
        <v>2.379655747116436E-2</v>
      </c>
      <c r="AS111" s="245">
        <f>_xll.qlDayCounterYearFraction("actual/365 (fixed)",Evaluationdate,AJ111,,,Trigger)</f>
        <v>26.783561643835615</v>
      </c>
      <c r="AT111" s="246">
        <f>_xll.qlDayCounterYearFraction("actual/365 (fixed)",Evaluationdate,AK111,,,Trigger)</f>
        <v>27.032876712328768</v>
      </c>
      <c r="AU111" s="246">
        <f>_xll.qlDayCounterYearFraction(AP111,AJ111,AK111,,,Trigger)</f>
        <v>0.25277777777777777</v>
      </c>
      <c r="AV111" s="247">
        <f>_xll.qlYieldTSDiscount("USDON",AJ111,,Trigger)</f>
        <v>0.61326746739482374</v>
      </c>
      <c r="AW111" s="247">
        <f>_xll.qlYieldTSDiscount("USDON",AK111,,Trigger)</f>
        <v>0.61014758375027434</v>
      </c>
      <c r="AX111" s="203">
        <f t="shared" si="36"/>
        <v>3.32971544400045E-6</v>
      </c>
      <c r="AY111" s="203">
        <f t="shared" si="37"/>
        <v>-6.897260540483785E-7</v>
      </c>
      <c r="AZ111" s="201" t="b">
        <f t="shared" si="38"/>
        <v>1</v>
      </c>
      <c r="BA111" s="195">
        <f t="shared" si="39"/>
        <v>2.3858543329988505E-2</v>
      </c>
      <c r="BB111" s="248">
        <f t="shared" si="40"/>
        <v>0</v>
      </c>
      <c r="BC111" s="248">
        <f t="shared" si="41"/>
        <v>0</v>
      </c>
      <c r="BD111" s="193"/>
      <c r="BE111" s="193"/>
      <c r="BF111" s="193"/>
      <c r="BG111" s="193"/>
      <c r="BH111" s="193"/>
      <c r="BI111" s="193"/>
      <c r="BJ111" s="193"/>
      <c r="BK111" s="193"/>
    </row>
    <row r="112" spans="1:63" x14ac:dyDescent="0.2">
      <c r="A112" s="63" t="s">
        <v>164</v>
      </c>
      <c r="B112" s="64" t="s">
        <v>94</v>
      </c>
      <c r="C112" s="65">
        <v>2</v>
      </c>
      <c r="D112" s="65" t="s">
        <v>166</v>
      </c>
      <c r="E112" s="66" t="s">
        <v>163</v>
      </c>
      <c r="F112" s="68" t="str">
        <f t="shared" si="34"/>
        <v>USDAM3L27Y_Quote</v>
      </c>
      <c r="G112" s="68" t="str">
        <f t="shared" si="35"/>
        <v>USDFF3L27Y_Quote</v>
      </c>
      <c r="H112" s="69"/>
      <c r="J112" s="11" t="str">
        <f t="shared" si="30"/>
        <v>BasOIS</v>
      </c>
      <c r="K112" s="105" t="str">
        <f t="shared" si="31"/>
        <v>--</v>
      </c>
      <c r="L112" s="108" t="str">
        <f>IFERROR(_xll.qlRateHelperQuoteName(K112,Trigger),"--")</f>
        <v>--</v>
      </c>
      <c r="M112" s="109" t="str">
        <f>IFERROR(_xll.qlRateHelperQuoteValue($K112,Trigger),"--")</f>
        <v>--</v>
      </c>
      <c r="N112" s="108" t="b">
        <v>0</v>
      </c>
      <c r="O112" s="105">
        <v>60</v>
      </c>
      <c r="P112" s="105">
        <v>1</v>
      </c>
      <c r="Q112" s="110" t="str">
        <f>IFERROR(_xll.qlRateHelperEarliestDate(K112,Trigger),"--")</f>
        <v>--</v>
      </c>
      <c r="R112" s="110" t="str">
        <f>IFERROR(_xll.qlRateHelperPillarDate(K112,Trigger),"--")</f>
        <v>--</v>
      </c>
      <c r="T112" s="4" t="str">
        <f t="shared" ref="T112:T113" si="42">IFERROR(INDEX($J$3:$J$113,MATCH(V112,$L$3:$L$113,0),1),"")</f>
        <v/>
      </c>
      <c r="U112" s="4" t="e">
        <v>#N/A</v>
      </c>
      <c r="V112" s="4" t="str">
        <f>IFERROR(_xll.qlRateHelperQuoteName(U112,Trigger),"")</f>
        <v/>
      </c>
      <c r="W112" s="75" t="str">
        <f>IFERROR(_xll.qlRateHelperRate(U112,Trigger),"")</f>
        <v/>
      </c>
      <c r="X112" s="115" t="str">
        <f>IF(ISERROR(_xll.qlSwapRateHelperSpread($U112)),IF(ISERROR(_xll.qlFuturesRateHelperConvexityAdjustment($U112)),"",_xll.qlFuturesRateHelperConvexityAdjustment($U112)),_xll.qlSwapRateHelperSpread($U112))</f>
        <v/>
      </c>
      <c r="Y112" s="5" t="str">
        <f>IFERROR(_xll.qlRateHelperEarliestDate(U112,Trigger),"")</f>
        <v/>
      </c>
      <c r="Z112" s="5" t="str">
        <f>IFERROR(_xll.qlRateHelperPillarDate(U112,Trigger),"")</f>
        <v/>
      </c>
      <c r="AA112" s="5" t="e">
        <v>#N/A</v>
      </c>
      <c r="AC112" s="198"/>
      <c r="AF112" s="230"/>
      <c r="AG112" s="198">
        <v>52404</v>
      </c>
      <c r="AH112" s="261">
        <v>6.0125974828364407E-3</v>
      </c>
      <c r="AI112" s="261">
        <v>1</v>
      </c>
      <c r="AJ112" s="198">
        <v>52313</v>
      </c>
      <c r="AK112" s="198">
        <v>52404</v>
      </c>
      <c r="AL112" s="200">
        <v>91</v>
      </c>
      <c r="AM112" s="201" t="str">
        <v>FedFundsON Actual/360</v>
      </c>
      <c r="AN112" s="200">
        <v>0</v>
      </c>
      <c r="AO112" s="198">
        <v>52401</v>
      </c>
      <c r="AP112" s="200" t="str">
        <v>Actual/360</v>
      </c>
      <c r="AQ112" s="202">
        <v>0.25277777777777777</v>
      </c>
      <c r="AR112" s="203">
        <v>2.3786099932100208E-2</v>
      </c>
      <c r="AS112" s="245">
        <f>_xll.qlDayCounterYearFraction("actual/365 (fixed)",Evaluationdate,AJ112,,,Trigger)</f>
        <v>27.032876712328768</v>
      </c>
      <c r="AT112" s="246">
        <f>_xll.qlDayCounterYearFraction("actual/365 (fixed)",Evaluationdate,AK112,,,Trigger)</f>
        <v>27.282191780821918</v>
      </c>
      <c r="AU112" s="246">
        <f>_xll.qlDayCounterYearFraction(AP112,AJ112,AK112,,,Trigger)</f>
        <v>0.25277777777777777</v>
      </c>
      <c r="AV112" s="247">
        <f>_xll.qlYieldTSDiscount("USDON",AJ112,,Trigger)</f>
        <v>0.61014758375027434</v>
      </c>
      <c r="AW112" s="247">
        <f>_xll.qlYieldTSDiscount("USDON",AK112,,Trigger)</f>
        <v>0.60704516210983683</v>
      </c>
      <c r="AX112" s="203">
        <f t="shared" si="36"/>
        <v>3.3607109735137769E-6</v>
      </c>
      <c r="AY112" s="203">
        <f t="shared" si="37"/>
        <v>-6.968314814059795E-7</v>
      </c>
      <c r="AZ112" s="201" t="b">
        <f t="shared" si="38"/>
        <v>1</v>
      </c>
      <c r="BA112" s="195">
        <f t="shared" si="39"/>
        <v>2.3848127325314349E-2</v>
      </c>
      <c r="BB112" s="248">
        <f t="shared" si="40"/>
        <v>0</v>
      </c>
      <c r="BC112" s="248">
        <f t="shared" si="41"/>
        <v>0</v>
      </c>
      <c r="BD112" s="193"/>
      <c r="BE112" s="193"/>
      <c r="BF112" s="193"/>
      <c r="BG112" s="193"/>
      <c r="BH112" s="193"/>
      <c r="BI112" s="193"/>
      <c r="BJ112" s="193"/>
      <c r="BK112" s="193"/>
    </row>
    <row r="113" spans="1:63" x14ac:dyDescent="0.2">
      <c r="A113" s="63" t="s">
        <v>164</v>
      </c>
      <c r="B113" s="64" t="s">
        <v>95</v>
      </c>
      <c r="C113" s="65">
        <v>2</v>
      </c>
      <c r="D113" s="65" t="s">
        <v>166</v>
      </c>
      <c r="E113" s="66" t="s">
        <v>163</v>
      </c>
      <c r="F113" s="68" t="str">
        <f t="shared" si="34"/>
        <v>USDAM3L30Y_Quote</v>
      </c>
      <c r="G113" s="68" t="str">
        <f t="shared" si="35"/>
        <v>USDFF3L30Y_Quote</v>
      </c>
      <c r="H113" s="69" t="str">
        <f>_xll.qlOISAARateHelper(,C113,B113,F113,E113,G113,D113,TRUE,$G$62,$H$62,,Permanent,Trigger,ObjectOverwrite)</f>
        <v>obj_003ed#0459</v>
      </c>
      <c r="J113" s="12" t="str">
        <f t="shared" si="30"/>
        <v>BasOIS</v>
      </c>
      <c r="K113" s="106" t="str">
        <f t="shared" si="31"/>
        <v>--</v>
      </c>
      <c r="L113" s="111" t="str">
        <f>IFERROR(_xll.qlRateHelperQuoteName(K113,Trigger),"--")</f>
        <v>--</v>
      </c>
      <c r="M113" s="112" t="str">
        <f>IFERROR(_xll.qlRateHelperQuoteValue($K113,Trigger),"--")</f>
        <v>--</v>
      </c>
      <c r="N113" s="111" t="b">
        <v>0</v>
      </c>
      <c r="O113" s="106">
        <v>60</v>
      </c>
      <c r="P113" s="106">
        <v>1</v>
      </c>
      <c r="Q113" s="113" t="str">
        <f>IFERROR(_xll.qlRateHelperEarliestDate(K113,Trigger),"--")</f>
        <v>--</v>
      </c>
      <c r="R113" s="113" t="str">
        <f>IFERROR(_xll.qlRateHelperPillarDate(K113,Trigger),"--")</f>
        <v>--</v>
      </c>
      <c r="T113" s="6" t="str">
        <f t="shared" si="42"/>
        <v/>
      </c>
      <c r="U113" s="6" t="e">
        <v>#N/A</v>
      </c>
      <c r="V113" s="6" t="str">
        <f>IFERROR(_xll.qlRateHelperQuoteName(U113,Trigger),"")</f>
        <v/>
      </c>
      <c r="W113" s="85" t="str">
        <f>IFERROR(_xll.qlRateHelperRate(U113,Trigger),"")</f>
        <v/>
      </c>
      <c r="X113" s="116" t="str">
        <f>IF(ISERROR(_xll.qlSwapRateHelperSpread($U113)),IF(ISERROR(_xll.qlFuturesRateHelperConvexityAdjustment($U113)),"",_xll.qlFuturesRateHelperConvexityAdjustment($U113)),_xll.qlSwapRateHelperSpread($U113))</f>
        <v/>
      </c>
      <c r="Y113" s="13" t="str">
        <f>IFERROR(_xll.qlRateHelperEarliestDate(U113,Trigger),"")</f>
        <v/>
      </c>
      <c r="Z113" s="13" t="str">
        <f>IFERROR(_xll.qlRateHelperPillarDate(U113,Trigger),"")</f>
        <v/>
      </c>
      <c r="AA113" s="13" t="e">
        <v>#N/A</v>
      </c>
      <c r="AC113" s="198"/>
      <c r="AF113" s="230"/>
      <c r="AG113" s="198">
        <v>52495</v>
      </c>
      <c r="AH113" s="261">
        <v>6.0089685244804234E-3</v>
      </c>
      <c r="AI113" s="261">
        <v>1</v>
      </c>
      <c r="AJ113" s="198">
        <v>52404</v>
      </c>
      <c r="AK113" s="198">
        <v>52495</v>
      </c>
      <c r="AL113" s="200">
        <v>91</v>
      </c>
      <c r="AM113" s="201" t="str">
        <v>FedFundsON Actual/360</v>
      </c>
      <c r="AN113" s="200">
        <v>0</v>
      </c>
      <c r="AO113" s="198">
        <v>52492</v>
      </c>
      <c r="AP113" s="200" t="str">
        <v>Actual/360</v>
      </c>
      <c r="AQ113" s="202">
        <v>0.25277777777777777</v>
      </c>
      <c r="AR113" s="203">
        <v>2.3771743613329149E-2</v>
      </c>
      <c r="AS113" s="245">
        <f>_xll.qlDayCounterYearFraction("actual/365 (fixed)",Evaluationdate,AJ113,,,Trigger)</f>
        <v>27.282191780821918</v>
      </c>
      <c r="AT113" s="246">
        <f>_xll.qlDayCounterYearFraction("actual/365 (fixed)",Evaluationdate,AK113,,,Trigger)</f>
        <v>27.531506849315068</v>
      </c>
      <c r="AU113" s="246">
        <f>_xll.qlDayCounterYearFraction(AP113,AJ113,AK113,,,Trigger)</f>
        <v>0.25277777777777777</v>
      </c>
      <c r="AV113" s="247">
        <f>_xll.qlYieldTSDiscount("USDON",AJ113,,Trigger)</f>
        <v>0.60704516210983683</v>
      </c>
      <c r="AW113" s="247">
        <f>_xll.qlYieldTSDiscount("USDON",AK113,,Trigger)</f>
        <v>0.6039606883983657</v>
      </c>
      <c r="AX113" s="203">
        <f t="shared" si="36"/>
        <v>3.391706518485179E-6</v>
      </c>
      <c r="AY113" s="203">
        <f t="shared" si="37"/>
        <v>-6.968314814059795E-7</v>
      </c>
      <c r="AZ113" s="201" t="b">
        <f t="shared" si="38"/>
        <v>1</v>
      </c>
      <c r="BA113" s="195">
        <f t="shared" si="39"/>
        <v>2.383382090794841E-2</v>
      </c>
      <c r="BB113" s="248">
        <f t="shared" si="40"/>
        <v>0</v>
      </c>
      <c r="BC113" s="248">
        <f t="shared" si="41"/>
        <v>0</v>
      </c>
      <c r="BD113" s="193"/>
      <c r="BE113" s="193"/>
      <c r="BF113" s="193"/>
      <c r="BG113" s="193"/>
      <c r="BH113" s="193"/>
      <c r="BI113" s="193"/>
      <c r="BJ113" s="193"/>
      <c r="BK113" s="193"/>
    </row>
    <row r="114" spans="1:63" x14ac:dyDescent="0.2">
      <c r="A114" s="63" t="s">
        <v>164</v>
      </c>
      <c r="B114" s="64" t="s">
        <v>96</v>
      </c>
      <c r="C114" s="65">
        <v>2</v>
      </c>
      <c r="D114" s="65" t="s">
        <v>166</v>
      </c>
      <c r="E114" s="66" t="s">
        <v>163</v>
      </c>
      <c r="F114" s="68" t="str">
        <f t="shared" si="34"/>
        <v>USDAM3L35Y_Quote</v>
      </c>
      <c r="G114" s="68" t="str">
        <f t="shared" si="35"/>
        <v>USDFF3L35Y_Quote</v>
      </c>
      <c r="H114" s="69"/>
      <c r="AC114" s="198"/>
      <c r="AF114" s="230"/>
      <c r="AG114" s="198">
        <v>52586</v>
      </c>
      <c r="AH114" s="261">
        <v>6.0043611466809579E-3</v>
      </c>
      <c r="AI114" s="261">
        <v>1</v>
      </c>
      <c r="AJ114" s="198">
        <v>52495</v>
      </c>
      <c r="AK114" s="198">
        <v>52586</v>
      </c>
      <c r="AL114" s="200">
        <v>91</v>
      </c>
      <c r="AM114" s="201" t="str">
        <v>FedFundsON Actual/360</v>
      </c>
      <c r="AN114" s="200">
        <v>0</v>
      </c>
      <c r="AO114" s="198">
        <v>52583</v>
      </c>
      <c r="AP114" s="200" t="str">
        <v>Actual/360</v>
      </c>
      <c r="AQ114" s="202">
        <v>0.25277777777777777</v>
      </c>
      <c r="AR114" s="203">
        <v>2.3753516624232363E-2</v>
      </c>
      <c r="AS114" s="245">
        <f>_xll.qlDayCounterYearFraction("actual/365 (fixed)",Evaluationdate,AJ114,,,Trigger)</f>
        <v>27.531506849315068</v>
      </c>
      <c r="AT114" s="246">
        <f>_xll.qlDayCounterYearFraction("actual/365 (fixed)",Evaluationdate,AK114,,,Trigger)</f>
        <v>27.780821917808218</v>
      </c>
      <c r="AU114" s="246">
        <f>_xll.qlDayCounterYearFraction(AP114,AJ114,AK114,,,Trigger)</f>
        <v>0.25277777777777777</v>
      </c>
      <c r="AV114" s="247">
        <f>_xll.qlYieldTSDiscount("USDON",AJ114,,Trigger)</f>
        <v>0.6039606883983657</v>
      </c>
      <c r="AW114" s="247">
        <f>_xll.qlYieldTSDiscount("USDON",AK114,,Trigger)</f>
        <v>0.60089463720755587</v>
      </c>
      <c r="AX114" s="203">
        <f t="shared" si="36"/>
        <v>3.4227020789146567E-6</v>
      </c>
      <c r="AY114" s="203">
        <f t="shared" si="37"/>
        <v>-6.968314814059795E-7</v>
      </c>
      <c r="AZ114" s="201" t="b">
        <f t="shared" si="38"/>
        <v>1</v>
      </c>
      <c r="BA114" s="195">
        <f t="shared" si="39"/>
        <v>2.3815624119881723E-2</v>
      </c>
      <c r="BB114" s="248">
        <f t="shared" si="40"/>
        <v>0</v>
      </c>
      <c r="BC114" s="248">
        <f t="shared" si="41"/>
        <v>0</v>
      </c>
      <c r="BD114" s="193"/>
      <c r="BE114" s="193"/>
      <c r="BF114" s="193"/>
      <c r="BG114" s="193"/>
      <c r="BH114" s="193"/>
      <c r="BI114" s="193"/>
      <c r="BJ114" s="193"/>
      <c r="BK114" s="193"/>
    </row>
    <row r="115" spans="1:63" x14ac:dyDescent="0.2">
      <c r="A115" s="63" t="s">
        <v>164</v>
      </c>
      <c r="B115" s="64" t="s">
        <v>97</v>
      </c>
      <c r="C115" s="65">
        <v>2</v>
      </c>
      <c r="D115" s="65" t="s">
        <v>166</v>
      </c>
      <c r="E115" s="66" t="s">
        <v>163</v>
      </c>
      <c r="F115" s="68" t="str">
        <f t="shared" si="34"/>
        <v>USDAM3L40Y_Quote</v>
      </c>
      <c r="G115" s="68" t="str">
        <f t="shared" si="35"/>
        <v>USDFF3L40Y_Quote</v>
      </c>
      <c r="H115" s="69"/>
      <c r="AC115" s="198"/>
      <c r="AF115" s="230"/>
      <c r="AG115" s="198">
        <v>52677</v>
      </c>
      <c r="AH115" s="261">
        <v>5.9987753494383528E-3</v>
      </c>
      <c r="AI115" s="261">
        <v>1</v>
      </c>
      <c r="AJ115" s="198">
        <v>52586</v>
      </c>
      <c r="AK115" s="198">
        <v>52677</v>
      </c>
      <c r="AL115" s="200">
        <v>91</v>
      </c>
      <c r="AM115" s="201" t="str">
        <v>FedFundsON Actual/360</v>
      </c>
      <c r="AN115" s="200">
        <v>0</v>
      </c>
      <c r="AO115" s="198">
        <v>52674</v>
      </c>
      <c r="AP115" s="200" t="str">
        <v>Actual/360</v>
      </c>
      <c r="AQ115" s="202">
        <v>0.25277777777777777</v>
      </c>
      <c r="AR115" s="203">
        <v>2.3731418964811068E-2</v>
      </c>
      <c r="AS115" s="245">
        <f>_xll.qlDayCounterYearFraction("actual/365 (fixed)",Evaluationdate,AJ115,,,Trigger)</f>
        <v>27.780821917808218</v>
      </c>
      <c r="AT115" s="246">
        <f>_xll.qlDayCounterYearFraction("actual/365 (fixed)",Evaluationdate,AK115,,,Trigger)</f>
        <v>28.030136986301368</v>
      </c>
      <c r="AU115" s="246">
        <f>_xll.qlDayCounterYearFraction(AP115,AJ115,AK115,,,Trigger)</f>
        <v>0.25277777777777777</v>
      </c>
      <c r="AV115" s="247">
        <f>_xll.qlYieldTSDiscount("USDON",AJ115,,Trigger)</f>
        <v>0.60089463720755587</v>
      </c>
      <c r="AW115" s="247">
        <f>_xll.qlYieldTSDiscount("USDON",AK115,,Trigger)</f>
        <v>0.59784747196773436</v>
      </c>
      <c r="AX115" s="203">
        <f t="shared" si="36"/>
        <v>3.4536976548022091E-6</v>
      </c>
      <c r="AY115" s="203">
        <f t="shared" si="37"/>
        <v>-6.968314814059795E-7</v>
      </c>
      <c r="AZ115" s="201" t="b">
        <f t="shared" si="38"/>
        <v>1</v>
      </c>
      <c r="BA115" s="195">
        <f t="shared" si="39"/>
        <v>2.3793537014527376E-2</v>
      </c>
      <c r="BB115" s="248">
        <f t="shared" si="40"/>
        <v>0</v>
      </c>
      <c r="BC115" s="248">
        <f t="shared" si="41"/>
        <v>0</v>
      </c>
      <c r="BD115" s="193"/>
      <c r="BE115" s="193"/>
      <c r="BF115" s="193"/>
      <c r="BG115" s="193"/>
      <c r="BH115" s="193"/>
      <c r="BI115" s="193"/>
      <c r="BJ115" s="193"/>
      <c r="BK115" s="193"/>
    </row>
    <row r="116" spans="1:63" x14ac:dyDescent="0.2">
      <c r="A116" s="63" t="s">
        <v>164</v>
      </c>
      <c r="B116" s="64" t="s">
        <v>98</v>
      </c>
      <c r="C116" s="65">
        <v>2</v>
      </c>
      <c r="D116" s="65" t="s">
        <v>166</v>
      </c>
      <c r="E116" s="66" t="s">
        <v>163</v>
      </c>
      <c r="F116" s="68" t="str">
        <f t="shared" si="34"/>
        <v>USDAM3L45Y_Quote</v>
      </c>
      <c r="G116" s="68" t="str">
        <f t="shared" si="35"/>
        <v>USDFF3L45Y_Quote</v>
      </c>
      <c r="H116" s="69"/>
      <c r="AC116" s="198"/>
      <c r="AF116" s="230"/>
      <c r="AG116" s="198">
        <v>52769</v>
      </c>
      <c r="AH116" s="261">
        <v>6.1457630205048958E-3</v>
      </c>
      <c r="AI116" s="261">
        <v>1</v>
      </c>
      <c r="AJ116" s="198">
        <v>52677</v>
      </c>
      <c r="AK116" s="198">
        <v>52769</v>
      </c>
      <c r="AL116" s="200">
        <v>92</v>
      </c>
      <c r="AM116" s="201" t="str">
        <v>FedFundsON Actual/360</v>
      </c>
      <c r="AN116" s="200">
        <v>0</v>
      </c>
      <c r="AO116" s="198">
        <v>52768</v>
      </c>
      <c r="AP116" s="200" t="str">
        <v>Actual/360</v>
      </c>
      <c r="AQ116" s="202">
        <v>0.25555555555555554</v>
      </c>
      <c r="AR116" s="203">
        <v>2.4048637906323507E-2</v>
      </c>
      <c r="AS116" s="245">
        <f>_xll.qlDayCounterYearFraction("actual/365 (fixed)",Evaluationdate,AJ116,,,Trigger)</f>
        <v>28.030136986301368</v>
      </c>
      <c r="AT116" s="246">
        <f>_xll.qlDayCounterYearFraction("actual/365 (fixed)",Evaluationdate,AK116,,,Trigger)</f>
        <v>28.282191780821918</v>
      </c>
      <c r="AU116" s="246">
        <f>_xll.qlDayCounterYearFraction(AP116,AJ116,AK116,,,Trigger)</f>
        <v>0.25555555555555554</v>
      </c>
      <c r="AV116" s="247">
        <f>_xll.qlYieldTSDiscount("USDON",AJ116,,Trigger)</f>
        <v>0.59784747196773436</v>
      </c>
      <c r="AW116" s="247">
        <f>_xll.qlYieldTSDiscount("USDON",AK116,,Trigger)</f>
        <v>0.59478648137751933</v>
      </c>
      <c r="AX116" s="203">
        <f t="shared" si="36"/>
        <v>3.5617007251475122E-6</v>
      </c>
      <c r="AY116" s="203">
        <f t="shared" si="37"/>
        <v>-8.8486551419464377E-5</v>
      </c>
      <c r="AZ116" s="201" t="b">
        <f t="shared" si="38"/>
        <v>1</v>
      </c>
      <c r="BA116" s="195">
        <f t="shared" si="39"/>
        <v>2.3767964868196621E-2</v>
      </c>
      <c r="BB116" s="248">
        <f t="shared" si="40"/>
        <v>0</v>
      </c>
      <c r="BC116" s="248">
        <f t="shared" si="41"/>
        <v>0</v>
      </c>
      <c r="BD116" s="193"/>
      <c r="BE116" s="193"/>
      <c r="BF116" s="193"/>
      <c r="BG116" s="193"/>
      <c r="BH116" s="193"/>
      <c r="BI116" s="193"/>
      <c r="BJ116" s="193"/>
      <c r="BK116" s="193"/>
    </row>
    <row r="117" spans="1:63" x14ac:dyDescent="0.2">
      <c r="A117" s="1" t="s">
        <v>164</v>
      </c>
      <c r="B117" s="9" t="s">
        <v>99</v>
      </c>
      <c r="C117" s="7">
        <v>2</v>
      </c>
      <c r="D117" s="7" t="s">
        <v>166</v>
      </c>
      <c r="E117" s="8" t="s">
        <v>163</v>
      </c>
      <c r="F117" s="2" t="str">
        <f t="shared" si="34"/>
        <v>USDAM3L50Y_Quote</v>
      </c>
      <c r="G117" s="2" t="str">
        <f t="shared" si="35"/>
        <v>USDFF3L50Y_Quote</v>
      </c>
      <c r="H117" s="3"/>
      <c r="AC117" s="198"/>
      <c r="AF117" s="230"/>
      <c r="AG117" s="198">
        <v>52861</v>
      </c>
      <c r="AH117" s="261">
        <v>6.1380494691404084E-3</v>
      </c>
      <c r="AI117" s="261">
        <v>1</v>
      </c>
      <c r="AJ117" s="198">
        <v>52769</v>
      </c>
      <c r="AK117" s="198">
        <v>52861</v>
      </c>
      <c r="AL117" s="200">
        <v>92</v>
      </c>
      <c r="AM117" s="201" t="str">
        <v>FedFundsON Actual/360</v>
      </c>
      <c r="AN117" s="200">
        <v>0</v>
      </c>
      <c r="AO117" s="198">
        <v>52860</v>
      </c>
      <c r="AP117" s="200" t="str">
        <v>Actual/360</v>
      </c>
      <c r="AQ117" s="202">
        <v>0.25555555555555554</v>
      </c>
      <c r="AR117" s="203">
        <v>2.4018454444462468E-2</v>
      </c>
      <c r="AS117" s="245">
        <f>_xll.qlDayCounterYearFraction("actual/365 (fixed)",Evaluationdate,AJ117,,,Trigger)</f>
        <v>28.282191780821918</v>
      </c>
      <c r="AT117" s="246">
        <f>_xll.qlDayCounterYearFraction("actual/365 (fixed)",Evaluationdate,AK117,,,Trigger)</f>
        <v>28.534246575342465</v>
      </c>
      <c r="AU117" s="246">
        <f>_xll.qlDayCounterYearFraction(AP117,AJ117,AK117,,,Trigger)</f>
        <v>0.25555555555555554</v>
      </c>
      <c r="AV117" s="247">
        <f>_xll.qlYieldTSDiscount("USDON",AJ117,,Trigger)</f>
        <v>0.59478648137751933</v>
      </c>
      <c r="AW117" s="247">
        <f>_xll.qlYieldTSDiscount("USDON",AK117,,Trigger)</f>
        <v>0.59174571281339339</v>
      </c>
      <c r="AX117" s="203">
        <f t="shared" si="36"/>
        <v>3.5937294353587076E-6</v>
      </c>
      <c r="AY117" s="203">
        <f t="shared" si="37"/>
        <v>-8.8493656846821978E-5</v>
      </c>
      <c r="AZ117" s="201" t="b">
        <f t="shared" si="38"/>
        <v>1</v>
      </c>
      <c r="BA117" s="195">
        <f t="shared" si="39"/>
        <v>2.3737724215157539E-2</v>
      </c>
      <c r="BB117" s="248">
        <f t="shared" si="40"/>
        <v>0</v>
      </c>
      <c r="BC117" s="248">
        <f t="shared" si="41"/>
        <v>0</v>
      </c>
      <c r="BD117" s="193"/>
      <c r="BE117" s="193"/>
      <c r="BF117" s="193"/>
      <c r="BG117" s="193"/>
      <c r="BH117" s="193"/>
      <c r="BI117" s="193"/>
      <c r="BJ117" s="193"/>
      <c r="BK117" s="193"/>
    </row>
    <row r="118" spans="1:63" x14ac:dyDescent="0.2">
      <c r="AC118" s="198"/>
      <c r="AF118" s="230"/>
      <c r="AG118" s="198">
        <v>52952</v>
      </c>
      <c r="AH118" s="261">
        <v>5.9759491769365378E-3</v>
      </c>
      <c r="AI118" s="261">
        <v>1</v>
      </c>
      <c r="AJ118" s="198">
        <v>52861</v>
      </c>
      <c r="AK118" s="198">
        <v>52952</v>
      </c>
      <c r="AL118" s="200">
        <v>91</v>
      </c>
      <c r="AM118" s="201" t="str">
        <v>FedFundsON Actual/360</v>
      </c>
      <c r="AN118" s="200">
        <v>0</v>
      </c>
      <c r="AO118" s="198">
        <v>52951</v>
      </c>
      <c r="AP118" s="200" t="str">
        <v>Actual/360</v>
      </c>
      <c r="AQ118" s="202">
        <v>0.25277777777777777</v>
      </c>
      <c r="AR118" s="203">
        <v>2.3641117623045646E-2</v>
      </c>
      <c r="AS118" s="245">
        <f>_xll.qlDayCounterYearFraction("actual/365 (fixed)",Evaluationdate,AJ118,,,Trigger)</f>
        <v>28.534246575342465</v>
      </c>
      <c r="AT118" s="246">
        <f>_xll.qlDayCounterYearFraction("actual/365 (fixed)",Evaluationdate,AK118,,,Trigger)</f>
        <v>28.783561643835615</v>
      </c>
      <c r="AU118" s="246">
        <f>_xll.qlDayCounterYearFraction(AP118,AJ118,AK118,,,Trigger)</f>
        <v>0.25277777777777777</v>
      </c>
      <c r="AV118" s="247">
        <f>_xll.qlYieldTSDiscount("USDON",AJ118,,Trigger)</f>
        <v>0.59174571281339339</v>
      </c>
      <c r="AW118" s="247">
        <f>_xll.qlYieldTSDiscount("USDON",AK118,,Trigger)</f>
        <v>0.58875832600277433</v>
      </c>
      <c r="AX118" s="203">
        <f t="shared" si="36"/>
        <v>3.5473656978143803E-6</v>
      </c>
      <c r="AY118" s="203">
        <f t="shared" si="37"/>
        <v>-6.968314814059795E-7</v>
      </c>
      <c r="AZ118" s="201" t="b">
        <f t="shared" si="38"/>
        <v>1</v>
      </c>
      <c r="BA118" s="195">
        <f t="shared" si="39"/>
        <v>2.3703148887340444E-2</v>
      </c>
      <c r="BB118" s="248">
        <f t="shared" si="40"/>
        <v>0</v>
      </c>
      <c r="BC118" s="248">
        <f t="shared" si="41"/>
        <v>0</v>
      </c>
      <c r="BD118" s="193"/>
      <c r="BE118" s="193"/>
      <c r="BF118" s="193"/>
      <c r="BG118" s="193"/>
      <c r="BH118" s="193"/>
      <c r="BI118" s="193"/>
      <c r="BJ118" s="193"/>
      <c r="BK118" s="193"/>
    </row>
    <row r="119" spans="1:63" x14ac:dyDescent="0.2">
      <c r="AC119" s="198"/>
      <c r="AF119" s="230"/>
      <c r="AG119" s="198">
        <v>53042</v>
      </c>
      <c r="AH119" s="261">
        <v>6.0051882147652089E-3</v>
      </c>
      <c r="AI119" s="261">
        <v>1</v>
      </c>
      <c r="AJ119" s="198">
        <v>52952</v>
      </c>
      <c r="AK119" s="198">
        <v>53042</v>
      </c>
      <c r="AL119" s="200">
        <v>90</v>
      </c>
      <c r="AM119" s="201" t="str">
        <v>FedFundsON Actual/360</v>
      </c>
      <c r="AN119" s="200">
        <v>0</v>
      </c>
      <c r="AO119" s="198">
        <v>53041</v>
      </c>
      <c r="AP119" s="200" t="str">
        <v>Actual/360</v>
      </c>
      <c r="AQ119" s="202">
        <v>0.25</v>
      </c>
      <c r="AR119" s="203">
        <v>2.4020752859060836E-2</v>
      </c>
      <c r="AS119" s="245">
        <f>_xll.qlDayCounterYearFraction("actual/365 (fixed)",Evaluationdate,AJ119,,,Trigger)</f>
        <v>28.783561643835615</v>
      </c>
      <c r="AT119" s="246">
        <f>_xll.qlDayCounterYearFraction("actual/365 (fixed)",Evaluationdate,AK119,,,Trigger)</f>
        <v>29.030136986301368</v>
      </c>
      <c r="AU119" s="246">
        <f>_xll.qlDayCounterYearFraction(AP119,AJ119,AK119,,,Trigger)</f>
        <v>0.25</v>
      </c>
      <c r="AV119" s="247">
        <f>_xll.qlYieldTSDiscount("USDON",AJ119,,Trigger)</f>
        <v>0.58875832600277433</v>
      </c>
      <c r="AW119" s="247">
        <f>_xll.qlYieldTSDiscount("USDON",AK119,,Trigger)</f>
        <v>0.58582406788524777</v>
      </c>
      <c r="AX119" s="203">
        <f t="shared" si="36"/>
        <v>3.5001481340807312E-6</v>
      </c>
      <c r="AY119" s="203">
        <f t="shared" si="37"/>
        <v>-1.049203501857221E-4</v>
      </c>
      <c r="AZ119" s="201" t="b">
        <f t="shared" si="38"/>
        <v>1</v>
      </c>
      <c r="BA119" s="195">
        <f t="shared" si="39"/>
        <v>2.3665080689797093E-2</v>
      </c>
      <c r="BB119" s="248">
        <f t="shared" si="40"/>
        <v>0</v>
      </c>
      <c r="BC119" s="248">
        <f t="shared" si="41"/>
        <v>0</v>
      </c>
      <c r="BD119" s="193"/>
      <c r="BE119" s="193"/>
      <c r="BF119" s="193"/>
      <c r="BG119" s="193"/>
      <c r="BH119" s="193"/>
      <c r="BI119" s="193"/>
      <c r="BJ119" s="193"/>
      <c r="BK119" s="193"/>
    </row>
    <row r="120" spans="1:63" x14ac:dyDescent="0.2">
      <c r="AC120" s="198"/>
      <c r="AF120" s="230"/>
      <c r="AG120" s="198">
        <v>53134</v>
      </c>
      <c r="AH120" s="261">
        <v>6.1091808210306416E-3</v>
      </c>
      <c r="AI120" s="261">
        <v>1</v>
      </c>
      <c r="AJ120" s="198">
        <v>53042</v>
      </c>
      <c r="AK120" s="198">
        <v>53134</v>
      </c>
      <c r="AL120" s="200">
        <v>92</v>
      </c>
      <c r="AM120" s="201" t="str">
        <v>FedFundsON Actual/360</v>
      </c>
      <c r="AN120" s="200">
        <v>0</v>
      </c>
      <c r="AO120" s="198">
        <v>53133</v>
      </c>
      <c r="AP120" s="200" t="str">
        <v>Actual/360</v>
      </c>
      <c r="AQ120" s="202">
        <v>0.25555555555555554</v>
      </c>
      <c r="AR120" s="203">
        <v>2.3905490169250337E-2</v>
      </c>
      <c r="AS120" s="245">
        <f>_xll.qlDayCounterYearFraction("actual/365 (fixed)",Evaluationdate,AJ120,,,Trigger)</f>
        <v>29.030136986301368</v>
      </c>
      <c r="AT120" s="246">
        <f>_xll.qlDayCounterYearFraction("actual/365 (fixed)",Evaluationdate,AK120,,,Trigger)</f>
        <v>29.282191780821918</v>
      </c>
      <c r="AU120" s="246">
        <f>_xll.qlDayCounterYearFraction(AP120,AJ120,AK120,,,Trigger)</f>
        <v>0.25555555555555554</v>
      </c>
      <c r="AV120" s="247">
        <f>_xll.qlYieldTSDiscount("USDON",AJ120,,Trigger)</f>
        <v>0.58582406788524777</v>
      </c>
      <c r="AW120" s="247">
        <f>_xll.qlYieldTSDiscount("USDON",AK120,,Trigger)</f>
        <v>0.58284588469048837</v>
      </c>
      <c r="AX120" s="203">
        <f t="shared" si="36"/>
        <v>3.6887712465908523E-6</v>
      </c>
      <c r="AY120" s="203">
        <f t="shared" si="37"/>
        <v>-8.8486551419464377E-5</v>
      </c>
      <c r="AZ120" s="201" t="b">
        <f t="shared" si="38"/>
        <v>1</v>
      </c>
      <c r="BA120" s="195">
        <f t="shared" si="39"/>
        <v>2.3624582845013502E-2</v>
      </c>
      <c r="BB120" s="248">
        <f t="shared" si="40"/>
        <v>0</v>
      </c>
      <c r="BC120" s="248">
        <f t="shared" si="41"/>
        <v>0</v>
      </c>
      <c r="BD120" s="193"/>
      <c r="BE120" s="193"/>
      <c r="BF120" s="193"/>
      <c r="BG120" s="193"/>
      <c r="BH120" s="193"/>
      <c r="BI120" s="193"/>
      <c r="BJ120" s="193"/>
      <c r="BK120" s="193"/>
    </row>
    <row r="121" spans="1:63" x14ac:dyDescent="0.2">
      <c r="AC121" s="198"/>
      <c r="AF121" s="230"/>
      <c r="AG121" s="198">
        <v>53226</v>
      </c>
      <c r="AH121" s="261">
        <v>6.0974561149218396E-3</v>
      </c>
      <c r="AI121" s="261">
        <v>1</v>
      </c>
      <c r="AJ121" s="198">
        <v>53134</v>
      </c>
      <c r="AK121" s="198">
        <v>53226</v>
      </c>
      <c r="AL121" s="200">
        <v>92</v>
      </c>
      <c r="AM121" s="201" t="str">
        <v>FedFundsON Actual/360</v>
      </c>
      <c r="AN121" s="200">
        <v>0</v>
      </c>
      <c r="AO121" s="198">
        <v>53225</v>
      </c>
      <c r="AP121" s="200" t="str">
        <v>Actual/360</v>
      </c>
      <c r="AQ121" s="202">
        <v>0.25555555555555554</v>
      </c>
      <c r="AR121" s="203">
        <v>2.3859610884476766E-2</v>
      </c>
      <c r="AS121" s="245">
        <f>_xll.qlDayCounterYearFraction("actual/365 (fixed)",Evaluationdate,AJ121,,,Trigger)</f>
        <v>29.282191780821918</v>
      </c>
      <c r="AT121" s="246">
        <f>_xll.qlDayCounterYearFraction("actual/365 (fixed)",Evaluationdate,AK121,,,Trigger)</f>
        <v>29.534246575342465</v>
      </c>
      <c r="AU121" s="246">
        <f>_xll.qlDayCounterYearFraction(AP121,AJ121,AK121,,,Trigger)</f>
        <v>0.25555555555555554</v>
      </c>
      <c r="AV121" s="247">
        <f>_xll.qlYieldTSDiscount("USDON",AJ121,,Trigger)</f>
        <v>0.58284588469048837</v>
      </c>
      <c r="AW121" s="247">
        <f>_xll.qlYieldTSDiscount("USDON",AK121,,Trigger)</f>
        <v>0.5798896263779667</v>
      </c>
      <c r="AX121" s="203">
        <f t="shared" si="36"/>
        <v>3.7208000208612848E-6</v>
      </c>
      <c r="AY121" s="203">
        <f t="shared" si="37"/>
        <v>-8.8493656846821978E-5</v>
      </c>
      <c r="AZ121" s="201" t="b">
        <f t="shared" si="38"/>
        <v>1</v>
      </c>
      <c r="BA121" s="195">
        <f t="shared" si="39"/>
        <v>2.3578567423290064E-2</v>
      </c>
      <c r="BB121" s="248">
        <f t="shared" si="40"/>
        <v>0</v>
      </c>
      <c r="BC121" s="248">
        <f t="shared" si="41"/>
        <v>0</v>
      </c>
      <c r="BD121" s="193"/>
      <c r="BE121" s="193"/>
      <c r="BF121" s="193"/>
      <c r="BG121" s="193"/>
      <c r="BH121" s="193"/>
      <c r="BI121" s="193"/>
      <c r="BJ121" s="193"/>
      <c r="BK121" s="193"/>
    </row>
    <row r="122" spans="1:63" x14ac:dyDescent="0.2">
      <c r="AC122" s="198"/>
      <c r="AF122" s="230"/>
      <c r="AG122" s="198">
        <v>53317</v>
      </c>
      <c r="AH122" s="261">
        <v>5.9318524285822899E-3</v>
      </c>
      <c r="AI122" s="261">
        <v>1</v>
      </c>
      <c r="AJ122" s="198">
        <v>53226</v>
      </c>
      <c r="AK122" s="198">
        <v>53317</v>
      </c>
      <c r="AL122" s="200">
        <v>91</v>
      </c>
      <c r="AM122" s="201" t="str">
        <v>FedFundsON Actual/360</v>
      </c>
      <c r="AN122" s="200">
        <v>0</v>
      </c>
      <c r="AO122" s="198">
        <v>53316</v>
      </c>
      <c r="AP122" s="200" t="str">
        <v>Actual/360</v>
      </c>
      <c r="AQ122" s="202">
        <v>0.25277777777777777</v>
      </c>
      <c r="AR122" s="203">
        <v>2.346666894823763E-2</v>
      </c>
      <c r="AS122" s="245">
        <f>_xll.qlDayCounterYearFraction("actual/365 (fixed)",Evaluationdate,AJ122,,,Trigger)</f>
        <v>29.534246575342465</v>
      </c>
      <c r="AT122" s="246">
        <f>_xll.qlDayCounterYearFraction("actual/365 (fixed)",Evaluationdate,AK122,,,Trigger)</f>
        <v>29.783561643835615</v>
      </c>
      <c r="AU122" s="246">
        <f>_xll.qlDayCounterYearFraction(AP122,AJ122,AK122,,,Trigger)</f>
        <v>0.25277777777777777</v>
      </c>
      <c r="AV122" s="247">
        <f>_xll.qlYieldTSDiscount("USDON",AJ122,,Trigger)</f>
        <v>0.5798896263779667</v>
      </c>
      <c r="AW122" s="247">
        <f>_xll.qlYieldTSDiscount("USDON",AK122,,Trigger)</f>
        <v>0.57698746517010291</v>
      </c>
      <c r="AX122" s="203">
        <f t="shared" si="36"/>
        <v>3.671688954730241E-6</v>
      </c>
      <c r="AY122" s="203">
        <f t="shared" si="37"/>
        <v>-6.968314814059795E-7</v>
      </c>
      <c r="AZ122" s="201" t="b">
        <f t="shared" si="38"/>
        <v>1</v>
      </c>
      <c r="BA122" s="195">
        <f t="shared" si="39"/>
        <v>2.3528313219767949E-2</v>
      </c>
      <c r="BB122" s="248">
        <f t="shared" si="40"/>
        <v>0</v>
      </c>
      <c r="BC122" s="248">
        <f t="shared" si="41"/>
        <v>0</v>
      </c>
      <c r="BD122" s="193"/>
      <c r="BE122" s="193"/>
      <c r="BF122" s="193"/>
      <c r="BG122" s="193"/>
      <c r="BH122" s="193"/>
      <c r="BI122" s="193"/>
      <c r="BJ122" s="193"/>
      <c r="BK122" s="193"/>
    </row>
    <row r="123" spans="1:63" x14ac:dyDescent="0.2">
      <c r="AC123" s="198"/>
      <c r="AF123" s="230"/>
      <c r="AG123" s="198">
        <v>53407</v>
      </c>
      <c r="AH123" s="261">
        <v>5.9577174190517685E-3</v>
      </c>
      <c r="AI123" s="261">
        <v>1</v>
      </c>
      <c r="AJ123" s="198">
        <v>53317</v>
      </c>
      <c r="AK123" s="198">
        <v>53407</v>
      </c>
      <c r="AL123" s="200">
        <v>90</v>
      </c>
      <c r="AM123" s="201" t="str">
        <v>FedFundsON Actual/360</v>
      </c>
      <c r="AN123" s="200">
        <v>0</v>
      </c>
      <c r="AO123" s="198">
        <v>53406</v>
      </c>
      <c r="AP123" s="200" t="str">
        <v>Actual/360</v>
      </c>
      <c r="AQ123" s="202">
        <v>0.25</v>
      </c>
      <c r="AR123" s="203">
        <v>2.3830869676207074E-2</v>
      </c>
      <c r="AS123" s="245">
        <f>_xll.qlDayCounterYearFraction("actual/365 (fixed)",Evaluationdate,AJ123,,,Trigger)</f>
        <v>29.783561643835615</v>
      </c>
      <c r="AT123" s="246">
        <f>_xll.qlDayCounterYearFraction("actual/365 (fixed)",Evaluationdate,AK123,,,Trigger)</f>
        <v>30.030136986301368</v>
      </c>
      <c r="AU123" s="246">
        <f>_xll.qlDayCounterYearFraction(AP123,AJ123,AK123,,,Trigger)</f>
        <v>0.25</v>
      </c>
      <c r="AV123" s="247">
        <f>_xll.qlYieldTSDiscount("USDON",AJ123,,Trigger)</f>
        <v>0.57698746517010291</v>
      </c>
      <c r="AW123" s="247">
        <f>_xll.qlYieldTSDiscount("USDON",AK123,,Trigger)</f>
        <v>0.57413905513169761</v>
      </c>
      <c r="AX123" s="203">
        <f t="shared" si="36"/>
        <v>3.6217540849133197E-6</v>
      </c>
      <c r="AY123" s="203">
        <f t="shared" si="37"/>
        <v>-1.049203501857221E-4</v>
      </c>
      <c r="AZ123" s="201" t="b">
        <f t="shared" si="38"/>
        <v>1</v>
      </c>
      <c r="BA123" s="195">
        <f t="shared" si="39"/>
        <v>2.3474739792188372E-2</v>
      </c>
      <c r="BB123" s="248">
        <f t="shared" si="40"/>
        <v>0</v>
      </c>
      <c r="BC123" s="248">
        <f t="shared" si="41"/>
        <v>0</v>
      </c>
      <c r="BD123" s="193"/>
      <c r="BE123" s="193"/>
      <c r="BF123" s="193"/>
      <c r="BG123" s="193"/>
      <c r="BH123" s="193"/>
      <c r="BI123" s="193"/>
      <c r="BJ123" s="193"/>
      <c r="BK123" s="193"/>
    </row>
    <row r="124" spans="1:63" x14ac:dyDescent="0.2">
      <c r="AC124" s="198"/>
      <c r="AF124" s="230"/>
      <c r="AG124" s="198" t="e">
        <v>#N/A</v>
      </c>
      <c r="AH124" s="261" t="e">
        <v>#N/A</v>
      </c>
      <c r="AI124" s="261" t="e">
        <v>#N/A</v>
      </c>
      <c r="AJ124" s="198" t="e">
        <v>#N/A</v>
      </c>
      <c r="AK124" s="198" t="e">
        <v>#N/A</v>
      </c>
      <c r="AL124" s="200" t="e">
        <v>#N/A</v>
      </c>
      <c r="AM124" s="201" t="e">
        <v>#N/A</v>
      </c>
      <c r="AN124" s="200" t="e">
        <v>#N/A</v>
      </c>
      <c r="AO124" s="198" t="e">
        <v>#N/A</v>
      </c>
      <c r="AP124" s="200" t="e">
        <v>#N/A</v>
      </c>
      <c r="AQ124" s="202" t="e">
        <v>#N/A</v>
      </c>
      <c r="AR124" s="203" t="e">
        <v>#N/A</v>
      </c>
      <c r="AS124" s="245" t="e">
        <f>_xll.qlDayCounterYearFraction("actual/365 (fixed)",Evaluationdate,AJ124,,,Trigger)</f>
        <v>#NUM!</v>
      </c>
      <c r="AT124" s="246" t="e">
        <f>_xll.qlDayCounterYearFraction("actual/365 (fixed)",Evaluationdate,AK124,,,Trigger)</f>
        <v>#NUM!</v>
      </c>
      <c r="AU124" s="246" t="e">
        <f>_xll.qlDayCounterYearFraction(AP124,AJ124,AK124,,,Trigger)</f>
        <v>#VALUE!</v>
      </c>
      <c r="AV124" s="247" t="e">
        <f>_xll.qlYieldTSDiscount("USDON",AJ124,,Trigger)</f>
        <v>#NUM!</v>
      </c>
      <c r="AW124" s="247" t="e">
        <f>_xll.qlYieldTSDiscount("USDON",AK124,,Trigger)</f>
        <v>#NUM!</v>
      </c>
      <c r="AX124" s="203" t="e">
        <f t="shared" si="36"/>
        <v>#NUM!</v>
      </c>
      <c r="AY124" s="203" t="e">
        <f t="shared" si="37"/>
        <v>#NUM!</v>
      </c>
      <c r="AZ124" s="201" t="b">
        <f t="shared" si="38"/>
        <v>0</v>
      </c>
      <c r="BA124" s="195" t="e">
        <f t="shared" si="39"/>
        <v>#NUM!</v>
      </c>
      <c r="BB124" s="248" t="e">
        <f t="shared" si="40"/>
        <v>#NUM!</v>
      </c>
      <c r="BC124" s="248" t="e">
        <f t="shared" si="41"/>
        <v>#NUM!</v>
      </c>
      <c r="BD124" s="193"/>
      <c r="BE124" s="193"/>
      <c r="BF124" s="193"/>
      <c r="BG124" s="193"/>
      <c r="BH124" s="193"/>
      <c r="BI124" s="193"/>
      <c r="BJ124" s="193"/>
      <c r="BK124" s="193"/>
    </row>
    <row r="125" spans="1:63" x14ac:dyDescent="0.2">
      <c r="AC125" s="198"/>
      <c r="AF125" s="230"/>
      <c r="AG125" s="198" t="e">
        <v>#N/A</v>
      </c>
      <c r="AH125" s="261" t="e">
        <v>#N/A</v>
      </c>
      <c r="AI125" s="261" t="e">
        <v>#N/A</v>
      </c>
      <c r="AJ125" s="198" t="e">
        <v>#N/A</v>
      </c>
      <c r="AK125" s="198" t="e">
        <v>#N/A</v>
      </c>
      <c r="AL125" s="200" t="e">
        <v>#N/A</v>
      </c>
      <c r="AM125" s="201" t="e">
        <v>#N/A</v>
      </c>
      <c r="AN125" s="200" t="e">
        <v>#N/A</v>
      </c>
      <c r="AO125" s="198" t="e">
        <v>#N/A</v>
      </c>
      <c r="AP125" s="200" t="e">
        <v>#N/A</v>
      </c>
      <c r="AQ125" s="202" t="e">
        <v>#N/A</v>
      </c>
      <c r="AR125" s="203" t="e">
        <v>#N/A</v>
      </c>
      <c r="AS125" s="245" t="e">
        <f>_xll.qlDayCounterYearFraction("actual/365 (fixed)",Evaluationdate,AJ125,,,Trigger)</f>
        <v>#NUM!</v>
      </c>
      <c r="AT125" s="246" t="e">
        <f>_xll.qlDayCounterYearFraction("actual/365 (fixed)",Evaluationdate,AK125,,,Trigger)</f>
        <v>#NUM!</v>
      </c>
      <c r="AU125" s="246" t="e">
        <f>_xll.qlDayCounterYearFraction(AP125,AJ125,AK125,,,Trigger)</f>
        <v>#VALUE!</v>
      </c>
      <c r="AV125" s="247" t="e">
        <f>_xll.qlYieldTSDiscount("USDON",AJ125,,Trigger)</f>
        <v>#NUM!</v>
      </c>
      <c r="AW125" s="247" t="e">
        <f>_xll.qlYieldTSDiscount("USDON",AK125,,Trigger)</f>
        <v>#NUM!</v>
      </c>
      <c r="AX125" s="203" t="e">
        <f t="shared" si="36"/>
        <v>#NUM!</v>
      </c>
      <c r="AY125" s="203" t="e">
        <f t="shared" si="37"/>
        <v>#NUM!</v>
      </c>
      <c r="AZ125" s="201" t="b">
        <f t="shared" si="38"/>
        <v>0</v>
      </c>
      <c r="BA125" s="195" t="e">
        <f t="shared" si="39"/>
        <v>#NUM!</v>
      </c>
      <c r="BB125" s="248" t="e">
        <f t="shared" si="40"/>
        <v>#NUM!</v>
      </c>
      <c r="BC125" s="248" t="e">
        <f t="shared" si="41"/>
        <v>#NUM!</v>
      </c>
      <c r="BD125" s="193"/>
      <c r="BE125" s="193"/>
      <c r="BF125" s="193"/>
      <c r="BG125" s="193"/>
      <c r="BH125" s="193"/>
      <c r="BI125" s="193"/>
      <c r="BJ125" s="193"/>
      <c r="BK125" s="193"/>
    </row>
    <row r="126" spans="1:63" x14ac:dyDescent="0.2">
      <c r="AC126" s="198"/>
      <c r="AF126" s="230"/>
      <c r="AG126" s="198" t="e">
        <v>#N/A</v>
      </c>
      <c r="AH126" s="261" t="e">
        <v>#N/A</v>
      </c>
      <c r="AI126" s="261" t="e">
        <v>#N/A</v>
      </c>
      <c r="AJ126" s="198" t="e">
        <v>#N/A</v>
      </c>
      <c r="AK126" s="198" t="e">
        <v>#N/A</v>
      </c>
      <c r="AL126" s="200" t="e">
        <v>#N/A</v>
      </c>
      <c r="AM126" s="201" t="e">
        <v>#N/A</v>
      </c>
      <c r="AN126" s="200" t="e">
        <v>#N/A</v>
      </c>
      <c r="AO126" s="198" t="e">
        <v>#N/A</v>
      </c>
      <c r="AP126" s="200" t="e">
        <v>#N/A</v>
      </c>
      <c r="AQ126" s="202" t="e">
        <v>#N/A</v>
      </c>
      <c r="AR126" s="203" t="e">
        <v>#N/A</v>
      </c>
      <c r="AS126" s="245" t="e">
        <f>_xll.qlDayCounterYearFraction("actual/365 (fixed)",Evaluationdate,AJ126,,,Trigger)</f>
        <v>#NUM!</v>
      </c>
      <c r="AT126" s="246" t="e">
        <f>_xll.qlDayCounterYearFraction("actual/365 (fixed)",Evaluationdate,AK126,,,Trigger)</f>
        <v>#NUM!</v>
      </c>
      <c r="AU126" s="246" t="e">
        <f>_xll.qlDayCounterYearFraction(AP126,AJ126,AK126,,,Trigger)</f>
        <v>#VALUE!</v>
      </c>
      <c r="AV126" s="247" t="e">
        <f>_xll.qlYieldTSDiscount("USDON",AJ126,,Trigger)</f>
        <v>#NUM!</v>
      </c>
      <c r="AW126" s="247" t="e">
        <f>_xll.qlYieldTSDiscount("USDON",AK126,,Trigger)</f>
        <v>#NUM!</v>
      </c>
      <c r="AX126" s="203" t="e">
        <f t="shared" si="36"/>
        <v>#NUM!</v>
      </c>
      <c r="AY126" s="203" t="e">
        <f t="shared" si="37"/>
        <v>#NUM!</v>
      </c>
      <c r="AZ126" s="201" t="b">
        <f t="shared" si="38"/>
        <v>0</v>
      </c>
      <c r="BA126" s="195" t="e">
        <f t="shared" si="39"/>
        <v>#NUM!</v>
      </c>
      <c r="BB126" s="248" t="e">
        <f t="shared" si="40"/>
        <v>#NUM!</v>
      </c>
      <c r="BC126" s="248" t="e">
        <f t="shared" si="41"/>
        <v>#NUM!</v>
      </c>
      <c r="BD126" s="193"/>
      <c r="BE126" s="193"/>
      <c r="BF126" s="193"/>
      <c r="BG126" s="193"/>
      <c r="BH126" s="193"/>
      <c r="BI126" s="193"/>
      <c r="BJ126" s="193"/>
      <c r="BK126" s="193"/>
    </row>
    <row r="127" spans="1:63" x14ac:dyDescent="0.2">
      <c r="AC127" s="198"/>
      <c r="AF127" s="230"/>
      <c r="AG127" s="198" t="e">
        <v>#N/A</v>
      </c>
      <c r="AH127" s="261" t="e">
        <v>#N/A</v>
      </c>
      <c r="AI127" s="261" t="e">
        <v>#N/A</v>
      </c>
      <c r="AJ127" s="198" t="e">
        <v>#N/A</v>
      </c>
      <c r="AK127" s="198" t="e">
        <v>#N/A</v>
      </c>
      <c r="AL127" s="200" t="e">
        <v>#N/A</v>
      </c>
      <c r="AM127" s="201" t="e">
        <v>#N/A</v>
      </c>
      <c r="AN127" s="200" t="e">
        <v>#N/A</v>
      </c>
      <c r="AO127" s="198" t="e">
        <v>#N/A</v>
      </c>
      <c r="AP127" s="200" t="e">
        <v>#N/A</v>
      </c>
      <c r="AQ127" s="202" t="e">
        <v>#N/A</v>
      </c>
      <c r="AR127" s="203" t="e">
        <v>#N/A</v>
      </c>
      <c r="AS127" s="245" t="e">
        <f>_xll.qlDayCounterYearFraction("actual/365 (fixed)",Evaluationdate,AJ127,,,Trigger)</f>
        <v>#NUM!</v>
      </c>
      <c r="AT127" s="246" t="e">
        <f>_xll.qlDayCounterYearFraction("actual/365 (fixed)",Evaluationdate,AK127,,,Trigger)</f>
        <v>#NUM!</v>
      </c>
      <c r="AU127" s="246" t="e">
        <f>_xll.qlDayCounterYearFraction(AP127,AJ127,AK127,,,Trigger)</f>
        <v>#VALUE!</v>
      </c>
      <c r="AV127" s="247" t="e">
        <f>_xll.qlYieldTSDiscount("USDON",AJ127,,Trigger)</f>
        <v>#NUM!</v>
      </c>
      <c r="AW127" s="247" t="e">
        <f>_xll.qlYieldTSDiscount("USDON",AK127,,Trigger)</f>
        <v>#NUM!</v>
      </c>
      <c r="AX127" s="203" t="e">
        <f t="shared" si="36"/>
        <v>#NUM!</v>
      </c>
      <c r="AY127" s="203" t="e">
        <f t="shared" si="37"/>
        <v>#NUM!</v>
      </c>
      <c r="AZ127" s="201" t="b">
        <f t="shared" si="38"/>
        <v>0</v>
      </c>
      <c r="BA127" s="195" t="e">
        <f t="shared" si="39"/>
        <v>#NUM!</v>
      </c>
      <c r="BB127" s="248" t="e">
        <f t="shared" si="40"/>
        <v>#NUM!</v>
      </c>
      <c r="BC127" s="248" t="e">
        <f t="shared" si="41"/>
        <v>#NUM!</v>
      </c>
      <c r="BD127" s="193"/>
      <c r="BE127" s="193"/>
      <c r="BF127" s="193"/>
      <c r="BG127" s="193"/>
      <c r="BH127" s="193"/>
      <c r="BI127" s="193"/>
      <c r="BJ127" s="193"/>
      <c r="BK127" s="193"/>
    </row>
    <row r="128" spans="1:63" x14ac:dyDescent="0.2">
      <c r="AC128" s="198"/>
      <c r="AF128" s="230"/>
      <c r="AG128" s="198" t="e">
        <v>#N/A</v>
      </c>
      <c r="AH128" s="261" t="e">
        <v>#N/A</v>
      </c>
      <c r="AI128" s="261" t="e">
        <v>#N/A</v>
      </c>
      <c r="AJ128" s="198" t="e">
        <v>#N/A</v>
      </c>
      <c r="AK128" s="198" t="e">
        <v>#N/A</v>
      </c>
      <c r="AL128" s="200" t="e">
        <v>#N/A</v>
      </c>
      <c r="AM128" s="201" t="e">
        <v>#N/A</v>
      </c>
      <c r="AN128" s="200" t="e">
        <v>#N/A</v>
      </c>
      <c r="AO128" s="198" t="e">
        <v>#N/A</v>
      </c>
      <c r="AP128" s="200" t="e">
        <v>#N/A</v>
      </c>
      <c r="AQ128" s="202" t="e">
        <v>#N/A</v>
      </c>
      <c r="AR128" s="203" t="e">
        <v>#N/A</v>
      </c>
      <c r="AS128" s="245" t="e">
        <f>_xll.qlDayCounterYearFraction("actual/365 (fixed)",Evaluationdate,AJ128,,,Trigger)</f>
        <v>#NUM!</v>
      </c>
      <c r="AT128" s="246" t="e">
        <f>_xll.qlDayCounterYearFraction("actual/365 (fixed)",Evaluationdate,AK128,,,Trigger)</f>
        <v>#NUM!</v>
      </c>
      <c r="AU128" s="246" t="e">
        <f>_xll.qlDayCounterYearFraction(AP128,AJ128,AK128,,,Trigger)</f>
        <v>#VALUE!</v>
      </c>
      <c r="AV128" s="247" t="e">
        <f>_xll.qlYieldTSDiscount("USDON",AJ128,,Trigger)</f>
        <v>#NUM!</v>
      </c>
      <c r="AW128" s="247" t="e">
        <f>_xll.qlYieldTSDiscount("USDON",AK128,,Trigger)</f>
        <v>#NUM!</v>
      </c>
      <c r="AX128" s="203" t="e">
        <f t="shared" si="36"/>
        <v>#NUM!</v>
      </c>
      <c r="AY128" s="203" t="e">
        <f t="shared" si="37"/>
        <v>#NUM!</v>
      </c>
      <c r="AZ128" s="201" t="b">
        <f t="shared" si="38"/>
        <v>0</v>
      </c>
      <c r="BA128" s="195" t="e">
        <f t="shared" si="39"/>
        <v>#NUM!</v>
      </c>
      <c r="BB128" s="248" t="e">
        <f t="shared" si="40"/>
        <v>#NUM!</v>
      </c>
      <c r="BC128" s="248" t="e">
        <f t="shared" si="41"/>
        <v>#NUM!</v>
      </c>
      <c r="BD128" s="193"/>
      <c r="BE128" s="193"/>
      <c r="BF128" s="193"/>
      <c r="BG128" s="193"/>
      <c r="BH128" s="193"/>
      <c r="BI128" s="193"/>
      <c r="BJ128" s="193"/>
      <c r="BK128" s="193"/>
    </row>
    <row r="129" spans="29:63" x14ac:dyDescent="0.2">
      <c r="AC129" s="198"/>
      <c r="AF129" s="230"/>
      <c r="AG129" s="198" t="e">
        <v>#N/A</v>
      </c>
      <c r="AH129" s="261" t="e">
        <v>#N/A</v>
      </c>
      <c r="AI129" s="261" t="e">
        <v>#N/A</v>
      </c>
      <c r="AJ129" s="198" t="e">
        <v>#N/A</v>
      </c>
      <c r="AK129" s="198" t="e">
        <v>#N/A</v>
      </c>
      <c r="AL129" s="200" t="e">
        <v>#N/A</v>
      </c>
      <c r="AM129" s="201" t="e">
        <v>#N/A</v>
      </c>
      <c r="AN129" s="200" t="e">
        <v>#N/A</v>
      </c>
      <c r="AO129" s="198" t="e">
        <v>#N/A</v>
      </c>
      <c r="AP129" s="200" t="e">
        <v>#N/A</v>
      </c>
      <c r="AQ129" s="202" t="e">
        <v>#N/A</v>
      </c>
      <c r="AR129" s="203" t="e">
        <v>#N/A</v>
      </c>
      <c r="AS129" s="245" t="e">
        <f>_xll.qlDayCounterYearFraction("actual/365 (fixed)",Evaluationdate,AJ129,,,Trigger)</f>
        <v>#NUM!</v>
      </c>
      <c r="AT129" s="246" t="e">
        <f>_xll.qlDayCounterYearFraction("actual/365 (fixed)",Evaluationdate,AK129,,,Trigger)</f>
        <v>#NUM!</v>
      </c>
      <c r="AU129" s="246" t="e">
        <f>_xll.qlDayCounterYearFraction(AP129,AJ129,AK129,,,Trigger)</f>
        <v>#VALUE!</v>
      </c>
      <c r="AV129" s="247" t="e">
        <f>_xll.qlYieldTSDiscount("USDON",AJ129,,Trigger)</f>
        <v>#NUM!</v>
      </c>
      <c r="AW129" s="247" t="e">
        <f>_xll.qlYieldTSDiscount("USDON",AK129,,Trigger)</f>
        <v>#NUM!</v>
      </c>
      <c r="AX129" s="203" t="e">
        <f t="shared" si="36"/>
        <v>#NUM!</v>
      </c>
      <c r="AY129" s="203" t="e">
        <f t="shared" si="37"/>
        <v>#NUM!</v>
      </c>
      <c r="AZ129" s="201" t="b">
        <f t="shared" si="38"/>
        <v>0</v>
      </c>
      <c r="BA129" s="195" t="e">
        <f t="shared" si="39"/>
        <v>#NUM!</v>
      </c>
      <c r="BB129" s="248" t="e">
        <f t="shared" si="40"/>
        <v>#NUM!</v>
      </c>
      <c r="BC129" s="248" t="e">
        <f t="shared" si="41"/>
        <v>#NUM!</v>
      </c>
      <c r="BD129" s="193"/>
      <c r="BE129" s="193"/>
      <c r="BF129" s="193"/>
      <c r="BG129" s="193"/>
      <c r="BH129" s="193"/>
      <c r="BI129" s="193"/>
      <c r="BJ129" s="193"/>
      <c r="BK129" s="193"/>
    </row>
    <row r="130" spans="29:63" x14ac:dyDescent="0.2">
      <c r="AC130" s="198"/>
      <c r="AF130" s="230"/>
      <c r="AG130" s="198" t="e">
        <v>#N/A</v>
      </c>
      <c r="AH130" s="261" t="e">
        <v>#N/A</v>
      </c>
      <c r="AI130" s="261" t="e">
        <v>#N/A</v>
      </c>
      <c r="AJ130" s="198" t="e">
        <v>#N/A</v>
      </c>
      <c r="AK130" s="198" t="e">
        <v>#N/A</v>
      </c>
      <c r="AL130" s="200" t="e">
        <v>#N/A</v>
      </c>
      <c r="AM130" s="201" t="e">
        <v>#N/A</v>
      </c>
      <c r="AN130" s="200" t="e">
        <v>#N/A</v>
      </c>
      <c r="AO130" s="198" t="e">
        <v>#N/A</v>
      </c>
      <c r="AP130" s="200" t="e">
        <v>#N/A</v>
      </c>
      <c r="AQ130" s="202" t="e">
        <v>#N/A</v>
      </c>
      <c r="AR130" s="203" t="e">
        <v>#N/A</v>
      </c>
      <c r="AS130" s="245" t="e">
        <f>_xll.qlDayCounterYearFraction("actual/365 (fixed)",Evaluationdate,AJ130,,,Trigger)</f>
        <v>#NUM!</v>
      </c>
      <c r="AT130" s="246" t="e">
        <f>_xll.qlDayCounterYearFraction("actual/365 (fixed)",Evaluationdate,AK130,,,Trigger)</f>
        <v>#NUM!</v>
      </c>
      <c r="AU130" s="246" t="e">
        <f>_xll.qlDayCounterYearFraction(AP130,AJ130,AK130,,,Trigger)</f>
        <v>#VALUE!</v>
      </c>
      <c r="AV130" s="247" t="e">
        <f>_xll.qlYieldTSDiscount("USDON",AJ130,,Trigger)</f>
        <v>#NUM!</v>
      </c>
      <c r="AW130" s="247" t="e">
        <f>_xll.qlYieldTSDiscount("USDON",AK130,,Trigger)</f>
        <v>#NUM!</v>
      </c>
      <c r="AX130" s="203" t="e">
        <f t="shared" si="36"/>
        <v>#NUM!</v>
      </c>
      <c r="AY130" s="203" t="e">
        <f t="shared" si="37"/>
        <v>#NUM!</v>
      </c>
      <c r="AZ130" s="201" t="b">
        <f t="shared" si="38"/>
        <v>0</v>
      </c>
      <c r="BA130" s="195" t="e">
        <f t="shared" si="39"/>
        <v>#NUM!</v>
      </c>
      <c r="BB130" s="248" t="e">
        <f t="shared" si="40"/>
        <v>#NUM!</v>
      </c>
      <c r="BC130" s="248" t="e">
        <f t="shared" si="41"/>
        <v>#NUM!</v>
      </c>
      <c r="BD130" s="193"/>
      <c r="BE130" s="193"/>
      <c r="BF130" s="193"/>
      <c r="BG130" s="193"/>
      <c r="BH130" s="193"/>
      <c r="BI130" s="193"/>
      <c r="BJ130" s="193"/>
      <c r="BK130" s="193"/>
    </row>
    <row r="131" spans="29:63" x14ac:dyDescent="0.2">
      <c r="AC131" s="198"/>
      <c r="AF131" s="230"/>
      <c r="AG131" s="198" t="e">
        <v>#N/A</v>
      </c>
      <c r="AH131" s="261" t="e">
        <v>#N/A</v>
      </c>
      <c r="AI131" s="261" t="e">
        <v>#N/A</v>
      </c>
      <c r="AJ131" s="198" t="e">
        <v>#N/A</v>
      </c>
      <c r="AK131" s="198" t="e">
        <v>#N/A</v>
      </c>
      <c r="AL131" s="200" t="e">
        <v>#N/A</v>
      </c>
      <c r="AM131" s="201" t="e">
        <v>#N/A</v>
      </c>
      <c r="AN131" s="200" t="e">
        <v>#N/A</v>
      </c>
      <c r="AO131" s="198" t="e">
        <v>#N/A</v>
      </c>
      <c r="AP131" s="200" t="e">
        <v>#N/A</v>
      </c>
      <c r="AQ131" s="202" t="e">
        <v>#N/A</v>
      </c>
      <c r="AR131" s="203" t="e">
        <v>#N/A</v>
      </c>
      <c r="AS131" s="245" t="e">
        <f>_xll.qlDayCounterYearFraction("actual/365 (fixed)",Evaluationdate,AJ131,,,Trigger)</f>
        <v>#NUM!</v>
      </c>
      <c r="AT131" s="246" t="e">
        <f>_xll.qlDayCounterYearFraction("actual/365 (fixed)",Evaluationdate,AK131,,,Trigger)</f>
        <v>#NUM!</v>
      </c>
      <c r="AU131" s="246" t="e">
        <f>_xll.qlDayCounterYearFraction(AP131,AJ131,AK131,,,Trigger)</f>
        <v>#VALUE!</v>
      </c>
      <c r="AV131" s="247" t="e">
        <f>_xll.qlYieldTSDiscount("USDON",AJ131,,Trigger)</f>
        <v>#NUM!</v>
      </c>
      <c r="AW131" s="247" t="e">
        <f>_xll.qlYieldTSDiscount("USDON",AK131,,Trigger)</f>
        <v>#NUM!</v>
      </c>
      <c r="AX131" s="203" t="e">
        <f t="shared" si="36"/>
        <v>#NUM!</v>
      </c>
      <c r="AY131" s="203" t="e">
        <f t="shared" si="37"/>
        <v>#NUM!</v>
      </c>
      <c r="AZ131" s="201" t="b">
        <f t="shared" si="38"/>
        <v>0</v>
      </c>
      <c r="BA131" s="195" t="e">
        <f t="shared" si="39"/>
        <v>#NUM!</v>
      </c>
      <c r="BB131" s="248" t="e">
        <f t="shared" si="40"/>
        <v>#NUM!</v>
      </c>
      <c r="BC131" s="248" t="e">
        <f t="shared" si="41"/>
        <v>#NUM!</v>
      </c>
      <c r="BD131" s="193"/>
      <c r="BE131" s="193"/>
      <c r="BF131" s="193"/>
      <c r="BG131" s="193"/>
      <c r="BH131" s="193"/>
      <c r="BI131" s="193"/>
      <c r="BJ131" s="193"/>
      <c r="BK131" s="193"/>
    </row>
    <row r="132" spans="29:63" x14ac:dyDescent="0.2">
      <c r="AC132" s="198"/>
      <c r="AF132" s="230"/>
      <c r="AG132" s="198" t="e">
        <v>#N/A</v>
      </c>
      <c r="AH132" s="261" t="e">
        <v>#N/A</v>
      </c>
      <c r="AI132" s="261" t="e">
        <v>#N/A</v>
      </c>
      <c r="AJ132" s="198" t="e">
        <v>#N/A</v>
      </c>
      <c r="AK132" s="198" t="e">
        <v>#N/A</v>
      </c>
      <c r="AL132" s="200" t="e">
        <v>#N/A</v>
      </c>
      <c r="AM132" s="201" t="e">
        <v>#N/A</v>
      </c>
      <c r="AN132" s="200" t="e">
        <v>#N/A</v>
      </c>
      <c r="AO132" s="198" t="e">
        <v>#N/A</v>
      </c>
      <c r="AP132" s="200" t="e">
        <v>#N/A</v>
      </c>
      <c r="AQ132" s="202" t="e">
        <v>#N/A</v>
      </c>
      <c r="AR132" s="203" t="e">
        <v>#N/A</v>
      </c>
      <c r="AS132" s="245" t="e">
        <f>_xll.qlDayCounterYearFraction("actual/365 (fixed)",Evaluationdate,AJ132,,,Trigger)</f>
        <v>#NUM!</v>
      </c>
      <c r="AT132" s="246" t="e">
        <f>_xll.qlDayCounterYearFraction("actual/365 (fixed)",Evaluationdate,AK132,,,Trigger)</f>
        <v>#NUM!</v>
      </c>
      <c r="AU132" s="246" t="e">
        <f>_xll.qlDayCounterYearFraction(AP132,AJ132,AK132,,,Trigger)</f>
        <v>#VALUE!</v>
      </c>
      <c r="AV132" s="247" t="e">
        <f>_xll.qlYieldTSDiscount("USDON",AJ132,,Trigger)</f>
        <v>#NUM!</v>
      </c>
      <c r="AW132" s="247" t="e">
        <f>_xll.qlYieldTSDiscount("USDON",AK132,,Trigger)</f>
        <v>#NUM!</v>
      </c>
      <c r="AX132" s="203" t="e">
        <f t="shared" si="36"/>
        <v>#NUM!</v>
      </c>
      <c r="AY132" s="203" t="e">
        <f t="shared" si="37"/>
        <v>#NUM!</v>
      </c>
      <c r="AZ132" s="201" t="b">
        <f t="shared" si="38"/>
        <v>0</v>
      </c>
      <c r="BA132" s="195" t="e">
        <f t="shared" si="39"/>
        <v>#NUM!</v>
      </c>
      <c r="BB132" s="248" t="e">
        <f t="shared" si="40"/>
        <v>#NUM!</v>
      </c>
      <c r="BC132" s="248" t="e">
        <f t="shared" si="41"/>
        <v>#NUM!</v>
      </c>
      <c r="BD132" s="193"/>
      <c r="BE132" s="193"/>
      <c r="BF132" s="193"/>
      <c r="BG132" s="193"/>
      <c r="BH132" s="193"/>
      <c r="BI132" s="193"/>
      <c r="BJ132" s="193"/>
      <c r="BK132" s="193"/>
    </row>
    <row r="133" spans="29:63" x14ac:dyDescent="0.2">
      <c r="AC133" s="198"/>
      <c r="AF133" s="230"/>
      <c r="AG133" s="198" t="e">
        <v>#N/A</v>
      </c>
      <c r="AH133" s="261" t="e">
        <v>#N/A</v>
      </c>
      <c r="AI133" s="261" t="e">
        <v>#N/A</v>
      </c>
      <c r="AJ133" s="198" t="e">
        <v>#N/A</v>
      </c>
      <c r="AK133" s="198" t="e">
        <v>#N/A</v>
      </c>
      <c r="AL133" s="200" t="e">
        <v>#N/A</v>
      </c>
      <c r="AM133" s="201" t="e">
        <v>#N/A</v>
      </c>
      <c r="AN133" s="200" t="e">
        <v>#N/A</v>
      </c>
      <c r="AO133" s="198" t="e">
        <v>#N/A</v>
      </c>
      <c r="AP133" s="200" t="e">
        <v>#N/A</v>
      </c>
      <c r="AQ133" s="202" t="e">
        <v>#N/A</v>
      </c>
      <c r="AR133" s="203" t="e">
        <v>#N/A</v>
      </c>
      <c r="AS133" s="245" t="e">
        <f>_xll.qlDayCounterYearFraction("actual/365 (fixed)",Evaluationdate,AJ133,,,Trigger)</f>
        <v>#NUM!</v>
      </c>
      <c r="AT133" s="246" t="e">
        <f>_xll.qlDayCounterYearFraction("actual/365 (fixed)",Evaluationdate,AK133,,,Trigger)</f>
        <v>#NUM!</v>
      </c>
      <c r="AU133" s="246" t="e">
        <f>_xll.qlDayCounterYearFraction(AP133,AJ133,AK133,,,Trigger)</f>
        <v>#VALUE!</v>
      </c>
      <c r="AV133" s="247" t="e">
        <f>_xll.qlYieldTSDiscount("USDON",AJ133,,Trigger)</f>
        <v>#NUM!</v>
      </c>
      <c r="AW133" s="247" t="e">
        <f>_xll.qlYieldTSDiscount("USDON",AK133,,Trigger)</f>
        <v>#NUM!</v>
      </c>
      <c r="AX133" s="203" t="e">
        <f t="shared" si="36"/>
        <v>#NUM!</v>
      </c>
      <c r="AY133" s="203" t="e">
        <f t="shared" si="37"/>
        <v>#NUM!</v>
      </c>
      <c r="AZ133" s="201" t="b">
        <f t="shared" si="38"/>
        <v>0</v>
      </c>
      <c r="BA133" s="195" t="e">
        <f t="shared" si="39"/>
        <v>#NUM!</v>
      </c>
      <c r="BB133" s="248" t="e">
        <f t="shared" si="40"/>
        <v>#NUM!</v>
      </c>
      <c r="BC133" s="248" t="e">
        <f t="shared" si="41"/>
        <v>#NUM!</v>
      </c>
      <c r="BD133" s="193"/>
      <c r="BE133" s="193"/>
      <c r="BF133" s="193"/>
      <c r="BG133" s="193"/>
      <c r="BH133" s="193"/>
      <c r="BI133" s="193"/>
      <c r="BJ133" s="193"/>
      <c r="BK133" s="193"/>
    </row>
    <row r="134" spans="29:63" x14ac:dyDescent="0.2">
      <c r="AC134" s="198"/>
      <c r="AF134" s="230"/>
      <c r="AG134" s="198" t="e">
        <v>#N/A</v>
      </c>
      <c r="AH134" s="261" t="e">
        <v>#N/A</v>
      </c>
      <c r="AI134" s="261" t="e">
        <v>#N/A</v>
      </c>
      <c r="AJ134" s="198" t="e">
        <v>#N/A</v>
      </c>
      <c r="AK134" s="198" t="e">
        <v>#N/A</v>
      </c>
      <c r="AL134" s="200" t="e">
        <v>#N/A</v>
      </c>
      <c r="AM134" s="201" t="e">
        <v>#N/A</v>
      </c>
      <c r="AN134" s="200" t="e">
        <v>#N/A</v>
      </c>
      <c r="AO134" s="198" t="e">
        <v>#N/A</v>
      </c>
      <c r="AP134" s="200" t="e">
        <v>#N/A</v>
      </c>
      <c r="AQ134" s="202" t="e">
        <v>#N/A</v>
      </c>
      <c r="AR134" s="203" t="e">
        <v>#N/A</v>
      </c>
      <c r="AS134" s="245" t="e">
        <f>_xll.qlDayCounterYearFraction("actual/365 (fixed)",Evaluationdate,AJ134,,,Trigger)</f>
        <v>#NUM!</v>
      </c>
      <c r="AT134" s="246" t="e">
        <f>_xll.qlDayCounterYearFraction("actual/365 (fixed)",Evaluationdate,AK134,,,Trigger)</f>
        <v>#NUM!</v>
      </c>
      <c r="AU134" s="246" t="e">
        <f>_xll.qlDayCounterYearFraction(AP134,AJ134,AK134,,,Trigger)</f>
        <v>#VALUE!</v>
      </c>
      <c r="AV134" s="247" t="e">
        <f>_xll.qlYieldTSDiscount("USDON",AJ134,,Trigger)</f>
        <v>#NUM!</v>
      </c>
      <c r="AW134" s="247" t="e">
        <f>_xll.qlYieldTSDiscount("USDON",AK134,,Trigger)</f>
        <v>#NUM!</v>
      </c>
      <c r="AX134" s="203" t="e">
        <f t="shared" si="36"/>
        <v>#NUM!</v>
      </c>
      <c r="AY134" s="203" t="e">
        <f t="shared" si="37"/>
        <v>#NUM!</v>
      </c>
      <c r="AZ134" s="201" t="b">
        <f t="shared" si="38"/>
        <v>0</v>
      </c>
      <c r="BA134" s="195" t="e">
        <f t="shared" si="39"/>
        <v>#NUM!</v>
      </c>
      <c r="BB134" s="248" t="e">
        <f t="shared" si="40"/>
        <v>#NUM!</v>
      </c>
      <c r="BC134" s="248" t="e">
        <f t="shared" si="41"/>
        <v>#NUM!</v>
      </c>
      <c r="BD134" s="193"/>
      <c r="BE134" s="193"/>
      <c r="BF134" s="193"/>
      <c r="BG134" s="193"/>
      <c r="BH134" s="193"/>
      <c r="BI134" s="193"/>
      <c r="BJ134" s="193"/>
      <c r="BK134" s="193"/>
    </row>
    <row r="135" spans="29:63" x14ac:dyDescent="0.2">
      <c r="AC135" s="198"/>
      <c r="AF135" s="230"/>
      <c r="AG135" s="198" t="e">
        <v>#N/A</v>
      </c>
      <c r="AH135" s="261" t="e">
        <v>#N/A</v>
      </c>
      <c r="AI135" s="261" t="e">
        <v>#N/A</v>
      </c>
      <c r="AJ135" s="198" t="e">
        <v>#N/A</v>
      </c>
      <c r="AK135" s="198" t="e">
        <v>#N/A</v>
      </c>
      <c r="AL135" s="200" t="e">
        <v>#N/A</v>
      </c>
      <c r="AM135" s="201" t="e">
        <v>#N/A</v>
      </c>
      <c r="AN135" s="200" t="e">
        <v>#N/A</v>
      </c>
      <c r="AO135" s="198" t="e">
        <v>#N/A</v>
      </c>
      <c r="AP135" s="200" t="e">
        <v>#N/A</v>
      </c>
      <c r="AQ135" s="202" t="e">
        <v>#N/A</v>
      </c>
      <c r="AR135" s="203" t="e">
        <v>#N/A</v>
      </c>
      <c r="AS135" s="245" t="e">
        <f>_xll.qlDayCounterYearFraction("actual/365 (fixed)",Evaluationdate,AJ135,,,Trigger)</f>
        <v>#NUM!</v>
      </c>
      <c r="AT135" s="246" t="e">
        <f>_xll.qlDayCounterYearFraction("actual/365 (fixed)",Evaluationdate,AK135,,,Trigger)</f>
        <v>#NUM!</v>
      </c>
      <c r="AU135" s="246" t="e">
        <f>_xll.qlDayCounterYearFraction(AP135,AJ135,AK135,,,Trigger)</f>
        <v>#VALUE!</v>
      </c>
      <c r="AV135" s="247" t="e">
        <f>_xll.qlYieldTSDiscount("USDON",AJ135,,Trigger)</f>
        <v>#NUM!</v>
      </c>
      <c r="AW135" s="247" t="e">
        <f>_xll.qlYieldTSDiscount("USDON",AK135,,Trigger)</f>
        <v>#NUM!</v>
      </c>
      <c r="AX135" s="203" t="e">
        <f t="shared" si="36"/>
        <v>#NUM!</v>
      </c>
      <c r="AY135" s="203" t="e">
        <f t="shared" si="37"/>
        <v>#NUM!</v>
      </c>
      <c r="AZ135" s="201" t="b">
        <f t="shared" si="38"/>
        <v>0</v>
      </c>
      <c r="BA135" s="195" t="e">
        <f t="shared" si="39"/>
        <v>#NUM!</v>
      </c>
      <c r="BB135" s="248" t="e">
        <f t="shared" si="40"/>
        <v>#NUM!</v>
      </c>
      <c r="BC135" s="248" t="e">
        <f t="shared" si="41"/>
        <v>#NUM!</v>
      </c>
      <c r="BD135" s="193"/>
      <c r="BE135" s="193"/>
      <c r="BF135" s="193"/>
      <c r="BG135" s="193"/>
      <c r="BH135" s="193"/>
      <c r="BI135" s="193"/>
      <c r="BJ135" s="193"/>
      <c r="BK135" s="193"/>
    </row>
    <row r="136" spans="29:63" x14ac:dyDescent="0.2">
      <c r="AC136" s="198"/>
      <c r="AF136" s="230"/>
      <c r="AG136" s="198" t="e">
        <v>#N/A</v>
      </c>
      <c r="AH136" s="261" t="e">
        <v>#N/A</v>
      </c>
      <c r="AI136" s="261" t="e">
        <v>#N/A</v>
      </c>
      <c r="AJ136" s="198" t="e">
        <v>#N/A</v>
      </c>
      <c r="AK136" s="198" t="e">
        <v>#N/A</v>
      </c>
      <c r="AL136" s="200" t="e">
        <v>#N/A</v>
      </c>
      <c r="AM136" s="201" t="e">
        <v>#N/A</v>
      </c>
      <c r="AN136" s="200" t="e">
        <v>#N/A</v>
      </c>
      <c r="AO136" s="198" t="e">
        <v>#N/A</v>
      </c>
      <c r="AP136" s="200" t="e">
        <v>#N/A</v>
      </c>
      <c r="AQ136" s="202" t="e">
        <v>#N/A</v>
      </c>
      <c r="AR136" s="203" t="e">
        <v>#N/A</v>
      </c>
      <c r="AS136" s="245" t="e">
        <f>_xll.qlDayCounterYearFraction("actual/365 (fixed)",Evaluationdate,AJ136,,,Trigger)</f>
        <v>#NUM!</v>
      </c>
      <c r="AT136" s="246" t="e">
        <f>_xll.qlDayCounterYearFraction("actual/365 (fixed)",Evaluationdate,AK136,,,Trigger)</f>
        <v>#NUM!</v>
      </c>
      <c r="AU136" s="246" t="e">
        <f>_xll.qlDayCounterYearFraction(AP136,AJ136,AK136,,,Trigger)</f>
        <v>#VALUE!</v>
      </c>
      <c r="AV136" s="247" t="e">
        <f>_xll.qlYieldTSDiscount("USDON",AJ136,,Trigger)</f>
        <v>#NUM!</v>
      </c>
      <c r="AW136" s="247" t="e">
        <f>_xll.qlYieldTSDiscount("USDON",AK136,,Trigger)</f>
        <v>#NUM!</v>
      </c>
      <c r="AX136" s="203" t="e">
        <f t="shared" si="36"/>
        <v>#NUM!</v>
      </c>
      <c r="AY136" s="203" t="e">
        <f t="shared" si="37"/>
        <v>#NUM!</v>
      </c>
      <c r="AZ136" s="201" t="b">
        <f t="shared" si="38"/>
        <v>0</v>
      </c>
      <c r="BA136" s="195" t="e">
        <f t="shared" si="39"/>
        <v>#NUM!</v>
      </c>
      <c r="BB136" s="248" t="e">
        <f t="shared" si="40"/>
        <v>#NUM!</v>
      </c>
      <c r="BC136" s="248" t="e">
        <f t="shared" si="41"/>
        <v>#NUM!</v>
      </c>
      <c r="BD136" s="193"/>
      <c r="BE136" s="193"/>
      <c r="BF136" s="193"/>
      <c r="BG136" s="193"/>
      <c r="BH136" s="193"/>
      <c r="BI136" s="193"/>
      <c r="BJ136" s="193"/>
      <c r="BK136" s="193"/>
    </row>
    <row r="137" spans="29:63" x14ac:dyDescent="0.2">
      <c r="AC137" s="198"/>
      <c r="AF137" s="230"/>
      <c r="AG137" s="198" t="e">
        <v>#N/A</v>
      </c>
      <c r="AH137" s="261" t="e">
        <v>#N/A</v>
      </c>
      <c r="AI137" s="261" t="e">
        <v>#N/A</v>
      </c>
      <c r="AJ137" s="198" t="e">
        <v>#N/A</v>
      </c>
      <c r="AK137" s="198" t="e">
        <v>#N/A</v>
      </c>
      <c r="AL137" s="200" t="e">
        <v>#N/A</v>
      </c>
      <c r="AM137" s="201" t="e">
        <v>#N/A</v>
      </c>
      <c r="AN137" s="200" t="e">
        <v>#N/A</v>
      </c>
      <c r="AO137" s="198" t="e">
        <v>#N/A</v>
      </c>
      <c r="AP137" s="200" t="e">
        <v>#N/A</v>
      </c>
      <c r="AQ137" s="202" t="e">
        <v>#N/A</v>
      </c>
      <c r="AR137" s="203" t="e">
        <v>#N/A</v>
      </c>
      <c r="AS137" s="245" t="e">
        <f>_xll.qlDayCounterYearFraction("actual/365 (fixed)",Evaluationdate,AJ137,,,Trigger)</f>
        <v>#NUM!</v>
      </c>
      <c r="AT137" s="246" t="e">
        <f>_xll.qlDayCounterYearFraction("actual/365 (fixed)",Evaluationdate,AK137,,,Trigger)</f>
        <v>#NUM!</v>
      </c>
      <c r="AU137" s="246" t="e">
        <f>_xll.qlDayCounterYearFraction(AP137,AJ137,AK137,,,Trigger)</f>
        <v>#VALUE!</v>
      </c>
      <c r="AV137" s="247" t="e">
        <f>_xll.qlYieldTSDiscount("USDON",AJ137,,Trigger)</f>
        <v>#NUM!</v>
      </c>
      <c r="AW137" s="247" t="e">
        <f>_xll.qlYieldTSDiscount("USDON",AK137,,Trigger)</f>
        <v>#NUM!</v>
      </c>
      <c r="AX137" s="203" t="e">
        <f t="shared" si="36"/>
        <v>#NUM!</v>
      </c>
      <c r="AY137" s="203" t="e">
        <f t="shared" si="37"/>
        <v>#NUM!</v>
      </c>
      <c r="AZ137" s="201" t="b">
        <f t="shared" si="38"/>
        <v>0</v>
      </c>
      <c r="BA137" s="195" t="e">
        <f t="shared" si="39"/>
        <v>#NUM!</v>
      </c>
      <c r="BB137" s="248" t="e">
        <f t="shared" si="40"/>
        <v>#NUM!</v>
      </c>
      <c r="BC137" s="248" t="e">
        <f t="shared" si="41"/>
        <v>#NUM!</v>
      </c>
      <c r="BD137" s="193"/>
      <c r="BE137" s="193"/>
      <c r="BF137" s="193"/>
      <c r="BG137" s="193"/>
      <c r="BH137" s="193"/>
      <c r="BI137" s="193"/>
      <c r="BJ137" s="193"/>
      <c r="BK137" s="193"/>
    </row>
    <row r="138" spans="29:63" x14ac:dyDescent="0.2">
      <c r="AC138" s="198"/>
      <c r="AF138" s="230"/>
      <c r="AG138" s="198" t="e">
        <v>#N/A</v>
      </c>
      <c r="AH138" s="261" t="e">
        <v>#N/A</v>
      </c>
      <c r="AI138" s="261" t="e">
        <v>#N/A</v>
      </c>
      <c r="AJ138" s="198" t="e">
        <v>#N/A</v>
      </c>
      <c r="AK138" s="198" t="e">
        <v>#N/A</v>
      </c>
      <c r="AL138" s="200" t="e">
        <v>#N/A</v>
      </c>
      <c r="AM138" s="201" t="e">
        <v>#N/A</v>
      </c>
      <c r="AN138" s="200" t="e">
        <v>#N/A</v>
      </c>
      <c r="AO138" s="198" t="e">
        <v>#N/A</v>
      </c>
      <c r="AP138" s="200" t="e">
        <v>#N/A</v>
      </c>
      <c r="AQ138" s="202" t="e">
        <v>#N/A</v>
      </c>
      <c r="AR138" s="203" t="e">
        <v>#N/A</v>
      </c>
      <c r="AS138" s="245" t="e">
        <f>_xll.qlDayCounterYearFraction("actual/365 (fixed)",Evaluationdate,AJ138,,,Trigger)</f>
        <v>#NUM!</v>
      </c>
      <c r="AT138" s="246" t="e">
        <f>_xll.qlDayCounterYearFraction("actual/365 (fixed)",Evaluationdate,AK138,,,Trigger)</f>
        <v>#NUM!</v>
      </c>
      <c r="AU138" s="246" t="e">
        <f>_xll.qlDayCounterYearFraction(AP138,AJ138,AK138,,,Trigger)</f>
        <v>#VALUE!</v>
      </c>
      <c r="AV138" s="247" t="e">
        <f>_xll.qlYieldTSDiscount("USDON",AJ138,,Trigger)</f>
        <v>#NUM!</v>
      </c>
      <c r="AW138" s="247" t="e">
        <f>_xll.qlYieldTSDiscount("USDON",AK138,,Trigger)</f>
        <v>#NUM!</v>
      </c>
      <c r="AX138" s="203" t="e">
        <f t="shared" si="36"/>
        <v>#NUM!</v>
      </c>
      <c r="AY138" s="203" t="e">
        <f t="shared" si="37"/>
        <v>#NUM!</v>
      </c>
      <c r="AZ138" s="201" t="b">
        <f t="shared" si="38"/>
        <v>0</v>
      </c>
      <c r="BA138" s="195" t="e">
        <f t="shared" si="39"/>
        <v>#NUM!</v>
      </c>
      <c r="BB138" s="248" t="e">
        <f t="shared" si="40"/>
        <v>#NUM!</v>
      </c>
      <c r="BC138" s="248" t="e">
        <f t="shared" si="41"/>
        <v>#NUM!</v>
      </c>
      <c r="BD138" s="193"/>
      <c r="BE138" s="193"/>
      <c r="BF138" s="193"/>
      <c r="BG138" s="193"/>
      <c r="BH138" s="193"/>
      <c r="BI138" s="193"/>
      <c r="BJ138" s="193"/>
      <c r="BK138" s="193"/>
    </row>
    <row r="139" spans="29:63" x14ac:dyDescent="0.2">
      <c r="AC139" s="198"/>
      <c r="AF139" s="230"/>
      <c r="AG139" s="198" t="e">
        <v>#N/A</v>
      </c>
      <c r="AH139" s="261" t="e">
        <v>#N/A</v>
      </c>
      <c r="AI139" s="261" t="e">
        <v>#N/A</v>
      </c>
      <c r="AJ139" s="198" t="e">
        <v>#N/A</v>
      </c>
      <c r="AK139" s="198" t="e">
        <v>#N/A</v>
      </c>
      <c r="AL139" s="200" t="e">
        <v>#N/A</v>
      </c>
      <c r="AM139" s="201" t="e">
        <v>#N/A</v>
      </c>
      <c r="AN139" s="200" t="e">
        <v>#N/A</v>
      </c>
      <c r="AO139" s="198" t="e">
        <v>#N/A</v>
      </c>
      <c r="AP139" s="200" t="e">
        <v>#N/A</v>
      </c>
      <c r="AQ139" s="202" t="e">
        <v>#N/A</v>
      </c>
      <c r="AR139" s="203" t="e">
        <v>#N/A</v>
      </c>
      <c r="AS139" s="245" t="e">
        <f>_xll.qlDayCounterYearFraction("actual/365 (fixed)",Evaluationdate,AJ139,,,Trigger)</f>
        <v>#NUM!</v>
      </c>
      <c r="AT139" s="246" t="e">
        <f>_xll.qlDayCounterYearFraction("actual/365 (fixed)",Evaluationdate,AK139,,,Trigger)</f>
        <v>#NUM!</v>
      </c>
      <c r="AU139" s="246" t="e">
        <f>_xll.qlDayCounterYearFraction(AP139,AJ139,AK139,,,Trigger)</f>
        <v>#VALUE!</v>
      </c>
      <c r="AV139" s="247" t="e">
        <f>_xll.qlYieldTSDiscount("USDON",AJ139,,Trigger)</f>
        <v>#NUM!</v>
      </c>
      <c r="AW139" s="247" t="e">
        <f>_xll.qlYieldTSDiscount("USDON",AK139,,Trigger)</f>
        <v>#NUM!</v>
      </c>
      <c r="AX139" s="203" t="e">
        <f t="shared" si="36"/>
        <v>#NUM!</v>
      </c>
      <c r="AY139" s="203" t="e">
        <f t="shared" si="37"/>
        <v>#NUM!</v>
      </c>
      <c r="AZ139" s="201" t="b">
        <f t="shared" si="38"/>
        <v>0</v>
      </c>
      <c r="BA139" s="195" t="e">
        <f t="shared" si="39"/>
        <v>#NUM!</v>
      </c>
      <c r="BB139" s="248" t="e">
        <f t="shared" si="40"/>
        <v>#NUM!</v>
      </c>
      <c r="BC139" s="248" t="e">
        <f t="shared" si="41"/>
        <v>#NUM!</v>
      </c>
      <c r="BD139" s="193"/>
      <c r="BE139" s="193"/>
      <c r="BF139" s="193"/>
      <c r="BG139" s="193"/>
      <c r="BH139" s="193"/>
      <c r="BI139" s="193"/>
      <c r="BJ139" s="193"/>
      <c r="BK139" s="193"/>
    </row>
    <row r="140" spans="29:63" x14ac:dyDescent="0.2">
      <c r="AC140" s="198"/>
      <c r="AF140" s="230"/>
      <c r="AG140" s="198" t="e">
        <v>#N/A</v>
      </c>
      <c r="AH140" s="261" t="e">
        <v>#N/A</v>
      </c>
      <c r="AI140" s="261" t="e">
        <v>#N/A</v>
      </c>
      <c r="AJ140" s="198" t="e">
        <v>#N/A</v>
      </c>
      <c r="AK140" s="198" t="e">
        <v>#N/A</v>
      </c>
      <c r="AL140" s="200" t="e">
        <v>#N/A</v>
      </c>
      <c r="AM140" s="201" t="e">
        <v>#N/A</v>
      </c>
      <c r="AN140" s="200" t="e">
        <v>#N/A</v>
      </c>
      <c r="AO140" s="198" t="e">
        <v>#N/A</v>
      </c>
      <c r="AP140" s="200" t="e">
        <v>#N/A</v>
      </c>
      <c r="AQ140" s="202" t="e">
        <v>#N/A</v>
      </c>
      <c r="AR140" s="203" t="e">
        <v>#N/A</v>
      </c>
      <c r="AS140" s="245" t="e">
        <f>_xll.qlDayCounterYearFraction("actual/365 (fixed)",Evaluationdate,AJ140,,,Trigger)</f>
        <v>#NUM!</v>
      </c>
      <c r="AT140" s="246" t="e">
        <f>_xll.qlDayCounterYearFraction("actual/365 (fixed)",Evaluationdate,AK140,,,Trigger)</f>
        <v>#NUM!</v>
      </c>
      <c r="AU140" s="246" t="e">
        <f>_xll.qlDayCounterYearFraction(AP140,AJ140,AK140,,,Trigger)</f>
        <v>#VALUE!</v>
      </c>
      <c r="AV140" s="247" t="e">
        <f>_xll.qlYieldTSDiscount("USDON",AJ140,,Trigger)</f>
        <v>#NUM!</v>
      </c>
      <c r="AW140" s="247" t="e">
        <f>_xll.qlYieldTSDiscount("USDON",AK140,,Trigger)</f>
        <v>#NUM!</v>
      </c>
      <c r="AX140" s="203" t="e">
        <f t="shared" si="36"/>
        <v>#NUM!</v>
      </c>
      <c r="AY140" s="203" t="e">
        <f t="shared" si="37"/>
        <v>#NUM!</v>
      </c>
      <c r="AZ140" s="201" t="b">
        <f t="shared" si="38"/>
        <v>0</v>
      </c>
      <c r="BA140" s="195" t="e">
        <f t="shared" si="39"/>
        <v>#NUM!</v>
      </c>
      <c r="BB140" s="248" t="e">
        <f t="shared" si="40"/>
        <v>#NUM!</v>
      </c>
      <c r="BC140" s="248" t="e">
        <f t="shared" si="41"/>
        <v>#NUM!</v>
      </c>
      <c r="BD140" s="193"/>
      <c r="BE140" s="193"/>
      <c r="BF140" s="193"/>
      <c r="BG140" s="193"/>
      <c r="BH140" s="193"/>
      <c r="BI140" s="193"/>
      <c r="BJ140" s="193"/>
      <c r="BK140" s="193"/>
    </row>
    <row r="141" spans="29:63" x14ac:dyDescent="0.2">
      <c r="AC141" s="198"/>
      <c r="AF141" s="230"/>
      <c r="AG141" s="198" t="e">
        <v>#N/A</v>
      </c>
      <c r="AH141" s="261" t="e">
        <v>#N/A</v>
      </c>
      <c r="AI141" s="261" t="e">
        <v>#N/A</v>
      </c>
      <c r="AJ141" s="198" t="e">
        <v>#N/A</v>
      </c>
      <c r="AK141" s="198" t="e">
        <v>#N/A</v>
      </c>
      <c r="AL141" s="200" t="e">
        <v>#N/A</v>
      </c>
      <c r="AM141" s="201" t="e">
        <v>#N/A</v>
      </c>
      <c r="AN141" s="200" t="e">
        <v>#N/A</v>
      </c>
      <c r="AO141" s="198" t="e">
        <v>#N/A</v>
      </c>
      <c r="AP141" s="200" t="e">
        <v>#N/A</v>
      </c>
      <c r="AQ141" s="202" t="e">
        <v>#N/A</v>
      </c>
      <c r="AR141" s="203" t="e">
        <v>#N/A</v>
      </c>
      <c r="AS141" s="245" t="e">
        <f>_xll.qlDayCounterYearFraction("actual/365 (fixed)",Evaluationdate,AJ141,,,Trigger)</f>
        <v>#NUM!</v>
      </c>
      <c r="AT141" s="246" t="e">
        <f>_xll.qlDayCounterYearFraction("actual/365 (fixed)",Evaluationdate,AK141,,,Trigger)</f>
        <v>#NUM!</v>
      </c>
      <c r="AU141" s="246" t="e">
        <f>_xll.qlDayCounterYearFraction(AP141,AJ141,AK141,,,Trigger)</f>
        <v>#VALUE!</v>
      </c>
      <c r="AV141" s="247" t="e">
        <f>_xll.qlYieldTSDiscount("USDON",AJ141,,Trigger)</f>
        <v>#NUM!</v>
      </c>
      <c r="AW141" s="247" t="e">
        <f>_xll.qlYieldTSDiscount("USDON",AK141,,Trigger)</f>
        <v>#NUM!</v>
      </c>
      <c r="AX141" s="203" t="e">
        <f t="shared" si="36"/>
        <v>#NUM!</v>
      </c>
      <c r="AY141" s="203" t="e">
        <f t="shared" si="37"/>
        <v>#NUM!</v>
      </c>
      <c r="AZ141" s="201" t="b">
        <f t="shared" si="38"/>
        <v>0</v>
      </c>
      <c r="BA141" s="195" t="e">
        <f t="shared" si="39"/>
        <v>#NUM!</v>
      </c>
      <c r="BB141" s="248" t="e">
        <f t="shared" si="40"/>
        <v>#NUM!</v>
      </c>
      <c r="BC141" s="248" t="e">
        <f t="shared" si="41"/>
        <v>#NUM!</v>
      </c>
      <c r="BD141" s="193"/>
      <c r="BE141" s="193"/>
      <c r="BF141" s="193"/>
      <c r="BG141" s="193"/>
      <c r="BH141" s="193"/>
      <c r="BI141" s="193"/>
      <c r="BJ141" s="193"/>
      <c r="BK141" s="193"/>
    </row>
    <row r="142" spans="29:63" x14ac:dyDescent="0.2">
      <c r="AC142" s="198"/>
      <c r="AD142" s="199"/>
      <c r="AE142" s="199"/>
      <c r="AF142" s="216"/>
      <c r="AG142" s="198" t="e">
        <v>#N/A</v>
      </c>
      <c r="AH142" s="261" t="e">
        <v>#N/A</v>
      </c>
      <c r="AI142" s="261" t="e">
        <v>#N/A</v>
      </c>
      <c r="AJ142" s="198" t="e">
        <v>#N/A</v>
      </c>
      <c r="AK142" s="198" t="e">
        <v>#N/A</v>
      </c>
      <c r="AL142" s="200" t="e">
        <v>#N/A</v>
      </c>
      <c r="AM142" s="201" t="e">
        <v>#N/A</v>
      </c>
      <c r="AN142" s="200" t="e">
        <v>#N/A</v>
      </c>
      <c r="AO142" s="198" t="e">
        <v>#N/A</v>
      </c>
      <c r="AP142" s="200" t="e">
        <v>#N/A</v>
      </c>
      <c r="AQ142" s="202" t="e">
        <v>#N/A</v>
      </c>
      <c r="AR142" s="203" t="e">
        <v>#N/A</v>
      </c>
      <c r="AS142" s="245" t="e">
        <f>_xll.qlDayCounterYearFraction("actual/365 (fixed)",Evaluationdate,AJ142,,,Trigger)</f>
        <v>#NUM!</v>
      </c>
      <c r="AT142" s="246" t="e">
        <f>_xll.qlDayCounterYearFraction("actual/365 (fixed)",Evaluationdate,AK142,,,Trigger)</f>
        <v>#NUM!</v>
      </c>
      <c r="AU142" s="246" t="e">
        <f>_xll.qlDayCounterYearFraction(AP142,AJ142,AK142,,,Trigger)</f>
        <v>#VALUE!</v>
      </c>
      <c r="AV142" s="247" t="e">
        <f>_xll.qlYieldTSDiscount("USDON",AJ142,,Trigger)</f>
        <v>#NUM!</v>
      </c>
      <c r="AW142" s="247" t="e">
        <f>_xll.qlYieldTSDiscount("USDON",AK142,,Trigger)</f>
        <v>#NUM!</v>
      </c>
      <c r="AX142" s="203" t="e">
        <f t="shared" si="36"/>
        <v>#NUM!</v>
      </c>
      <c r="AY142" s="203" t="e">
        <f t="shared" si="37"/>
        <v>#NUM!</v>
      </c>
      <c r="AZ142" s="201" t="b">
        <f t="shared" si="38"/>
        <v>0</v>
      </c>
      <c r="BA142" s="195" t="e">
        <f t="shared" si="39"/>
        <v>#NUM!</v>
      </c>
      <c r="BB142" s="248" t="e">
        <f t="shared" si="40"/>
        <v>#NUM!</v>
      </c>
      <c r="BC142" s="248" t="e">
        <f t="shared" si="41"/>
        <v>#NUM!</v>
      </c>
      <c r="BD142" s="193"/>
      <c r="BE142" s="193"/>
      <c r="BF142" s="193"/>
      <c r="BG142" s="193"/>
      <c r="BH142" s="193"/>
      <c r="BI142" s="193"/>
      <c r="BJ142" s="193"/>
      <c r="BK142" s="193"/>
    </row>
    <row r="143" spans="29:63" x14ac:dyDescent="0.2">
      <c r="AC143" s="198"/>
      <c r="AD143" s="199"/>
      <c r="AE143" s="199"/>
      <c r="AF143" s="216"/>
      <c r="AG143" s="198"/>
      <c r="AH143" s="261"/>
      <c r="AI143" s="261"/>
      <c r="AJ143" s="198"/>
      <c r="AK143" s="198"/>
      <c r="AL143" s="200"/>
      <c r="AM143" s="201"/>
      <c r="AN143" s="200"/>
      <c r="AO143" s="198"/>
      <c r="AP143" s="200"/>
      <c r="AQ143" s="202"/>
      <c r="AR143" s="203"/>
      <c r="AS143" s="203"/>
      <c r="AT143" s="204"/>
      <c r="AU143" s="203"/>
      <c r="AV143" s="203"/>
      <c r="AW143" s="203"/>
      <c r="AX143" s="195"/>
      <c r="AY143" s="195"/>
      <c r="AZ143" s="193"/>
      <c r="BA143" s="193"/>
      <c r="BB143" s="193"/>
      <c r="BC143" s="193"/>
      <c r="BD143" s="193"/>
      <c r="BE143" s="193"/>
      <c r="BF143" s="193"/>
      <c r="BG143" s="193"/>
      <c r="BH143" s="193"/>
      <c r="BI143" s="193"/>
      <c r="BJ143" s="193"/>
      <c r="BK143" s="193"/>
    </row>
    <row r="144" spans="29:63" x14ac:dyDescent="0.2">
      <c r="AC144" s="190"/>
      <c r="AD144" s="199"/>
      <c r="AE144" s="199"/>
      <c r="AF144" s="216"/>
      <c r="AG144" s="201">
        <f>1/AG145</f>
        <v>1000</v>
      </c>
      <c r="AH144" s="201">
        <f t="shared" ref="AH144:AL144" si="43">1/AH145</f>
        <v>100</v>
      </c>
      <c r="AI144" s="201">
        <f t="shared" si="43"/>
        <v>20</v>
      </c>
      <c r="AJ144" s="201">
        <f t="shared" si="43"/>
        <v>10</v>
      </c>
      <c r="AK144" s="201">
        <f t="shared" si="43"/>
        <v>2</v>
      </c>
      <c r="AL144" s="201">
        <f t="shared" si="43"/>
        <v>1</v>
      </c>
      <c r="AM144" s="201"/>
      <c r="AN144" s="216"/>
      <c r="AO144" s="201">
        <f>1/AO145</f>
        <v>1000</v>
      </c>
      <c r="AP144" s="201">
        <f t="shared" ref="AP144" si="44">1/AP145</f>
        <v>100</v>
      </c>
      <c r="AQ144" s="201">
        <f t="shared" ref="AQ144" si="45">1/AQ145</f>
        <v>20</v>
      </c>
      <c r="AR144" s="201">
        <f t="shared" ref="AR144" si="46">1/AR145</f>
        <v>10</v>
      </c>
      <c r="AS144" s="201">
        <f t="shared" ref="AS144" si="47">1/AS145</f>
        <v>2</v>
      </c>
      <c r="AT144" s="201">
        <f t="shared" ref="AT144" si="48">1/AT145</f>
        <v>1</v>
      </c>
      <c r="AU144" s="203"/>
      <c r="AV144" s="203"/>
      <c r="AW144" s="201"/>
      <c r="AX144" s="193"/>
      <c r="AY144" s="193"/>
      <c r="AZ144" s="193"/>
      <c r="BA144" s="193"/>
      <c r="BB144" s="193"/>
      <c r="BC144" s="193"/>
      <c r="BD144" s="193"/>
      <c r="BE144" s="193"/>
      <c r="BF144" s="193"/>
      <c r="BG144" s="193"/>
      <c r="BH144" s="193"/>
    </row>
    <row r="145" spans="30:60" x14ac:dyDescent="0.2">
      <c r="AD145" s="199"/>
      <c r="AE145" s="199"/>
      <c r="AF145" s="226" t="s">
        <v>184</v>
      </c>
      <c r="AG145" s="227">
        <v>1E-3</v>
      </c>
      <c r="AH145" s="228">
        <v>0.01</v>
      </c>
      <c r="AI145" s="228">
        <v>0.05</v>
      </c>
      <c r="AJ145" s="228">
        <v>0.1</v>
      </c>
      <c r="AK145" s="228">
        <v>0.5</v>
      </c>
      <c r="AL145" s="229">
        <v>1</v>
      </c>
      <c r="AM145" s="201"/>
      <c r="AN145" s="226" t="s">
        <v>185</v>
      </c>
      <c r="AO145" s="227">
        <v>1E-3</v>
      </c>
      <c r="AP145" s="228">
        <v>0.01</v>
      </c>
      <c r="AQ145" s="228">
        <v>0.05</v>
      </c>
      <c r="AR145" s="228">
        <v>0.1</v>
      </c>
      <c r="AS145" s="228">
        <v>0.5</v>
      </c>
      <c r="AT145" s="229">
        <v>1</v>
      </c>
      <c r="AU145" s="203"/>
      <c r="AV145" s="203"/>
      <c r="AW145" s="201"/>
      <c r="AX145" s="193"/>
      <c r="AY145" s="193"/>
      <c r="AZ145" s="193"/>
      <c r="BA145" s="193"/>
      <c r="BB145" s="193"/>
      <c r="BC145" s="193"/>
      <c r="BD145" s="193"/>
      <c r="BE145" s="193"/>
      <c r="BF145" s="193"/>
      <c r="BG145" s="193"/>
      <c r="BH145" s="193"/>
    </row>
    <row r="146" spans="30:60" x14ac:dyDescent="0.2">
      <c r="AD146" s="199"/>
      <c r="AF146" s="223">
        <v>1E-4</v>
      </c>
      <c r="AG146" s="235">
        <v>3.480269166533423E-8</v>
      </c>
      <c r="AH146" s="236"/>
      <c r="AI146" s="236">
        <v>3.4357500147037761E-8</v>
      </c>
      <c r="AJ146" s="236"/>
      <c r="AK146" s="236">
        <v>3.0562668908872454E-8</v>
      </c>
      <c r="AL146" s="237"/>
      <c r="AM146" s="200"/>
      <c r="AN146" s="223">
        <v>1E-4</v>
      </c>
      <c r="AO146" s="235">
        <v>2.6684053022751897E-7</v>
      </c>
      <c r="AP146" s="236"/>
      <c r="AQ146" s="236">
        <v>2.6438292469010967E-7</v>
      </c>
      <c r="AR146" s="236"/>
      <c r="AS146" s="236">
        <v>2.4308343381074795E-7</v>
      </c>
      <c r="AT146" s="237"/>
      <c r="AU146" s="203"/>
      <c r="AV146" s="203"/>
      <c r="AW146" s="201"/>
      <c r="AX146" s="193"/>
      <c r="AY146" s="193"/>
      <c r="AZ146" s="193"/>
      <c r="BA146" s="193"/>
      <c r="BB146" s="193"/>
      <c r="BC146" s="193"/>
      <c r="BD146" s="193"/>
      <c r="BE146" s="193"/>
      <c r="BF146" s="193"/>
      <c r="BG146" s="193"/>
      <c r="BH146" s="193"/>
    </row>
    <row r="147" spans="30:60" x14ac:dyDescent="0.2">
      <c r="AD147" s="199"/>
      <c r="AF147" s="224">
        <v>5.0000000000000001E-4</v>
      </c>
      <c r="AG147" s="238"/>
      <c r="AH147" s="239"/>
      <c r="AI147" s="239"/>
      <c r="AJ147" s="239"/>
      <c r="AK147" s="239"/>
      <c r="AL147" s="240"/>
      <c r="AM147" s="200"/>
      <c r="AN147" s="224">
        <v>5.0000000000000001E-4</v>
      </c>
      <c r="AO147" s="238"/>
      <c r="AP147" s="239"/>
      <c r="AQ147" s="239"/>
      <c r="AR147" s="239"/>
      <c r="AS147" s="239"/>
      <c r="AT147" s="240"/>
      <c r="AU147" s="203"/>
      <c r="AV147" s="203"/>
      <c r="AW147" s="201"/>
      <c r="AX147" s="193"/>
      <c r="AY147" s="193"/>
      <c r="AZ147" s="193"/>
      <c r="BA147" s="193"/>
      <c r="BB147" s="193"/>
      <c r="BC147" s="193"/>
      <c r="BD147" s="193"/>
      <c r="BE147" s="193"/>
      <c r="BF147" s="193"/>
      <c r="BG147" s="193"/>
      <c r="BH147" s="193"/>
    </row>
    <row r="148" spans="30:60" x14ac:dyDescent="0.2">
      <c r="AD148" s="191"/>
      <c r="AF148" s="224">
        <v>1E-3</v>
      </c>
      <c r="AG148" s="238">
        <v>3.4802691665334225E-6</v>
      </c>
      <c r="AH148" s="239"/>
      <c r="AI148" s="239">
        <v>3.4357500147037763E-6</v>
      </c>
      <c r="AJ148" s="239"/>
      <c r="AK148" s="239">
        <v>3.0562668908872457E-6</v>
      </c>
      <c r="AL148" s="240"/>
      <c r="AM148" s="200"/>
      <c r="AN148" s="224">
        <v>1E-3</v>
      </c>
      <c r="AO148" s="238">
        <v>2.6684053022751897E-5</v>
      </c>
      <c r="AP148" s="239"/>
      <c r="AQ148" s="239">
        <v>2.6438292469010964E-5</v>
      </c>
      <c r="AR148" s="239"/>
      <c r="AS148" s="239">
        <v>2.4308343381074793E-5</v>
      </c>
      <c r="AT148" s="240"/>
      <c r="AU148" s="203"/>
      <c r="AV148" s="203"/>
      <c r="AW148" s="201"/>
      <c r="AX148" s="193"/>
      <c r="AY148" s="193"/>
      <c r="AZ148" s="193"/>
      <c r="BA148" s="193"/>
      <c r="BB148" s="193"/>
      <c r="BC148" s="193"/>
      <c r="BD148" s="193"/>
      <c r="BE148" s="193"/>
      <c r="BF148" s="193"/>
      <c r="BG148" s="193"/>
      <c r="BH148" s="193"/>
    </row>
    <row r="149" spans="30:60" x14ac:dyDescent="0.2">
      <c r="AF149" s="224">
        <v>5.0000000000000001E-3</v>
      </c>
      <c r="AG149" s="238">
        <v>8.7006729163335573E-5</v>
      </c>
      <c r="AH149" s="239"/>
      <c r="AI149" s="239">
        <v>8.5893750367594407E-5</v>
      </c>
      <c r="AJ149" s="239"/>
      <c r="AK149" s="239">
        <v>7.6406672272181147E-5</v>
      </c>
      <c r="AL149" s="240"/>
      <c r="AM149" s="200"/>
      <c r="AN149" s="224">
        <v>5.0000000000000001E-3</v>
      </c>
      <c r="AO149" s="238">
        <v>6.6710132556879753E-4</v>
      </c>
      <c r="AP149" s="239"/>
      <c r="AQ149" s="239">
        <v>6.6095731172527417E-4</v>
      </c>
      <c r="AR149" s="239"/>
      <c r="AS149" s="239">
        <v>6.0770858452686993E-4</v>
      </c>
      <c r="AT149" s="240"/>
      <c r="AU149" s="203"/>
      <c r="AV149" s="203"/>
      <c r="AW149" s="201"/>
      <c r="AX149" s="193"/>
      <c r="AY149" s="193"/>
      <c r="AZ149" s="193"/>
      <c r="BA149" s="193"/>
      <c r="BB149" s="193"/>
      <c r="BC149" s="193"/>
      <c r="BD149" s="193"/>
      <c r="BE149" s="193"/>
      <c r="BF149" s="193"/>
      <c r="BG149" s="193"/>
      <c r="BH149" s="193"/>
    </row>
    <row r="150" spans="30:60" x14ac:dyDescent="0.2">
      <c r="AF150" s="224">
        <v>0.01</v>
      </c>
      <c r="AG150" s="238"/>
      <c r="AH150" s="239"/>
      <c r="AI150" s="239"/>
      <c r="AJ150" s="239"/>
      <c r="AK150" s="239"/>
      <c r="AL150" s="240"/>
      <c r="AM150" s="200"/>
      <c r="AN150" s="224">
        <v>0.01</v>
      </c>
      <c r="AO150" s="238"/>
      <c r="AP150" s="239"/>
      <c r="AQ150" s="239"/>
      <c r="AR150" s="239"/>
      <c r="AS150" s="239"/>
      <c r="AT150" s="240"/>
      <c r="AU150" s="203"/>
      <c r="AV150" s="203"/>
      <c r="AW150" s="201"/>
      <c r="AX150" s="193"/>
      <c r="AY150" s="193"/>
      <c r="AZ150" s="193"/>
      <c r="BA150" s="193"/>
      <c r="BB150" s="193"/>
      <c r="BC150" s="193"/>
      <c r="BD150" s="193"/>
      <c r="BE150" s="193"/>
      <c r="BF150" s="193"/>
      <c r="BG150" s="193"/>
      <c r="BH150" s="193"/>
    </row>
    <row r="151" spans="30:60" x14ac:dyDescent="0.2">
      <c r="AF151" s="224">
        <v>0.05</v>
      </c>
      <c r="AG151" s="238">
        <v>8.700672916333559E-3</v>
      </c>
      <c r="AH151" s="239"/>
      <c r="AI151" s="239">
        <v>8.5893750367594425E-3</v>
      </c>
      <c r="AJ151" s="239"/>
      <c r="AK151" s="239">
        <v>7.6406672272181153E-3</v>
      </c>
      <c r="AL151" s="240"/>
      <c r="AM151" s="200"/>
      <c r="AN151" s="224">
        <v>0.05</v>
      </c>
      <c r="AO151" s="238">
        <v>6.6710132556879756E-2</v>
      </c>
      <c r="AP151" s="239"/>
      <c r="AQ151" s="239">
        <v>6.6095731172527428E-2</v>
      </c>
      <c r="AR151" s="239"/>
      <c r="AS151" s="239">
        <v>6.0770858452686989E-2</v>
      </c>
      <c r="AT151" s="240"/>
      <c r="AU151" s="203"/>
      <c r="AV151" s="203"/>
      <c r="AW151" s="201"/>
      <c r="AX151" s="193"/>
      <c r="AY151" s="193"/>
      <c r="AZ151" s="193"/>
      <c r="BA151" s="193"/>
      <c r="BB151" s="193"/>
      <c r="BC151" s="193"/>
      <c r="BD151" s="193"/>
      <c r="BE151" s="193"/>
      <c r="BF151" s="193"/>
      <c r="BG151" s="193"/>
      <c r="BH151" s="193"/>
    </row>
    <row r="152" spans="30:60" x14ac:dyDescent="0.2">
      <c r="AF152" s="224">
        <v>0.1</v>
      </c>
      <c r="AG152" s="238"/>
      <c r="AH152" s="239"/>
      <c r="AI152" s="239"/>
      <c r="AJ152" s="239"/>
      <c r="AK152" s="239"/>
      <c r="AL152" s="240"/>
      <c r="AM152" s="200"/>
      <c r="AN152" s="224">
        <v>0.1</v>
      </c>
      <c r="AO152" s="238"/>
      <c r="AP152" s="239"/>
      <c r="AQ152" s="239"/>
      <c r="AR152" s="239"/>
      <c r="AS152" s="239"/>
      <c r="AT152" s="240"/>
      <c r="AU152" s="203"/>
      <c r="AV152" s="203"/>
      <c r="AW152" s="201"/>
      <c r="AX152" s="193"/>
      <c r="AY152" s="193"/>
      <c r="AZ152" s="193"/>
      <c r="BA152" s="193"/>
      <c r="BB152" s="193"/>
      <c r="BC152" s="193"/>
      <c r="BD152" s="193"/>
      <c r="BE152" s="193"/>
      <c r="BF152" s="193"/>
      <c r="BG152" s="193"/>
      <c r="BH152" s="193"/>
    </row>
    <row r="153" spans="30:60" x14ac:dyDescent="0.2">
      <c r="AD153" s="197"/>
      <c r="AF153" s="225">
        <v>0.3</v>
      </c>
      <c r="AG153" s="241">
        <v>0.313224224988008</v>
      </c>
      <c r="AH153" s="242"/>
      <c r="AI153" s="242">
        <v>0.30921750132333986</v>
      </c>
      <c r="AJ153" s="242"/>
      <c r="AK153" s="242">
        <v>0.2750640201798521</v>
      </c>
      <c r="AL153" s="243"/>
      <c r="AM153" s="200"/>
      <c r="AN153" s="225">
        <v>0.3</v>
      </c>
      <c r="AO153" s="241">
        <v>2.4015647720476707</v>
      </c>
      <c r="AP153" s="242"/>
      <c r="AQ153" s="242">
        <v>2.379446322210987</v>
      </c>
      <c r="AR153" s="242"/>
      <c r="AS153" s="242">
        <v>2.1877509042967311</v>
      </c>
      <c r="AT153" s="243"/>
      <c r="AU153" s="203"/>
      <c r="AV153" s="203"/>
      <c r="AW153" s="201"/>
      <c r="AX153" s="193"/>
      <c r="AY153" s="193"/>
      <c r="AZ153" s="193"/>
      <c r="BA153" s="193"/>
      <c r="BB153" s="193"/>
      <c r="BC153" s="193"/>
      <c r="BD153" s="193"/>
      <c r="BE153" s="193"/>
      <c r="BF153" s="193"/>
      <c r="BG153" s="193"/>
      <c r="BH153" s="193"/>
    </row>
    <row r="154" spans="30:60" x14ac:dyDescent="0.2">
      <c r="AD154" s="199"/>
      <c r="AF154" s="222"/>
      <c r="AG154" s="198"/>
      <c r="AH154" s="198"/>
      <c r="AI154" s="200"/>
      <c r="AJ154" s="201"/>
      <c r="AK154" s="200"/>
      <c r="AL154" s="198"/>
      <c r="AM154" s="200"/>
      <c r="AN154" s="202"/>
      <c r="AO154" s="203"/>
      <c r="AP154" s="203"/>
      <c r="AQ154" s="204"/>
      <c r="AR154" s="203"/>
      <c r="AS154" s="203"/>
      <c r="AT154" s="203"/>
      <c r="AU154" s="203"/>
      <c r="AV154" s="203"/>
      <c r="AW154" s="201"/>
      <c r="AX154" s="193"/>
      <c r="AY154" s="193"/>
      <c r="AZ154" s="193"/>
      <c r="BA154" s="193"/>
      <c r="BB154" s="193"/>
      <c r="BC154" s="193"/>
      <c r="BD154" s="193"/>
      <c r="BE154" s="193"/>
      <c r="BF154" s="193"/>
      <c r="BG154" s="193"/>
      <c r="BH154" s="193"/>
    </row>
    <row r="155" spans="30:60" x14ac:dyDescent="0.2">
      <c r="AD155" s="199"/>
      <c r="AE155" s="222"/>
      <c r="AF155" s="222"/>
      <c r="AG155" s="198"/>
      <c r="AH155" s="198"/>
      <c r="AI155" s="200"/>
      <c r="AJ155" s="201"/>
      <c r="AK155" s="200"/>
      <c r="AL155" s="198"/>
      <c r="AM155" s="200"/>
      <c r="AN155" s="202"/>
      <c r="AO155" s="203"/>
      <c r="AP155" s="203"/>
      <c r="AQ155" s="204"/>
      <c r="AR155" s="203"/>
      <c r="AS155" s="203"/>
      <c r="AT155" s="203"/>
      <c r="AU155" s="203"/>
      <c r="AV155" s="203"/>
      <c r="AW155" s="201"/>
      <c r="AX155" s="193"/>
      <c r="AY155" s="193"/>
      <c r="AZ155" s="193"/>
      <c r="BA155" s="193"/>
      <c r="BB155" s="193"/>
      <c r="BC155" s="193"/>
      <c r="BD155" s="193"/>
      <c r="BE155" s="193"/>
      <c r="BF155" s="193"/>
      <c r="BG155" s="193"/>
      <c r="BH155" s="193"/>
    </row>
    <row r="156" spans="30:60" x14ac:dyDescent="0.2">
      <c r="AD156" s="199"/>
      <c r="AE156" s="222"/>
      <c r="AF156" s="216"/>
      <c r="AG156" s="201">
        <v>1000</v>
      </c>
      <c r="AH156" s="201">
        <v>100</v>
      </c>
      <c r="AI156" s="201">
        <v>20</v>
      </c>
      <c r="AJ156" s="201">
        <v>10</v>
      </c>
      <c r="AK156" s="201">
        <v>2</v>
      </c>
      <c r="AL156" s="201">
        <v>1</v>
      </c>
      <c r="AM156" s="201"/>
      <c r="AN156" s="216"/>
      <c r="AO156" s="201">
        <v>1000</v>
      </c>
      <c r="AP156" s="201">
        <v>100</v>
      </c>
      <c r="AQ156" s="201">
        <v>20</v>
      </c>
      <c r="AR156" s="201">
        <v>10</v>
      </c>
      <c r="AS156" s="201">
        <v>2</v>
      </c>
      <c r="AT156" s="201">
        <v>1</v>
      </c>
      <c r="AU156" s="203"/>
      <c r="AV156" s="203"/>
      <c r="AW156" s="201"/>
      <c r="AX156" s="193"/>
      <c r="AY156" s="193"/>
      <c r="AZ156" s="193"/>
      <c r="BA156" s="193"/>
      <c r="BB156" s="193"/>
      <c r="BC156" s="193"/>
      <c r="BD156" s="193"/>
      <c r="BE156" s="193"/>
      <c r="BF156" s="193"/>
      <c r="BG156" s="193"/>
      <c r="BH156" s="193"/>
    </row>
    <row r="157" spans="30:60" x14ac:dyDescent="0.2">
      <c r="AD157" s="199"/>
      <c r="AE157" s="222"/>
      <c r="AF157" s="226" t="s">
        <v>186</v>
      </c>
      <c r="AG157" s="227">
        <v>1E-3</v>
      </c>
      <c r="AH157" s="228">
        <v>0.01</v>
      </c>
      <c r="AI157" s="228">
        <v>0.05</v>
      </c>
      <c r="AJ157" s="228">
        <v>0.1</v>
      </c>
      <c r="AK157" s="228">
        <v>0.5</v>
      </c>
      <c r="AL157" s="229">
        <v>1</v>
      </c>
      <c r="AM157" s="201"/>
      <c r="AN157" s="226" t="s">
        <v>187</v>
      </c>
      <c r="AO157" s="227">
        <v>1E-3</v>
      </c>
      <c r="AP157" s="228">
        <v>0.01</v>
      </c>
      <c r="AQ157" s="228">
        <v>0.05</v>
      </c>
      <c r="AR157" s="228">
        <v>0.1</v>
      </c>
      <c r="AS157" s="228">
        <v>0.5</v>
      </c>
      <c r="AT157" s="229">
        <v>1</v>
      </c>
      <c r="AU157" s="203"/>
      <c r="AV157" s="203"/>
      <c r="AW157" s="201"/>
      <c r="AX157" s="193"/>
      <c r="AY157" s="193"/>
      <c r="AZ157" s="193"/>
      <c r="BA157" s="193"/>
      <c r="BB157" s="193"/>
      <c r="BC157" s="193"/>
      <c r="BD157" s="193"/>
      <c r="BE157" s="193"/>
      <c r="BF157" s="193"/>
      <c r="BG157" s="193"/>
      <c r="BH157" s="193"/>
    </row>
    <row r="158" spans="30:60" x14ac:dyDescent="0.2">
      <c r="AD158" s="199"/>
      <c r="AE158" s="222"/>
      <c r="AF158" s="223">
        <v>1E-4</v>
      </c>
      <c r="AG158" s="235">
        <v>3.0069884251408457E-5</v>
      </c>
      <c r="AH158" s="236">
        <v>2.7519716350096309E-5</v>
      </c>
      <c r="AI158" s="236">
        <v>1.9142834224453586E-5</v>
      </c>
      <c r="AJ158" s="236"/>
      <c r="AK158" s="236">
        <v>2.7470499058682797E-6</v>
      </c>
      <c r="AL158" s="237"/>
      <c r="AM158" s="200"/>
      <c r="AN158" s="223">
        <v>1E-4</v>
      </c>
      <c r="AO158" s="235">
        <v>2.5823302246541502E-7</v>
      </c>
      <c r="AP158" s="236">
        <v>2.5779972234740706E-7</v>
      </c>
      <c r="AQ158" s="236">
        <v>2.5588133881815349E-7</v>
      </c>
      <c r="AR158" s="236"/>
      <c r="AS158" s="236">
        <v>2.3547894765114099E-7</v>
      </c>
      <c r="AT158" s="237"/>
      <c r="AU158" s="203"/>
      <c r="AV158" s="203"/>
      <c r="AW158" s="201"/>
      <c r="AX158" s="193"/>
      <c r="AY158" s="193"/>
      <c r="AZ158" s="193"/>
      <c r="BA158" s="193"/>
      <c r="BB158" s="193"/>
      <c r="BC158" s="193"/>
      <c r="BD158" s="193"/>
      <c r="BE158" s="193"/>
      <c r="BF158" s="193"/>
      <c r="BG158" s="193"/>
      <c r="BH158" s="193"/>
    </row>
    <row r="159" spans="30:60" x14ac:dyDescent="0.2">
      <c r="AD159" s="199"/>
      <c r="AE159" s="222"/>
      <c r="AF159" s="224">
        <v>5.0000000000000001E-4</v>
      </c>
      <c r="AG159" s="238">
        <v>7.517471062852113E-4</v>
      </c>
      <c r="AH159" s="239">
        <v>6.8799290875240775E-4</v>
      </c>
      <c r="AI159" s="239">
        <v>4.7857085561133969E-4</v>
      </c>
      <c r="AJ159" s="239"/>
      <c r="AK159" s="239">
        <v>6.8676247646706992E-5</v>
      </c>
      <c r="AL159" s="240"/>
      <c r="AM159" s="200"/>
      <c r="AN159" s="224">
        <v>5.0000000000000001E-4</v>
      </c>
      <c r="AO159" s="238">
        <v>6.4558255616353755E-6</v>
      </c>
      <c r="AP159" s="239">
        <v>6.444993058685177E-6</v>
      </c>
      <c r="AQ159" s="239">
        <v>6.3970334704538373E-6</v>
      </c>
      <c r="AR159" s="239"/>
      <c r="AS159" s="239">
        <v>5.886973691278524E-6</v>
      </c>
      <c r="AT159" s="240"/>
      <c r="AU159" s="203"/>
      <c r="AV159" s="203"/>
      <c r="AW159" s="201"/>
      <c r="AX159" s="193"/>
      <c r="AY159" s="193"/>
      <c r="AZ159" s="193"/>
      <c r="BA159" s="193"/>
      <c r="BB159" s="193"/>
      <c r="BC159" s="193"/>
      <c r="BD159" s="193"/>
    </row>
    <row r="160" spans="30:60" x14ac:dyDescent="0.2">
      <c r="AD160" s="199"/>
      <c r="AE160" s="222"/>
      <c r="AF160" s="224">
        <v>1E-3</v>
      </c>
      <c r="AG160" s="238">
        <v>3.0069884251408452E-3</v>
      </c>
      <c r="AH160" s="239">
        <v>2.751971635009631E-3</v>
      </c>
      <c r="AI160" s="239">
        <v>1.9142834224453588E-3</v>
      </c>
      <c r="AJ160" s="239"/>
      <c r="AK160" s="239">
        <v>2.7470499058682797E-4</v>
      </c>
      <c r="AL160" s="240"/>
      <c r="AM160" s="200"/>
      <c r="AN160" s="224">
        <v>1E-3</v>
      </c>
      <c r="AO160" s="238">
        <v>2.5823302246541502E-5</v>
      </c>
      <c r="AP160" s="239">
        <v>2.5779972234740708E-5</v>
      </c>
      <c r="AQ160" s="239">
        <v>2.5588133881815349E-5</v>
      </c>
      <c r="AR160" s="239"/>
      <c r="AS160" s="239">
        <v>2.3547894765114096E-5</v>
      </c>
      <c r="AT160" s="240"/>
      <c r="AU160" s="203"/>
      <c r="AV160" s="203"/>
      <c r="AW160" s="201"/>
      <c r="AX160" s="193"/>
      <c r="AY160" s="193"/>
      <c r="AZ160" s="193"/>
      <c r="BA160" s="193"/>
      <c r="BB160" s="193"/>
      <c r="BC160" s="193"/>
      <c r="BD160" s="193"/>
    </row>
    <row r="161" spans="30:56" x14ac:dyDescent="0.2">
      <c r="AD161" s="199"/>
      <c r="AE161" s="222"/>
      <c r="AF161" s="224">
        <v>5.0000000000000001E-3</v>
      </c>
      <c r="AG161" s="238">
        <v>7.5174710628521144E-2</v>
      </c>
      <c r="AH161" s="239">
        <v>6.8799290875240768E-2</v>
      </c>
      <c r="AI161" s="239">
        <v>4.7857085561133966E-2</v>
      </c>
      <c r="AJ161" s="239"/>
      <c r="AK161" s="239">
        <v>6.8676247646707001E-3</v>
      </c>
      <c r="AL161" s="240"/>
      <c r="AM161" s="200"/>
      <c r="AN161" s="224">
        <v>5.0000000000000001E-3</v>
      </c>
      <c r="AO161" s="238">
        <v>6.4558255616353765E-4</v>
      </c>
      <c r="AP161" s="239">
        <v>6.4449930586851778E-4</v>
      </c>
      <c r="AQ161" s="239">
        <v>6.397033470453839E-4</v>
      </c>
      <c r="AR161" s="239"/>
      <c r="AS161" s="239">
        <v>5.8869736912785242E-4</v>
      </c>
      <c r="AT161" s="240"/>
      <c r="AU161" s="203"/>
      <c r="AV161" s="203"/>
      <c r="AW161" s="201"/>
      <c r="AX161" s="193"/>
      <c r="AY161" s="193"/>
      <c r="AZ161" s="193"/>
      <c r="BA161" s="193"/>
      <c r="BB161" s="193"/>
      <c r="BC161" s="193"/>
      <c r="BD161" s="193"/>
    </row>
    <row r="162" spans="30:56" x14ac:dyDescent="0.2">
      <c r="AD162" s="199"/>
      <c r="AE162" s="222"/>
      <c r="AF162" s="224">
        <v>0.01</v>
      </c>
      <c r="AG162" s="238">
        <v>0.30069884251408457</v>
      </c>
      <c r="AH162" s="239">
        <v>0.27519716350096307</v>
      </c>
      <c r="AI162" s="239">
        <v>0.19142834224453587</v>
      </c>
      <c r="AJ162" s="239"/>
      <c r="AK162" s="239">
        <v>2.7470499058682801E-2</v>
      </c>
      <c r="AL162" s="240"/>
      <c r="AM162" s="200"/>
      <c r="AN162" s="224">
        <v>0.01</v>
      </c>
      <c r="AO162" s="238">
        <v>2.5823302246541506E-3</v>
      </c>
      <c r="AP162" s="239">
        <v>2.5779972234740711E-3</v>
      </c>
      <c r="AQ162" s="239">
        <v>2.5588133881815356E-3</v>
      </c>
      <c r="AR162" s="239"/>
      <c r="AS162" s="239">
        <v>2.3547894765114097E-3</v>
      </c>
      <c r="AT162" s="240"/>
      <c r="AU162" s="203"/>
      <c r="AV162" s="203"/>
      <c r="AW162" s="201"/>
      <c r="AX162" s="193"/>
      <c r="AY162" s="193"/>
      <c r="AZ162" s="193"/>
      <c r="BA162" s="193"/>
      <c r="BB162" s="193"/>
      <c r="BC162" s="193"/>
      <c r="BD162" s="193"/>
    </row>
    <row r="163" spans="30:56" x14ac:dyDescent="0.2">
      <c r="AD163" s="199"/>
      <c r="AE163" s="222"/>
      <c r="AF163" s="224">
        <v>0.05</v>
      </c>
      <c r="AG163" s="238">
        <v>7.517471062852116</v>
      </c>
      <c r="AH163" s="239">
        <v>6.8799290875240775</v>
      </c>
      <c r="AI163" s="239">
        <v>4.7857085561133967</v>
      </c>
      <c r="AJ163" s="239"/>
      <c r="AK163" s="239">
        <v>0.68676247646707023</v>
      </c>
      <c r="AL163" s="240"/>
      <c r="AM163" s="200"/>
      <c r="AN163" s="224">
        <v>0.05</v>
      </c>
      <c r="AO163" s="238">
        <v>6.4558255616353769E-2</v>
      </c>
      <c r="AP163" s="239">
        <v>6.4449930586851792E-2</v>
      </c>
      <c r="AQ163" s="239">
        <v>6.397033470453839E-2</v>
      </c>
      <c r="AR163" s="239"/>
      <c r="AS163" s="239">
        <v>5.8869736912785256E-2</v>
      </c>
      <c r="AT163" s="240"/>
      <c r="AU163" s="203"/>
      <c r="AV163" s="203"/>
      <c r="AW163" s="201"/>
      <c r="AX163" s="193"/>
      <c r="AY163" s="193"/>
      <c r="AZ163" s="193"/>
      <c r="BA163" s="193"/>
      <c r="BB163" s="193"/>
      <c r="BC163" s="193"/>
      <c r="BD163" s="193"/>
    </row>
    <row r="164" spans="30:56" x14ac:dyDescent="0.2">
      <c r="AD164" s="199"/>
      <c r="AE164" s="222"/>
      <c r="AF164" s="224">
        <v>0.1</v>
      </c>
      <c r="AG164" s="238"/>
      <c r="AH164" s="239"/>
      <c r="AI164" s="239"/>
      <c r="AJ164" s="239"/>
      <c r="AK164" s="239"/>
      <c r="AL164" s="240"/>
      <c r="AM164" s="200"/>
      <c r="AN164" s="224">
        <v>0.1</v>
      </c>
      <c r="AO164" s="238"/>
      <c r="AP164" s="239"/>
      <c r="AQ164" s="239"/>
      <c r="AR164" s="239"/>
      <c r="AS164" s="239"/>
      <c r="AT164" s="240"/>
      <c r="AU164" s="203"/>
      <c r="AV164" s="203"/>
      <c r="AW164" s="201"/>
      <c r="AX164" s="193"/>
      <c r="AY164" s="193"/>
      <c r="AZ164" s="193"/>
      <c r="BA164" s="193"/>
      <c r="BB164" s="193"/>
      <c r="BC164" s="193"/>
      <c r="BD164" s="193"/>
    </row>
    <row r="165" spans="30:56" x14ac:dyDescent="0.2">
      <c r="AD165" s="199"/>
      <c r="AE165" s="222"/>
      <c r="AF165" s="225">
        <v>0.3</v>
      </c>
      <c r="AG165" s="241">
        <v>270.62895826267606</v>
      </c>
      <c r="AH165" s="242"/>
      <c r="AI165" s="242">
        <v>172.28550802008226</v>
      </c>
      <c r="AJ165" s="242"/>
      <c r="AK165" s="242">
        <v>24.723449152814517</v>
      </c>
      <c r="AL165" s="243"/>
      <c r="AM165" s="200"/>
      <c r="AN165" s="225">
        <v>0.3</v>
      </c>
      <c r="AO165" s="241">
        <v>2.3240972021887352</v>
      </c>
      <c r="AP165" s="242"/>
      <c r="AQ165" s="242">
        <v>2.3029320493633816</v>
      </c>
      <c r="AR165" s="242"/>
      <c r="AS165" s="242">
        <v>2.1193105288602685</v>
      </c>
      <c r="AT165" s="243"/>
      <c r="AU165" s="203"/>
      <c r="AV165" s="203"/>
      <c r="AW165" s="201"/>
      <c r="AX165" s="193"/>
      <c r="AY165" s="193"/>
      <c r="AZ165" s="193"/>
      <c r="BA165" s="193"/>
      <c r="BB165" s="193"/>
      <c r="BC165" s="193"/>
      <c r="BD165" s="193"/>
    </row>
    <row r="166" spans="30:56" x14ac:dyDescent="0.2">
      <c r="AD166" s="199"/>
      <c r="AE166" s="199"/>
      <c r="AF166" s="216"/>
      <c r="AG166" s="198"/>
      <c r="AH166" s="198"/>
      <c r="AI166" s="200"/>
      <c r="AJ166" s="201"/>
      <c r="AK166" s="200"/>
      <c r="AL166" s="198"/>
      <c r="AM166" s="200"/>
      <c r="AN166" s="202"/>
      <c r="AO166" s="203"/>
      <c r="AP166" s="203"/>
      <c r="AQ166" s="204"/>
      <c r="AR166" s="203"/>
      <c r="AS166" s="203"/>
      <c r="AT166" s="203"/>
      <c r="AU166" s="203"/>
      <c r="AV166" s="203"/>
      <c r="AW166" s="201"/>
      <c r="AX166" s="193"/>
      <c r="AY166" s="193"/>
      <c r="AZ166" s="193"/>
      <c r="BA166" s="193"/>
      <c r="BB166" s="193"/>
      <c r="BC166" s="193"/>
      <c r="BD166" s="193"/>
    </row>
    <row r="167" spans="30:56" x14ac:dyDescent="0.2">
      <c r="AD167" s="199"/>
      <c r="AE167" s="199"/>
      <c r="AF167" s="216"/>
      <c r="AG167" s="190"/>
      <c r="AH167" s="190"/>
      <c r="AI167" s="192"/>
      <c r="AJ167" s="193"/>
      <c r="AK167" s="192"/>
      <c r="AL167" s="190"/>
      <c r="AM167" s="192"/>
      <c r="AN167" s="194"/>
      <c r="AO167" s="195"/>
      <c r="AP167" s="195"/>
      <c r="AQ167" s="196"/>
      <c r="AR167" s="195"/>
      <c r="AS167" s="195"/>
      <c r="AT167" s="195"/>
      <c r="AU167" s="195"/>
      <c r="AV167" s="195"/>
      <c r="AW167" s="193"/>
      <c r="AX167" s="193"/>
      <c r="AY167" s="193"/>
      <c r="AZ167" s="193"/>
      <c r="BA167" s="193"/>
      <c r="BB167" s="193"/>
      <c r="BC167" s="193"/>
      <c r="BD167" s="193"/>
    </row>
    <row r="168" spans="30:56" x14ac:dyDescent="0.2">
      <c r="AD168" s="199"/>
      <c r="AE168" s="199"/>
      <c r="AF168" s="216"/>
      <c r="AX168" s="193"/>
      <c r="AY168" s="193"/>
      <c r="AZ168" s="193"/>
      <c r="BA168" s="193"/>
      <c r="BB168" s="193"/>
      <c r="BC168" s="193"/>
      <c r="BD168" s="193"/>
    </row>
    <row r="169" spans="30:56" x14ac:dyDescent="0.2">
      <c r="AD169" s="199"/>
      <c r="AE169" s="199"/>
      <c r="AX169" s="193"/>
      <c r="AY169" s="193"/>
      <c r="AZ169" s="193"/>
      <c r="BA169" s="193"/>
      <c r="BB169" s="193"/>
      <c r="BC169" s="193"/>
      <c r="BD169" s="193"/>
    </row>
    <row r="170" spans="30:56" x14ac:dyDescent="0.2">
      <c r="AD170" s="199"/>
      <c r="AX170" s="193"/>
      <c r="AY170" s="193"/>
      <c r="AZ170" s="193"/>
      <c r="BA170" s="193"/>
      <c r="BB170" s="193"/>
      <c r="BC170" s="193"/>
      <c r="BD170" s="193"/>
    </row>
    <row r="171" spans="30:56" x14ac:dyDescent="0.2">
      <c r="AD171" s="199"/>
      <c r="AX171" s="193"/>
      <c r="AY171" s="193"/>
      <c r="AZ171" s="193"/>
      <c r="BA171" s="193"/>
      <c r="BB171" s="193"/>
      <c r="BC171" s="193"/>
      <c r="BD171" s="193"/>
    </row>
    <row r="172" spans="30:56" x14ac:dyDescent="0.2">
      <c r="AD172" s="199"/>
      <c r="AX172" s="193"/>
      <c r="AY172" s="193"/>
      <c r="AZ172" s="193"/>
      <c r="BA172" s="193"/>
      <c r="BB172" s="193"/>
      <c r="BC172" s="193"/>
      <c r="BD172" s="193"/>
    </row>
    <row r="173" spans="30:56" x14ac:dyDescent="0.2">
      <c r="AD173" s="199"/>
      <c r="AX173" s="193"/>
      <c r="AY173" s="193"/>
      <c r="AZ173" s="193"/>
      <c r="BA173" s="193"/>
      <c r="BB173" s="193"/>
      <c r="BC173" s="193"/>
      <c r="BD173" s="193"/>
    </row>
    <row r="174" spans="30:56" x14ac:dyDescent="0.2">
      <c r="AD174" s="199"/>
      <c r="AX174" s="193"/>
      <c r="AY174" s="193"/>
      <c r="AZ174" s="193"/>
      <c r="BA174" s="193"/>
      <c r="BB174" s="193"/>
      <c r="BC174" s="193"/>
      <c r="BD174" s="193"/>
    </row>
    <row r="175" spans="30:56" x14ac:dyDescent="0.2">
      <c r="AD175" s="199"/>
      <c r="AX175" s="193"/>
      <c r="AY175" s="193"/>
      <c r="AZ175" s="193"/>
      <c r="BA175" s="193"/>
      <c r="BB175" s="193"/>
      <c r="BC175" s="193"/>
      <c r="BD175" s="193"/>
    </row>
    <row r="176" spans="30:56" x14ac:dyDescent="0.2">
      <c r="AD176" s="199"/>
      <c r="AX176" s="193"/>
      <c r="AY176" s="193"/>
      <c r="AZ176" s="193"/>
      <c r="BA176" s="193"/>
      <c r="BB176" s="193"/>
      <c r="BC176" s="193"/>
      <c r="BD176" s="193"/>
    </row>
    <row r="177" spans="30:56" x14ac:dyDescent="0.2">
      <c r="AD177" s="199"/>
      <c r="AX177" s="193"/>
      <c r="AY177" s="193"/>
      <c r="AZ177" s="193"/>
      <c r="BA177" s="193"/>
      <c r="BB177" s="193"/>
      <c r="BC177" s="193"/>
      <c r="BD177" s="193"/>
    </row>
    <row r="178" spans="30:56" x14ac:dyDescent="0.2">
      <c r="AD178" s="199"/>
    </row>
    <row r="179" spans="30:56" x14ac:dyDescent="0.2">
      <c r="AD179" s="199"/>
    </row>
    <row r="180" spans="30:56" x14ac:dyDescent="0.2">
      <c r="AD180" s="199"/>
    </row>
    <row r="181" spans="30:56" x14ac:dyDescent="0.2">
      <c r="AD181" s="199"/>
    </row>
    <row r="182" spans="30:56" x14ac:dyDescent="0.2">
      <c r="AD182" s="199"/>
    </row>
    <row r="183" spans="30:56" x14ac:dyDescent="0.2">
      <c r="AD183" s="199"/>
    </row>
    <row r="184" spans="30:56" x14ac:dyDescent="0.2">
      <c r="AD184" s="199"/>
    </row>
    <row r="185" spans="30:56" x14ac:dyDescent="0.2">
      <c r="AD185" s="199"/>
    </row>
    <row r="186" spans="30:56" x14ac:dyDescent="0.2">
      <c r="AD186" s="199"/>
    </row>
    <row r="187" spans="30:56" x14ac:dyDescent="0.2">
      <c r="AD187" s="191"/>
    </row>
  </sheetData>
  <dataValidations disablePrompts="1" count="2">
    <dataValidation type="list" allowBlank="1" showInputMessage="1" showErrorMessage="1" sqref="D64:D117 AD11">
      <formula1>"Annual,Semiannual,EveryFourthMonth,Quarterly,Bimonthly,Monthly,Biweekly,Weekly,Daily,Once,NoFrequency"</formula1>
    </dataValidation>
    <dataValidation type="list" allowBlank="1" showInputMessage="1" showErrorMessage="1" sqref="AD10 BR4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6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5" style="50" hidden="1" customWidth="1" outlineLevel="1"/>
    <col min="2" max="2" width="9" style="55" hidden="1" customWidth="1" outlineLevel="1"/>
    <col min="3" max="3" width="6.7109375" style="54" hidden="1" customWidth="1" outlineLevel="1"/>
    <col min="4" max="4" width="7" style="54" hidden="1" customWidth="1" outlineLevel="1"/>
    <col min="5" max="5" width="19.28515625" style="54" hidden="1" customWidth="1" outlineLevel="1"/>
    <col min="6" max="6" width="11" style="54" hidden="1" customWidth="1" outlineLevel="1"/>
    <col min="7" max="7" width="15.140625" style="54" hidden="1" customWidth="1" outlineLevel="1"/>
    <col min="8" max="8" width="21.42578125" style="56" hidden="1" customWidth="1" outlineLevel="1"/>
    <col min="9" max="9" width="24.42578125" style="50" hidden="1" customWidth="1" outlineLevel="1"/>
    <col min="10" max="10" width="15.140625" style="50" hidden="1" customWidth="1" outlineLevel="1"/>
    <col min="11" max="11" width="2.7109375" style="50" customWidth="1" collapsed="1"/>
    <col min="12" max="12" width="5" style="50" hidden="1" customWidth="1" outlineLevel="1"/>
    <col min="13" max="13" width="15.140625" style="114" hidden="1" customWidth="1" outlineLevel="1"/>
    <col min="14" max="14" width="21.42578125" style="114" hidden="1" customWidth="1" outlineLevel="1"/>
    <col min="15" max="15" width="9.7109375" style="114" hidden="1" customWidth="1" outlineLevel="1"/>
    <col min="16" max="16" width="7.85546875" style="114" hidden="1" customWidth="1" outlineLevel="1"/>
    <col min="17" max="17" width="9" style="114" hidden="1" customWidth="1" outlineLevel="1"/>
    <col min="18" max="18" width="5.85546875" style="114" hidden="1" customWidth="1" outlineLevel="1"/>
    <col min="19" max="20" width="10.7109375" style="114" hidden="1" customWidth="1" outlineLevel="1"/>
    <col min="21" max="21" width="2.7109375" style="52" hidden="1" customWidth="1" outlineLevel="1"/>
    <col min="22" max="22" width="6" style="50" customWidth="1" collapsed="1"/>
    <col min="23" max="23" width="10.140625" style="50" hidden="1" customWidth="1" outlineLevel="1"/>
    <col min="24" max="24" width="24.7109375" style="50" customWidth="1" collapsed="1"/>
    <col min="25" max="26" width="9.7109375" style="50" customWidth="1"/>
    <col min="27" max="28" width="17.28515625" style="50" bestFit="1" customWidth="1"/>
    <col min="29" max="29" width="12" style="50" bestFit="1" customWidth="1"/>
    <col min="30" max="30" width="2.7109375" style="50" customWidth="1"/>
    <col min="31" max="31" width="24.42578125" style="50" bestFit="1" customWidth="1"/>
    <col min="32" max="32" width="9" style="50" bestFit="1" customWidth="1"/>
    <col min="33" max="16384" width="9.140625" style="50"/>
  </cols>
  <sheetData>
    <row r="1" spans="1:32" ht="18" customHeight="1" x14ac:dyDescent="0.2">
      <c r="G1" s="54" t="s">
        <v>0</v>
      </c>
      <c r="H1" s="54" t="str">
        <f>"_SYNTH"&amp;Tenor</f>
        <v>_SYNTH3M</v>
      </c>
      <c r="L1" s="72" t="s">
        <v>25</v>
      </c>
      <c r="M1" s="117"/>
      <c r="N1" s="117"/>
      <c r="O1" s="117"/>
      <c r="P1" s="117"/>
      <c r="Q1" s="117"/>
      <c r="R1" s="117"/>
      <c r="S1" s="117"/>
      <c r="T1" s="107"/>
      <c r="U1" s="104"/>
      <c r="V1" s="80" t="str">
        <f>Currency&amp;Tenor</f>
        <v>USD3M</v>
      </c>
      <c r="W1" s="71"/>
      <c r="X1" s="71"/>
      <c r="Y1" s="74"/>
      <c r="Z1" s="74"/>
      <c r="AA1" s="71"/>
      <c r="AB1" s="71"/>
      <c r="AC1" s="78" t="s">
        <v>33</v>
      </c>
    </row>
    <row r="2" spans="1:32" ht="21.75" customHeight="1" x14ac:dyDescent="0.2">
      <c r="A2" s="70" t="s">
        <v>9</v>
      </c>
      <c r="B2" s="70" t="s">
        <v>30</v>
      </c>
      <c r="C2" s="70" t="s">
        <v>125</v>
      </c>
      <c r="D2" s="70"/>
      <c r="E2" s="70"/>
      <c r="F2" s="70"/>
      <c r="G2" s="70" t="s">
        <v>4</v>
      </c>
      <c r="H2" s="70" t="s">
        <v>1</v>
      </c>
      <c r="I2" s="70"/>
      <c r="J2" s="70" t="s">
        <v>25</v>
      </c>
      <c r="L2" s="79" t="s">
        <v>9</v>
      </c>
      <c r="M2" s="79" t="s">
        <v>25</v>
      </c>
      <c r="N2" s="79" t="s">
        <v>112</v>
      </c>
      <c r="O2" s="79" t="s">
        <v>115</v>
      </c>
      <c r="P2" s="79" t="s">
        <v>113</v>
      </c>
      <c r="Q2" s="79" t="s">
        <v>114</v>
      </c>
      <c r="R2" s="79" t="s">
        <v>116</v>
      </c>
      <c r="S2" s="79" t="s">
        <v>23</v>
      </c>
      <c r="T2" s="79" t="s">
        <v>109</v>
      </c>
      <c r="U2" s="104"/>
      <c r="V2" s="79" t="s">
        <v>9</v>
      </c>
      <c r="W2" s="79" t="s">
        <v>25</v>
      </c>
      <c r="X2" s="79" t="s">
        <v>112</v>
      </c>
      <c r="Y2" s="81" t="s">
        <v>24</v>
      </c>
      <c r="Z2" s="81" t="s">
        <v>117</v>
      </c>
      <c r="AA2" s="79" t="s">
        <v>23</v>
      </c>
      <c r="AB2" s="79" t="s">
        <v>109</v>
      </c>
      <c r="AC2" s="82">
        <f t="array" ref="AC2:AC88">_xll.qlPiecewiseYieldCurveData(YieldCurve_3M,Trigger)</f>
        <v>1</v>
      </c>
      <c r="AE2" s="250" t="s">
        <v>118</v>
      </c>
      <c r="AF2" s="251"/>
    </row>
    <row r="3" spans="1:32" ht="11.25" customHeight="1" x14ac:dyDescent="0.2">
      <c r="A3" s="121" t="s">
        <v>27</v>
      </c>
      <c r="B3" s="122" t="s">
        <v>104</v>
      </c>
      <c r="C3" s="123" t="s">
        <v>49</v>
      </c>
      <c r="D3" s="135"/>
      <c r="E3" s="135"/>
      <c r="F3" s="135"/>
      <c r="G3" s="124" t="str">
        <f>PROPER(Currency)&amp;"FedFunds"</f>
        <v>UsdFedFunds</v>
      </c>
      <c r="H3" s="132" t="str">
        <f t="shared" ref="H3:H9" si="0">Currency&amp;$B3&amp;"D"&amp;$H$1&amp;QuoteSuffix</f>
        <v>USDSND_SYNTH3M_Quote</v>
      </c>
      <c r="I3" s="135"/>
      <c r="J3" s="125"/>
      <c r="K3" s="53"/>
      <c r="L3" s="73" t="str">
        <f>A3</f>
        <v>Dp</v>
      </c>
      <c r="M3" s="144" t="str">
        <f>IF(ISBLANK(J3),"--",J3)</f>
        <v>--</v>
      </c>
      <c r="N3" s="158" t="str">
        <f>IFERROR(_xll.qlRateHelperQuoteName(M3,Trigger),"--")</f>
        <v>--</v>
      </c>
      <c r="O3" s="146" t="str">
        <f>IFERROR(_xll.qlRateHelperQuoteValue($M3,Trigger),"--")</f>
        <v>--</v>
      </c>
      <c r="P3" s="145" t="b">
        <v>0</v>
      </c>
      <c r="Q3" s="144">
        <v>10</v>
      </c>
      <c r="R3" s="144">
        <v>1</v>
      </c>
      <c r="S3" s="147" t="str">
        <f>IFERROR(_xll.qlRateHelperEarliestDate(M3,Trigger),"--")</f>
        <v>--</v>
      </c>
      <c r="T3" s="147" t="str">
        <f>IFERROR(_xll.qlRateHelperPillarDate(M3,Trigger),"--")</f>
        <v>--</v>
      </c>
      <c r="V3" s="4" t="str">
        <f>IFERROR(INDEX($L$3:$L$88,MATCH(X3,$N$3:$N$88,0),1),"")</f>
        <v>Dp</v>
      </c>
      <c r="W3" s="4" t="str">
        <f t="array" ref="W3:W88">_xll.qlRateHelperSelection(_xll.ohFilter(RateHelpers,IncludeFlag),_xll.ohFilter(Priority,IncludeFlag),$AF$3,$AF$4,$AF$5,$AF$6,_xll.ohFilter(MinDistance,IncludeFlag),Trigger)</f>
        <v>obj_002df</v>
      </c>
      <c r="X3" s="4" t="str">
        <f>IFERROR(_xll.qlRateHelperQuoteName(W3,Trigger),"")</f>
        <v>USD1MD_SYNTH3M_Quote</v>
      </c>
      <c r="Y3" s="75">
        <f>IFERROR(_xll.qlRateHelperRate(W3,Trigger),"")</f>
        <v>5.9540000000000001E-3</v>
      </c>
      <c r="Z3" s="115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42450</v>
      </c>
      <c r="AB3" s="5">
        <f>IFERROR(_xll.qlRateHelperPillarDate(W3,Trigger),"")</f>
        <v>42481</v>
      </c>
      <c r="AC3" s="83">
        <v>0.99948755717672688</v>
      </c>
      <c r="AE3" s="118" t="s">
        <v>119</v>
      </c>
      <c r="AF3" s="119">
        <v>8</v>
      </c>
    </row>
    <row r="4" spans="1:32" ht="11.25" customHeight="1" x14ac:dyDescent="0.2">
      <c r="A4" s="63" t="s">
        <v>27</v>
      </c>
      <c r="B4" s="64" t="s">
        <v>124</v>
      </c>
      <c r="C4" s="67" t="s">
        <v>50</v>
      </c>
      <c r="D4" s="136"/>
      <c r="E4" s="136"/>
      <c r="F4" s="136"/>
      <c r="G4" s="65" t="str">
        <f>PROPER(Currency)&amp;FamilyName&amp;B4</f>
        <v>UsdLiborSW</v>
      </c>
      <c r="H4" s="133" t="str">
        <f t="shared" si="0"/>
        <v>USDSWD_SYNTH3M_Quote</v>
      </c>
      <c r="I4" s="136"/>
      <c r="J4" s="69"/>
      <c r="K4" s="52"/>
      <c r="L4" s="11" t="str">
        <f t="shared" ref="L4:L9" si="1">A4</f>
        <v>Dp</v>
      </c>
      <c r="M4" s="105" t="str">
        <f t="shared" ref="M4:M9" si="2">IF(ISBLANK(J4),"--",J4)</f>
        <v>--</v>
      </c>
      <c r="N4" s="159" t="str">
        <f>IFERROR(_xll.qlRateHelperQuoteName(M4,Trigger),"--")</f>
        <v>--</v>
      </c>
      <c r="O4" s="109" t="str">
        <f>IFERROR(_xll.qlRateHelperQuoteValue($M4,Trigger),"--")</f>
        <v>--</v>
      </c>
      <c r="P4" s="108" t="b">
        <v>0</v>
      </c>
      <c r="Q4" s="105">
        <v>10</v>
      </c>
      <c r="R4" s="105">
        <v>1</v>
      </c>
      <c r="S4" s="110" t="str">
        <f>IFERROR(_xll.qlRateHelperEarliestDate(M4,Trigger),"--")</f>
        <v>--</v>
      </c>
      <c r="T4" s="110" t="str">
        <f>IFERROR(_xll.qlRateHelperPillarDate(M4,Trigger),"--")</f>
        <v>--</v>
      </c>
      <c r="V4" s="4" t="str">
        <f t="shared" ref="V4:V67" si="3">IFERROR(INDEX($L$3:$L$88,MATCH(X4,$N$3:$N$88,0),1),"")</f>
        <v>Dp</v>
      </c>
      <c r="W4" s="4" t="str">
        <v>obj_002e8</v>
      </c>
      <c r="X4" s="4" t="str">
        <f>IFERROR(_xll.qlRateHelperQuoteName(W4,Trigger),"")</f>
        <v>USD2MD_SYNTH3M_Quote</v>
      </c>
      <c r="Y4" s="75">
        <f>IFERROR(_xll.qlRateHelperRate(W4,Trigger),"")</f>
        <v>6.0829999999999999E-3</v>
      </c>
      <c r="Z4" s="115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42450</v>
      </c>
      <c r="AB4" s="5">
        <f>IFERROR(_xll.qlRateHelperPillarDate(W4,Trigger),"")</f>
        <v>42513</v>
      </c>
      <c r="AC4" s="83">
        <v>0.99893660700842435</v>
      </c>
      <c r="AE4" s="118" t="s">
        <v>120</v>
      </c>
      <c r="AF4" s="119">
        <v>1</v>
      </c>
    </row>
    <row r="5" spans="1:32" ht="11.25" customHeight="1" x14ac:dyDescent="0.2">
      <c r="A5" s="175" t="s">
        <v>27</v>
      </c>
      <c r="B5" s="176" t="s">
        <v>51</v>
      </c>
      <c r="C5" s="177" t="str">
        <f>B5</f>
        <v>2W</v>
      </c>
      <c r="D5" s="178"/>
      <c r="E5" s="178"/>
      <c r="F5" s="178"/>
      <c r="G5" s="179" t="str">
        <f>_xll.qlLibor(,Currency,C5,,Permanent,Trigger,ObjectOverwrite)</f>
        <v>obj_0028b#0311</v>
      </c>
      <c r="H5" s="180" t="str">
        <f t="shared" si="0"/>
        <v>USD2WD_SYNTH3M_Quote</v>
      </c>
      <c r="I5" s="178"/>
      <c r="J5" s="181"/>
      <c r="K5" s="52"/>
      <c r="L5" s="11" t="str">
        <f t="shared" si="1"/>
        <v>Dp</v>
      </c>
      <c r="M5" s="105" t="str">
        <f t="shared" si="2"/>
        <v>--</v>
      </c>
      <c r="N5" s="159" t="str">
        <f>IFERROR(_xll.qlRateHelperQuoteName(M5,Trigger),"--")</f>
        <v>--</v>
      </c>
      <c r="O5" s="109" t="str">
        <f>IFERROR(_xll.qlRateHelperQuoteValue($M5,Trigger),"--")</f>
        <v>--</v>
      </c>
      <c r="P5" s="108" t="b">
        <v>0</v>
      </c>
      <c r="Q5" s="105">
        <v>10</v>
      </c>
      <c r="R5" s="105">
        <v>1</v>
      </c>
      <c r="S5" s="110" t="str">
        <f>IFERROR(_xll.qlRateHelperEarliestDate(M5,Trigger),"--")</f>
        <v>--</v>
      </c>
      <c r="T5" s="110" t="str">
        <f>IFERROR(_xll.qlRateHelperPillarDate(M5,Trigger),"--")</f>
        <v>--</v>
      </c>
      <c r="V5" s="4" t="str">
        <f t="shared" si="3"/>
        <v>Dp</v>
      </c>
      <c r="W5" s="4" t="str">
        <v>obj_002a4</v>
      </c>
      <c r="X5" s="4" t="str">
        <f>IFERROR(_xll.qlRateHelperQuoteName(W5,Trigger),"")</f>
        <v>USD3MD_SYNTH3M_Quote</v>
      </c>
      <c r="Y5" s="75">
        <f>IFERROR(_xll.qlRateHelperRate(W5,Trigger),"")</f>
        <v>6.234E-3</v>
      </c>
      <c r="Z5" s="115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42450</v>
      </c>
      <c r="AB5" s="5">
        <f>IFERROR(_xll.qlRateHelperPillarDate(W5,Trigger),"")</f>
        <v>42542</v>
      </c>
      <c r="AC5" s="83">
        <v>0.9984094007034261</v>
      </c>
      <c r="AD5" s="86"/>
      <c r="AE5" s="118" t="s">
        <v>121</v>
      </c>
      <c r="AF5" s="119">
        <v>2</v>
      </c>
    </row>
    <row r="6" spans="1:32" ht="11.25" customHeight="1" x14ac:dyDescent="0.2">
      <c r="A6" s="182" t="s">
        <v>27</v>
      </c>
      <c r="B6" s="183" t="s">
        <v>52</v>
      </c>
      <c r="C6" s="184" t="str">
        <f t="shared" ref="C6:C9" si="4">B6</f>
        <v>3W</v>
      </c>
      <c r="D6" s="185"/>
      <c r="E6" s="185"/>
      <c r="F6" s="185"/>
      <c r="G6" s="186" t="str">
        <f>_xll.qlLibor(,Currency,C6,,Permanent,Trigger,ObjectOverwrite)</f>
        <v>obj_002db#0311</v>
      </c>
      <c r="H6" s="187" t="str">
        <f t="shared" si="0"/>
        <v>USD3WD_SYNTH3M_Quote</v>
      </c>
      <c r="I6" s="185"/>
      <c r="J6" s="188"/>
      <c r="K6" s="52"/>
      <c r="L6" s="11" t="str">
        <f t="shared" si="1"/>
        <v>Dp</v>
      </c>
      <c r="M6" s="105" t="str">
        <f t="shared" si="2"/>
        <v>--</v>
      </c>
      <c r="N6" s="159" t="str">
        <f>IFERROR(_xll.qlRateHelperQuoteName(M6,Trigger),"--")</f>
        <v>--</v>
      </c>
      <c r="O6" s="109" t="str">
        <f>IFERROR(_xll.qlRateHelperQuoteValue($M6,Trigger),"--")</f>
        <v>--</v>
      </c>
      <c r="P6" s="108" t="b">
        <v>0</v>
      </c>
      <c r="Q6" s="105">
        <v>10</v>
      </c>
      <c r="R6" s="105">
        <v>1</v>
      </c>
      <c r="S6" s="110" t="str">
        <f>IFERROR(_xll.qlRateHelperEarliestDate(M6,Trigger),"--")</f>
        <v>--</v>
      </c>
      <c r="T6" s="110" t="str">
        <f>IFERROR(_xll.qlRateHelperPillarDate(M6,Trigger),"--")</f>
        <v>--</v>
      </c>
      <c r="V6" s="4" t="str">
        <f t="shared" si="3"/>
        <v>FUT</v>
      </c>
      <c r="W6" s="4" t="str">
        <v>obj_00321</v>
      </c>
      <c r="X6" s="4" t="str">
        <f>IFERROR(_xll.qlRateHelperQuoteName(W6,Trigger),"")</f>
        <v>USDFUT3MJ6_Quote</v>
      </c>
      <c r="Y6" s="75">
        <f>IFERROR(_xll.qlRateHelperRate(W6,Trigger),"")</f>
        <v>6.3611163800185132E-3</v>
      </c>
      <c r="Z6" s="115">
        <f>IF(ISERROR(_xll.qlSwapRateHelperSpread($W6)),IF(ISERROR(_xll.qlFuturesRateHelperConvexityAdjustment($W6)),"",_xll.qlFuturesRateHelperConvexityAdjustment($W6)),_xll.qlSwapRateHelperSpread($W6))</f>
        <v>1.3836199815355994E-6</v>
      </c>
      <c r="AA6" s="5">
        <f>IFERROR(_xll.qlRateHelperEarliestDate(W6,Trigger),"")</f>
        <v>42480</v>
      </c>
      <c r="AB6" s="5">
        <f>IFERROR(_xll.qlRateHelperPillarDate(W6,Trigger),"")</f>
        <v>42571</v>
      </c>
      <c r="AC6" s="83">
        <v>0.99789967442547922</v>
      </c>
      <c r="AE6" s="118" t="s">
        <v>122</v>
      </c>
      <c r="AF6" s="120" t="s">
        <v>123</v>
      </c>
    </row>
    <row r="7" spans="1:32" ht="11.25" customHeight="1" x14ac:dyDescent="0.2">
      <c r="A7" s="63" t="s">
        <v>27</v>
      </c>
      <c r="B7" s="64" t="s">
        <v>2</v>
      </c>
      <c r="C7" s="67" t="str">
        <f t="shared" si="4"/>
        <v>1M</v>
      </c>
      <c r="D7" s="136"/>
      <c r="E7" s="136"/>
      <c r="F7" s="136"/>
      <c r="G7" s="65" t="str">
        <f>PROPER(Currency)&amp;FamilyName&amp;B7</f>
        <v>UsdLibor1M</v>
      </c>
      <c r="H7" s="133" t="str">
        <f t="shared" si="0"/>
        <v>USD1MD_SYNTH3M_Quote</v>
      </c>
      <c r="I7" s="136"/>
      <c r="J7" s="69" t="str">
        <f>_xll.qlDepositRateHelper(,H7,G7,Permanent,Trigger,ObjectOverwrite)</f>
        <v>obj_002df#0311</v>
      </c>
      <c r="K7" s="52"/>
      <c r="L7" s="11" t="str">
        <f t="shared" si="1"/>
        <v>Dp</v>
      </c>
      <c r="M7" s="105" t="str">
        <f t="shared" si="2"/>
        <v>obj_002df#0311</v>
      </c>
      <c r="N7" s="159" t="str">
        <f>IFERROR(_xll.qlRateHelperQuoteName(M7,Trigger),"--")</f>
        <v>USD1MD_SYNTH3M_Quote</v>
      </c>
      <c r="O7" s="109">
        <f>IFERROR(_xll.qlRateHelperQuoteValue($M7,Trigger),"--")</f>
        <v>5.9540000000000001E-3</v>
      </c>
      <c r="P7" s="108" t="b">
        <v>1</v>
      </c>
      <c r="Q7" s="105">
        <v>10</v>
      </c>
      <c r="R7" s="105">
        <v>1</v>
      </c>
      <c r="S7" s="110">
        <f>IFERROR(_xll.qlRateHelperEarliestDate(M7,Trigger),"--")</f>
        <v>42450</v>
      </c>
      <c r="T7" s="110">
        <f>IFERROR(_xll.qlRateHelperPillarDate(M7,Trigger),"--")</f>
        <v>42481</v>
      </c>
      <c r="V7" s="4" t="str">
        <f t="shared" si="3"/>
        <v>FUT</v>
      </c>
      <c r="W7" s="4" t="str">
        <v>obj_00323</v>
      </c>
      <c r="X7" s="4" t="str">
        <f>IFERROR(_xll.qlRateHelperQuoteName(W7,Trigger),"")</f>
        <v>USDFUT3MM6_Quote</v>
      </c>
      <c r="Y7" s="75">
        <f>IFERROR(_xll.qlRateHelperRate(W7,Trigger),"")</f>
        <v>7.320371725651309E-3</v>
      </c>
      <c r="Z7" s="115">
        <f>IF(ISERROR(_xll.qlSwapRateHelperSpread($W7)),IF(ISERROR(_xll.qlFuturesRateHelperConvexityAdjustment($W7)),"",_xll.qlFuturesRateHelperConvexityAdjustment($W7)),_xll.qlSwapRateHelperSpread($W7))</f>
        <v>4.6282743487170023E-6</v>
      </c>
      <c r="AA7" s="5">
        <f>IFERROR(_xll.qlRateHelperEarliestDate(W7,Trigger),"")</f>
        <v>42536</v>
      </c>
      <c r="AB7" s="5">
        <f>IFERROR(_xll.qlRateHelperPillarDate(W7,Trigger),"")</f>
        <v>42628</v>
      </c>
      <c r="AC7" s="83">
        <v>0.9966519739970614</v>
      </c>
    </row>
    <row r="8" spans="1:32" ht="11.25" customHeight="1" x14ac:dyDescent="0.2">
      <c r="A8" s="63" t="s">
        <v>27</v>
      </c>
      <c r="B8" s="64" t="s">
        <v>53</v>
      </c>
      <c r="C8" s="67" t="str">
        <f t="shared" si="4"/>
        <v>2M</v>
      </c>
      <c r="D8" s="136"/>
      <c r="E8" s="136"/>
      <c r="F8" s="136"/>
      <c r="G8" s="65" t="str">
        <f>PROPER(Currency)&amp;FamilyName&amp;B8</f>
        <v>UsdLibor2M</v>
      </c>
      <c r="H8" s="133" t="str">
        <f t="shared" si="0"/>
        <v>USD2MD_SYNTH3M_Quote</v>
      </c>
      <c r="I8" s="136"/>
      <c r="J8" s="69" t="str">
        <f>_xll.qlDepositRateHelper(,H8,G8,Permanent,Trigger,ObjectOverwrite)</f>
        <v>obj_002e8#0311</v>
      </c>
      <c r="K8" s="52"/>
      <c r="L8" s="11" t="str">
        <f t="shared" si="1"/>
        <v>Dp</v>
      </c>
      <c r="M8" s="105" t="str">
        <f t="shared" si="2"/>
        <v>obj_002e8#0311</v>
      </c>
      <c r="N8" s="159" t="str">
        <f>IFERROR(_xll.qlRateHelperQuoteName(M8,Trigger),"--")</f>
        <v>USD2MD_SYNTH3M_Quote</v>
      </c>
      <c r="O8" s="109">
        <f>IFERROR(_xll.qlRateHelperQuoteValue($M8,Trigger),"--")</f>
        <v>6.0829999999999999E-3</v>
      </c>
      <c r="P8" s="108" t="b">
        <v>1</v>
      </c>
      <c r="Q8" s="105">
        <v>10</v>
      </c>
      <c r="R8" s="105">
        <v>1</v>
      </c>
      <c r="S8" s="110">
        <f>IFERROR(_xll.qlRateHelperEarliestDate(M8,Trigger),"--")</f>
        <v>42450</v>
      </c>
      <c r="T8" s="110">
        <f>IFERROR(_xll.qlRateHelperPillarDate(M8,Trigger),"--")</f>
        <v>42513</v>
      </c>
      <c r="V8" s="4" t="str">
        <f t="shared" si="3"/>
        <v>FUT</v>
      </c>
      <c r="W8" s="4" t="str">
        <v>obj_00326</v>
      </c>
      <c r="X8" s="4" t="str">
        <f>IFERROR(_xll.qlRateHelperQuoteName(W8,Trigger),"")</f>
        <v>USDFUT3MU6_Quote</v>
      </c>
      <c r="Y8" s="75">
        <f>IFERROR(_xll.qlRateHelperRate(W8,Trigger),"")</f>
        <v>8.0120388947819265E-3</v>
      </c>
      <c r="Z8" s="115">
        <f>IF(ISERROR(_xll.qlSwapRateHelperSpread($W8)),IF(ISERROR(_xll.qlFuturesRateHelperConvexityAdjustment($W8)),"",_xll.qlFuturesRateHelperConvexityAdjustment($W8)),_xll.qlSwapRateHelperSpread($W8))</f>
        <v>1.2961105218132758E-5</v>
      </c>
      <c r="AA8" s="5">
        <f>IFERROR(_xll.qlRateHelperEarliestDate(W8,Trigger),"")</f>
        <v>42634</v>
      </c>
      <c r="AB8" s="5">
        <f>IFERROR(_xll.qlRateHelperPillarDate(W8,Trigger),"")</f>
        <v>42725</v>
      </c>
      <c r="AC8" s="83">
        <v>0.99450163875275521</v>
      </c>
    </row>
    <row r="9" spans="1:32" ht="11.25" customHeight="1" x14ac:dyDescent="0.2">
      <c r="A9" s="1" t="s">
        <v>27</v>
      </c>
      <c r="B9" s="9" t="s">
        <v>0</v>
      </c>
      <c r="C9" s="10" t="str">
        <f t="shared" si="4"/>
        <v>3M</v>
      </c>
      <c r="D9" s="137"/>
      <c r="E9" s="137"/>
      <c r="F9" s="137"/>
      <c r="G9" s="7" t="str">
        <f>PROPER(Currency)&amp;FamilyName&amp;B9</f>
        <v>UsdLibor3M</v>
      </c>
      <c r="H9" s="134" t="str">
        <f t="shared" si="0"/>
        <v>USD3MD_SYNTH3M_Quote</v>
      </c>
      <c r="I9" s="137"/>
      <c r="J9" s="3" t="str">
        <f>_xll.qlDepositRateHelper(,H9,G9,Permanent,Trigger,ObjectOverwrite)</f>
        <v>obj_002a4#0311</v>
      </c>
      <c r="K9" s="52"/>
      <c r="L9" s="12" t="str">
        <f t="shared" si="1"/>
        <v>Dp</v>
      </c>
      <c r="M9" s="106" t="str">
        <f t="shared" si="2"/>
        <v>obj_002a4#0311</v>
      </c>
      <c r="N9" s="160" t="str">
        <f>IFERROR(_xll.qlRateHelperQuoteName(M9,Trigger),"--")</f>
        <v>USD3MD_SYNTH3M_Quote</v>
      </c>
      <c r="O9" s="112">
        <f>IFERROR(_xll.qlRateHelperQuoteValue($M9,Trigger),"--")</f>
        <v>6.234E-3</v>
      </c>
      <c r="P9" s="111" t="b">
        <v>1</v>
      </c>
      <c r="Q9" s="106">
        <v>10</v>
      </c>
      <c r="R9" s="106">
        <v>1</v>
      </c>
      <c r="S9" s="113">
        <f>IFERROR(_xll.qlRateHelperEarliestDate(M9,Trigger),"--")</f>
        <v>42450</v>
      </c>
      <c r="T9" s="113">
        <f>IFERROR(_xll.qlRateHelperPillarDate(M9,Trigger),"--")</f>
        <v>42542</v>
      </c>
      <c r="V9" s="4" t="str">
        <f t="shared" si="3"/>
        <v>FUT</v>
      </c>
      <c r="W9" s="4" t="str">
        <v>obj_00327</v>
      </c>
      <c r="X9" s="4" t="str">
        <f>IFERROR(_xll.qlRateHelperQuoteName(W9,Trigger),"")</f>
        <v>USDFUT3MZ6_Quote</v>
      </c>
      <c r="Y9" s="75">
        <f>IFERROR(_xll.qlRateHelperRate(W9,Trigger),"")</f>
        <v>8.8013034236274663E-3</v>
      </c>
      <c r="Z9" s="115">
        <f>IF(ISERROR(_xll.qlSwapRateHelperSpread($W9)),IF(ISERROR(_xll.qlFuturesRateHelperConvexityAdjustment($W9)),"",_xll.qlFuturesRateHelperConvexityAdjustment($W9)),_xll.qlSwapRateHelperSpread($W9))</f>
        <v>2.369657637250547E-5</v>
      </c>
      <c r="AA9" s="5">
        <f>IFERROR(_xll.qlRateHelperEarliestDate(W9,Trigger),"")</f>
        <v>42725</v>
      </c>
      <c r="AB9" s="5">
        <f>IFERROR(_xll.qlRateHelperPillarDate(W9,Trigger),"")</f>
        <v>42815</v>
      </c>
      <c r="AC9" s="83">
        <v>0.9923182153262855</v>
      </c>
    </row>
    <row r="10" spans="1:32" ht="11.25" customHeight="1" x14ac:dyDescent="0.2">
      <c r="B10" s="50"/>
      <c r="C10" s="50"/>
      <c r="D10" s="50"/>
      <c r="E10" s="50"/>
      <c r="F10" s="50"/>
      <c r="G10" s="50"/>
      <c r="H10" s="50"/>
      <c r="K10" s="52"/>
      <c r="L10" s="73" t="str">
        <f>A12</f>
        <v>FRA</v>
      </c>
      <c r="M10" s="144" t="str">
        <f>IF(ISBLANK(J12),"--",J12)</f>
        <v>qlFraRateHelper(,H12,B12&amp;"M",G12,PillarDate,,Permanent,Trigger,ObjectOverwrite)</v>
      </c>
      <c r="N10" s="158" t="str">
        <f>IFERROR(_xll.qlRateHelperQuoteName(M10,Trigger),"--")</f>
        <v>--</v>
      </c>
      <c r="O10" s="146" t="str">
        <f>IFERROR(_xll.qlRateHelperQuoteValue($M10,Trigger),"--")</f>
        <v>--</v>
      </c>
      <c r="P10" s="145" t="b">
        <v>0</v>
      </c>
      <c r="Q10" s="144">
        <v>20</v>
      </c>
      <c r="R10" s="144">
        <v>1</v>
      </c>
      <c r="S10" s="147" t="str">
        <f>IFERROR(_xll.qlRateHelperEarliestDate(M10,Trigger),"--")</f>
        <v>--</v>
      </c>
      <c r="T10" s="147" t="str">
        <f>IFERROR(_xll.qlRateHelperPillarDate(M10,Trigger),"--")</f>
        <v>--</v>
      </c>
      <c r="V10" s="4" t="str">
        <f t="shared" si="3"/>
        <v>FUT</v>
      </c>
      <c r="W10" s="4" t="str">
        <v>obj_00328</v>
      </c>
      <c r="X10" s="4" t="str">
        <f>IFERROR(_xll.qlRateHelperQuoteName(W10,Trigger),"")</f>
        <v>USDFUT3MH7_Quote</v>
      </c>
      <c r="Y10" s="75">
        <f>IFERROR(_xll.qlRateHelperRate(W10,Trigger),"")</f>
        <v>9.3885020037048975E-3</v>
      </c>
      <c r="Z10" s="115">
        <f>IF(ISERROR(_xll.qlSwapRateHelperSpread($W10)),IF(ISERROR(_xll.qlFuturesRateHelperConvexityAdjustment($W10)),"",_xll.qlFuturesRateHelperConvexityAdjustment($W10)),_xll.qlSwapRateHelperSpread($W10))</f>
        <v>3.6497996295007987E-5</v>
      </c>
      <c r="AA10" s="5">
        <f>IFERROR(_xll.qlRateHelperEarliestDate(W10,Trigger),"")</f>
        <v>42809</v>
      </c>
      <c r="AB10" s="5">
        <f>IFERROR(_xll.qlRateHelperPillarDate(W10,Trigger),"")</f>
        <v>42901</v>
      </c>
      <c r="AC10" s="83">
        <v>0.99009390828306942</v>
      </c>
    </row>
    <row r="11" spans="1:32" ht="11.25" customHeight="1" x14ac:dyDescent="0.2">
      <c r="A11" s="70" t="s">
        <v>9</v>
      </c>
      <c r="B11" s="70" t="s">
        <v>126</v>
      </c>
      <c r="C11" s="70" t="s">
        <v>127</v>
      </c>
      <c r="D11" s="70"/>
      <c r="E11" s="70"/>
      <c r="F11" s="70"/>
      <c r="G11" s="70" t="s">
        <v>4</v>
      </c>
      <c r="H11" s="70" t="s">
        <v>1</v>
      </c>
      <c r="I11" s="70"/>
      <c r="J11" s="70" t="s">
        <v>25</v>
      </c>
      <c r="K11" s="52"/>
      <c r="L11" s="11" t="str">
        <f t="shared" ref="L11:L21" si="5">A13</f>
        <v>FRA</v>
      </c>
      <c r="M11" s="105" t="str">
        <f t="shared" ref="M11:M21" si="6">IF(ISBLANK(J13),"--",J13)</f>
        <v>--</v>
      </c>
      <c r="N11" s="159" t="str">
        <f>IFERROR(_xll.qlRateHelperQuoteName(M11,Trigger),"--")</f>
        <v>--</v>
      </c>
      <c r="O11" s="109" t="str">
        <f>IFERROR(_xll.qlRateHelperQuoteValue($M11,Trigger),"--")</f>
        <v>--</v>
      </c>
      <c r="P11" s="108" t="b">
        <v>0</v>
      </c>
      <c r="Q11" s="105">
        <v>20</v>
      </c>
      <c r="R11" s="105">
        <v>1</v>
      </c>
      <c r="S11" s="110" t="str">
        <f>IFERROR(_xll.qlRateHelperEarliestDate(M11,Trigger),"--")</f>
        <v>--</v>
      </c>
      <c r="T11" s="110" t="str">
        <f>IFERROR(_xll.qlRateHelperPillarDate(M11,Trigger),"--")</f>
        <v>--</v>
      </c>
      <c r="V11" s="4" t="str">
        <f t="shared" si="3"/>
        <v>FUT</v>
      </c>
      <c r="W11" s="4" t="str">
        <v>obj_00329</v>
      </c>
      <c r="X11" s="4" t="str">
        <f>IFERROR(_xll.qlRateHelperQuoteName(W11,Trigger),"")</f>
        <v>USDFUT3MM7_Quote</v>
      </c>
      <c r="Y11" s="75">
        <f>IFERROR(_xll.qlRateHelperRate(W11,Trigger),"")</f>
        <v>1.0070765600395708E-2</v>
      </c>
      <c r="Z11" s="115">
        <f>IF(ISERROR(_xll.qlSwapRateHelperSpread($W11)),IF(ISERROR(_xll.qlFuturesRateHelperConvexityAdjustment($W11)),"",_xll.qlFuturesRateHelperConvexityAdjustment($W11)),_xll.qlSwapRateHelperSpread($W11))</f>
        <v>5.4234399604343541E-5</v>
      </c>
      <c r="AA11" s="5">
        <f>IFERROR(_xll.qlRateHelperEarliestDate(W11,Trigger),"")</f>
        <v>42907</v>
      </c>
      <c r="AB11" s="5">
        <f>IFERROR(_xll.qlRateHelperPillarDate(W11,Trigger),"")</f>
        <v>42999</v>
      </c>
      <c r="AC11" s="83">
        <v>0.98739280728488588</v>
      </c>
    </row>
    <row r="12" spans="1:32" ht="11.25" customHeight="1" x14ac:dyDescent="0.2">
      <c r="A12" s="57" t="s">
        <v>128</v>
      </c>
      <c r="B12" s="126">
        <v>1</v>
      </c>
      <c r="C12" s="60" t="str">
        <f t="shared" ref="C12:C23" si="7">"x"&amp;B12+SUBSTITUTE(Tenor,"M","")&amp;"F"</f>
        <v>x4F</v>
      </c>
      <c r="D12" s="136"/>
      <c r="E12" s="136"/>
      <c r="F12" s="136"/>
      <c r="G12" s="59" t="str">
        <f t="shared" ref="G12:G23" si="8">PROPER(Currency)&amp;FamilyName&amp;Tenor</f>
        <v>UsdLibor3M</v>
      </c>
      <c r="H12" s="129" t="str">
        <f t="shared" ref="H12:H23" si="9">Currency&amp;B12&amp;C12&amp;QuoteSuffix</f>
        <v>USD1x4F_Quote</v>
      </c>
      <c r="I12" s="136"/>
      <c r="J12" s="62" t="s">
        <v>153</v>
      </c>
      <c r="K12" s="52" t="s">
        <v>47</v>
      </c>
      <c r="L12" s="11" t="str">
        <f t="shared" si="5"/>
        <v>FRA</v>
      </c>
      <c r="M12" s="105" t="str">
        <f t="shared" si="6"/>
        <v>--</v>
      </c>
      <c r="N12" s="159" t="str">
        <f>IFERROR(_xll.qlRateHelperQuoteName(M12,Trigger),"--")</f>
        <v>--</v>
      </c>
      <c r="O12" s="109" t="str">
        <f>IFERROR(_xll.qlRateHelperQuoteValue($M12,Trigger),"--")</f>
        <v>--</v>
      </c>
      <c r="P12" s="108" t="b">
        <v>0</v>
      </c>
      <c r="Q12" s="105">
        <v>20</v>
      </c>
      <c r="R12" s="105">
        <v>1</v>
      </c>
      <c r="S12" s="110" t="str">
        <f>IFERROR(_xll.qlRateHelperEarliestDate(M12,Trigger),"--")</f>
        <v>--</v>
      </c>
      <c r="T12" s="110" t="str">
        <f>IFERROR(_xll.qlRateHelperPillarDate(M12,Trigger),"--")</f>
        <v>--</v>
      </c>
      <c r="V12" s="4" t="str">
        <f t="shared" si="3"/>
        <v>FUT</v>
      </c>
      <c r="W12" s="4" t="str">
        <v>obj_0032c</v>
      </c>
      <c r="X12" s="4" t="str">
        <f>IFERROR(_xll.qlRateHelperQuoteName(W12,Trigger),"")</f>
        <v>USDFUT3MU7_Quote</v>
      </c>
      <c r="Y12" s="75">
        <f>IFERROR(_xll.qlRateHelperRate(W12,Trigger),"")</f>
        <v>1.0801626991360402E-2</v>
      </c>
      <c r="Z12" s="115">
        <f>IF(ISERROR(_xll.qlSwapRateHelperSpread($W12)),IF(ISERROR(_xll.qlFuturesRateHelperConvexityAdjustment($W12)),"",_xll.qlFuturesRateHelperConvexityAdjustment($W12)),_xll.qlSwapRateHelperSpread($W12))</f>
        <v>7.3373008639676679E-5</v>
      </c>
      <c r="AA12" s="5">
        <f>IFERROR(_xll.qlRateHelperEarliestDate(W12,Trigger),"")</f>
        <v>42998</v>
      </c>
      <c r="AB12" s="5">
        <f>IFERROR(_xll.qlRateHelperPillarDate(W12,Trigger),"")</f>
        <v>43089</v>
      </c>
      <c r="AC12" s="83">
        <v>0.98473262298340525</v>
      </c>
    </row>
    <row r="13" spans="1:32" ht="11.25" customHeight="1" x14ac:dyDescent="0.2">
      <c r="A13" s="63" t="s">
        <v>128</v>
      </c>
      <c r="B13" s="127">
        <v>2</v>
      </c>
      <c r="C13" s="67" t="str">
        <f t="shared" si="7"/>
        <v>x5F</v>
      </c>
      <c r="D13" s="136"/>
      <c r="E13" s="136"/>
      <c r="F13" s="136"/>
      <c r="G13" s="65" t="str">
        <f t="shared" si="8"/>
        <v>UsdLibor3M</v>
      </c>
      <c r="H13" s="130" t="str">
        <f t="shared" si="9"/>
        <v>USD2x5F_Quote</v>
      </c>
      <c r="I13" s="136"/>
      <c r="J13" s="69"/>
      <c r="K13" s="52"/>
      <c r="L13" s="11" t="str">
        <f t="shared" si="5"/>
        <v>FRA</v>
      </c>
      <c r="M13" s="105" t="str">
        <f t="shared" si="6"/>
        <v>--</v>
      </c>
      <c r="N13" s="159" t="str">
        <f>IFERROR(_xll.qlRateHelperQuoteName(M13,Trigger),"--")</f>
        <v>--</v>
      </c>
      <c r="O13" s="109" t="str">
        <f>IFERROR(_xll.qlRateHelperQuoteValue($M13,Trigger),"--")</f>
        <v>--</v>
      </c>
      <c r="P13" s="108" t="b">
        <v>0</v>
      </c>
      <c r="Q13" s="105">
        <v>20</v>
      </c>
      <c r="R13" s="105">
        <v>1</v>
      </c>
      <c r="S13" s="110" t="str">
        <f>IFERROR(_xll.qlRateHelperEarliestDate(M13,Trigger),"--")</f>
        <v>--</v>
      </c>
      <c r="T13" s="110" t="str">
        <f>IFERROR(_xll.qlRateHelperPillarDate(M13,Trigger),"--")</f>
        <v>--</v>
      </c>
      <c r="V13" s="4" t="str">
        <f t="shared" si="3"/>
        <v>FUT</v>
      </c>
      <c r="W13" s="4" t="str">
        <v>obj_0032d</v>
      </c>
      <c r="X13" s="4" t="str">
        <f>IFERROR(_xll.qlRateHelperQuoteName(W13,Trigger),"")</f>
        <v>USDFUT3MZ7_Quote</v>
      </c>
      <c r="Y13" s="75">
        <f>IFERROR(_xll.qlRateHelperRate(W13,Trigger),"")</f>
        <v>1.1629852462112119E-2</v>
      </c>
      <c r="Z13" s="115">
        <f>IF(ISERROR(_xll.qlSwapRateHelperSpread($W13)),IF(ISERROR(_xll.qlFuturesRateHelperConvexityAdjustment($W13)),"",_xll.qlFuturesRateHelperConvexityAdjustment($W13)),_xll.qlSwapRateHelperSpread($W13))</f>
        <v>9.5147537887865801E-5</v>
      </c>
      <c r="AA13" s="5">
        <f>IFERROR(_xll.qlRateHelperEarliestDate(W13,Trigger),"")</f>
        <v>43089</v>
      </c>
      <c r="AB13" s="5">
        <f>IFERROR(_xll.qlRateHelperPillarDate(W13,Trigger),"")</f>
        <v>43179</v>
      </c>
      <c r="AC13" s="83">
        <v>0.98187784935245892</v>
      </c>
    </row>
    <row r="14" spans="1:32" ht="11.25" customHeight="1" x14ac:dyDescent="0.2">
      <c r="A14" s="63" t="s">
        <v>128</v>
      </c>
      <c r="B14" s="127">
        <v>3</v>
      </c>
      <c r="C14" s="67" t="str">
        <f t="shared" si="7"/>
        <v>x6F</v>
      </c>
      <c r="D14" s="136"/>
      <c r="E14" s="136"/>
      <c r="F14" s="136"/>
      <c r="G14" s="65" t="str">
        <f t="shared" si="8"/>
        <v>UsdLibor3M</v>
      </c>
      <c r="H14" s="130" t="str">
        <f t="shared" si="9"/>
        <v>USD3x6F_Quote</v>
      </c>
      <c r="I14" s="136"/>
      <c r="J14" s="69"/>
      <c r="K14" s="52"/>
      <c r="L14" s="11" t="str">
        <f t="shared" si="5"/>
        <v>FRA</v>
      </c>
      <c r="M14" s="105" t="str">
        <f t="shared" si="6"/>
        <v>--</v>
      </c>
      <c r="N14" s="159" t="str">
        <f>IFERROR(_xll.qlRateHelperQuoteName(M14,Trigger),"--")</f>
        <v>--</v>
      </c>
      <c r="O14" s="109" t="str">
        <f>IFERROR(_xll.qlRateHelperQuoteValue($M14,Trigger),"--")</f>
        <v>--</v>
      </c>
      <c r="P14" s="108" t="b">
        <v>0</v>
      </c>
      <c r="Q14" s="105">
        <v>20</v>
      </c>
      <c r="R14" s="105">
        <v>1</v>
      </c>
      <c r="S14" s="110" t="str">
        <f>IFERROR(_xll.qlRateHelperEarliestDate(M14,Trigger),"--")</f>
        <v>--</v>
      </c>
      <c r="T14" s="110" t="str">
        <f>IFERROR(_xll.qlRateHelperPillarDate(M14,Trigger),"--")</f>
        <v>--</v>
      </c>
      <c r="V14" s="4" t="str">
        <f t="shared" si="3"/>
        <v>FUT</v>
      </c>
      <c r="W14" s="4" t="str">
        <v>obj_0032e</v>
      </c>
      <c r="X14" s="4" t="str">
        <f>IFERROR(_xll.qlRateHelperQuoteName(W14,Trigger),"")</f>
        <v>USDFUT3MH8_Quote</v>
      </c>
      <c r="Y14" s="75">
        <f>IFERROR(_xll.qlRateHelperRate(W14,Trigger),"")</f>
        <v>1.2304729677673029E-2</v>
      </c>
      <c r="Z14" s="115">
        <f>IF(ISERROR(_xll.qlSwapRateHelperSpread($W14)),IF(ISERROR(_xll.qlFuturesRateHelperConvexityAdjustment($W14)),"",_xll.qlFuturesRateHelperConvexityAdjustment($W14)),_xll.qlSwapRateHelperSpread($W14))</f>
        <v>1.2027032232698979E-4</v>
      </c>
      <c r="AA14" s="5">
        <f>IFERROR(_xll.qlRateHelperEarliestDate(W14,Trigger),"")</f>
        <v>43180</v>
      </c>
      <c r="AB14" s="5">
        <f>IFERROR(_xll.qlRateHelperPillarDate(W14,Trigger),"")</f>
        <v>43272</v>
      </c>
      <c r="AC14" s="83">
        <v>0.97876736131453235</v>
      </c>
    </row>
    <row r="15" spans="1:32" ht="11.25" customHeight="1" x14ac:dyDescent="0.2">
      <c r="A15" s="63" t="s">
        <v>128</v>
      </c>
      <c r="B15" s="127">
        <v>4</v>
      </c>
      <c r="C15" s="67" t="str">
        <f t="shared" si="7"/>
        <v>x7F</v>
      </c>
      <c r="D15" s="136"/>
      <c r="E15" s="136"/>
      <c r="F15" s="136"/>
      <c r="G15" s="65" t="str">
        <f t="shared" si="8"/>
        <v>UsdLibor3M</v>
      </c>
      <c r="H15" s="130" t="str">
        <f t="shared" si="9"/>
        <v>USD4x7F_Quote</v>
      </c>
      <c r="I15" s="136"/>
      <c r="J15" s="69"/>
      <c r="K15" s="52"/>
      <c r="L15" s="11" t="str">
        <f t="shared" si="5"/>
        <v>FRA</v>
      </c>
      <c r="M15" s="105" t="str">
        <f t="shared" si="6"/>
        <v>--</v>
      </c>
      <c r="N15" s="159" t="str">
        <f>IFERROR(_xll.qlRateHelperQuoteName(M15,Trigger),"--")</f>
        <v>--</v>
      </c>
      <c r="O15" s="109" t="str">
        <f>IFERROR(_xll.qlRateHelperQuoteValue($M15,Trigger),"--")</f>
        <v>--</v>
      </c>
      <c r="P15" s="108" t="b">
        <v>0</v>
      </c>
      <c r="Q15" s="105">
        <v>20</v>
      </c>
      <c r="R15" s="105">
        <v>1</v>
      </c>
      <c r="S15" s="110" t="str">
        <f>IFERROR(_xll.qlRateHelperEarliestDate(M15,Trigger),"--")</f>
        <v>--</v>
      </c>
      <c r="T15" s="110" t="str">
        <f>IFERROR(_xll.qlRateHelperPillarDate(M15,Trigger),"--")</f>
        <v>--</v>
      </c>
      <c r="V15" s="4" t="str">
        <f t="shared" si="3"/>
        <v>Sw</v>
      </c>
      <c r="W15" s="4" t="str">
        <v>obj_002da</v>
      </c>
      <c r="X15" s="4" t="str">
        <f>IFERROR(_xll.qlRateHelperQuoteName(W15,Trigger),"")</f>
        <v>USDAM3L3Y_Quote</v>
      </c>
      <c r="Y15" s="75">
        <f>IFERROR(_xll.qlRateHelperRate(W15,Trigger),"")</f>
        <v>1.0369999999999999E-2</v>
      </c>
      <c r="Z15" s="115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42450</v>
      </c>
      <c r="AB15" s="5">
        <f>IFERROR(_xll.qlRateHelperPillarDate(W15,Trigger),"")</f>
        <v>43545</v>
      </c>
      <c r="AC15" s="83">
        <v>0.96903979034876997</v>
      </c>
    </row>
    <row r="16" spans="1:32" ht="11.25" customHeight="1" x14ac:dyDescent="0.2">
      <c r="A16" s="63" t="s">
        <v>128</v>
      </c>
      <c r="B16" s="127">
        <v>5</v>
      </c>
      <c r="C16" s="67" t="str">
        <f t="shared" si="7"/>
        <v>x8F</v>
      </c>
      <c r="D16" s="136"/>
      <c r="E16" s="136"/>
      <c r="F16" s="136"/>
      <c r="G16" s="65" t="str">
        <f t="shared" si="8"/>
        <v>UsdLibor3M</v>
      </c>
      <c r="H16" s="130" t="str">
        <f t="shared" si="9"/>
        <v>USD5x8F_Quote</v>
      </c>
      <c r="I16" s="136"/>
      <c r="J16" s="69"/>
      <c r="K16" s="52"/>
      <c r="L16" s="11" t="str">
        <f t="shared" si="5"/>
        <v>FRA</v>
      </c>
      <c r="M16" s="105" t="str">
        <f t="shared" si="6"/>
        <v>--</v>
      </c>
      <c r="N16" s="159" t="str">
        <f>IFERROR(_xll.qlRateHelperQuoteName(M16,Trigger),"--")</f>
        <v>--</v>
      </c>
      <c r="O16" s="109" t="str">
        <f>IFERROR(_xll.qlRateHelperQuoteValue($M16,Trigger),"--")</f>
        <v>--</v>
      </c>
      <c r="P16" s="108" t="b">
        <v>0</v>
      </c>
      <c r="Q16" s="105">
        <v>20</v>
      </c>
      <c r="R16" s="105">
        <v>1</v>
      </c>
      <c r="S16" s="110" t="str">
        <f>IFERROR(_xll.qlRateHelperEarliestDate(M16,Trigger),"--")</f>
        <v>--</v>
      </c>
      <c r="T16" s="110" t="str">
        <f>IFERROR(_xll.qlRateHelperPillarDate(M16,Trigger),"--")</f>
        <v>--</v>
      </c>
      <c r="V16" s="4" t="str">
        <f t="shared" si="3"/>
        <v>Sw</v>
      </c>
      <c r="W16" s="4" t="str">
        <v>obj_002cd</v>
      </c>
      <c r="X16" s="4" t="str">
        <f>IFERROR(_xll.qlRateHelperQuoteName(W16,Trigger),"")</f>
        <v>USDAM3L4Y_Quote</v>
      </c>
      <c r="Y16" s="75">
        <f>IFERROR(_xll.qlRateHelperRate(W16,Trigger),"")</f>
        <v>1.1599999999999999E-2</v>
      </c>
      <c r="Z16" s="115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42450</v>
      </c>
      <c r="AB16" s="5">
        <f>IFERROR(_xll.qlRateHelperPillarDate(W16,Trigger),"")</f>
        <v>43913</v>
      </c>
      <c r="AC16" s="83">
        <v>0.95406237708779584</v>
      </c>
    </row>
    <row r="17" spans="1:29" ht="11.25" customHeight="1" x14ac:dyDescent="0.2">
      <c r="A17" s="63" t="s">
        <v>128</v>
      </c>
      <c r="B17" s="127">
        <v>6</v>
      </c>
      <c r="C17" s="67" t="str">
        <f t="shared" si="7"/>
        <v>x9F</v>
      </c>
      <c r="D17" s="136"/>
      <c r="E17" s="136"/>
      <c r="F17" s="136"/>
      <c r="G17" s="65" t="str">
        <f t="shared" si="8"/>
        <v>UsdLibor3M</v>
      </c>
      <c r="H17" s="130" t="str">
        <f t="shared" si="9"/>
        <v>USD6x9F_Quote</v>
      </c>
      <c r="I17" s="136"/>
      <c r="J17" s="69"/>
      <c r="K17" s="52"/>
      <c r="L17" s="11" t="str">
        <f t="shared" si="5"/>
        <v>FRA</v>
      </c>
      <c r="M17" s="105" t="str">
        <f t="shared" si="6"/>
        <v>--</v>
      </c>
      <c r="N17" s="159" t="str">
        <f>IFERROR(_xll.qlRateHelperQuoteName(M17,Trigger),"--")</f>
        <v>--</v>
      </c>
      <c r="O17" s="109" t="str">
        <f>IFERROR(_xll.qlRateHelperQuoteValue($M17,Trigger),"--")</f>
        <v>--</v>
      </c>
      <c r="P17" s="108" t="b">
        <v>0</v>
      </c>
      <c r="Q17" s="105">
        <v>20</v>
      </c>
      <c r="R17" s="105">
        <v>1</v>
      </c>
      <c r="S17" s="110" t="str">
        <f>IFERROR(_xll.qlRateHelperEarliestDate(M17,Trigger),"--")</f>
        <v>--</v>
      </c>
      <c r="T17" s="110" t="str">
        <f>IFERROR(_xll.qlRateHelperPillarDate(M17,Trigger),"--")</f>
        <v>--</v>
      </c>
      <c r="V17" s="4" t="str">
        <f t="shared" si="3"/>
        <v>Sw</v>
      </c>
      <c r="W17" s="4" t="str">
        <v>obj_002cc</v>
      </c>
      <c r="X17" s="4" t="str">
        <f>IFERROR(_xll.qlRateHelperQuoteName(W17,Trigger),"")</f>
        <v>USDAM3L5Y_Quote</v>
      </c>
      <c r="Y17" s="75">
        <f>IFERROR(_xll.qlRateHelperRate(W17,Trigger),"")</f>
        <v>1.272E-2</v>
      </c>
      <c r="Z17" s="115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42450</v>
      </c>
      <c r="AB17" s="5">
        <f>IFERROR(_xll.qlRateHelperPillarDate(W17,Trigger),"")</f>
        <v>44277</v>
      </c>
      <c r="AC17" s="83">
        <v>0.93758501952835971</v>
      </c>
    </row>
    <row r="18" spans="1:29" ht="11.25" customHeight="1" x14ac:dyDescent="0.2">
      <c r="A18" s="63" t="s">
        <v>128</v>
      </c>
      <c r="B18" s="127">
        <v>7</v>
      </c>
      <c r="C18" s="67" t="str">
        <f t="shared" si="7"/>
        <v>x10F</v>
      </c>
      <c r="D18" s="136"/>
      <c r="E18" s="136"/>
      <c r="F18" s="136"/>
      <c r="G18" s="65" t="str">
        <f t="shared" si="8"/>
        <v>UsdLibor3M</v>
      </c>
      <c r="H18" s="130" t="str">
        <f t="shared" si="9"/>
        <v>USD7x10F_Quote</v>
      </c>
      <c r="I18" s="136"/>
      <c r="J18" s="69"/>
      <c r="K18" s="52"/>
      <c r="L18" s="11" t="str">
        <f t="shared" si="5"/>
        <v>FRA</v>
      </c>
      <c r="M18" s="105" t="str">
        <f t="shared" si="6"/>
        <v>--</v>
      </c>
      <c r="N18" s="159" t="str">
        <f>IFERROR(_xll.qlRateHelperQuoteName(M18,Trigger),"--")</f>
        <v>--</v>
      </c>
      <c r="O18" s="109" t="str">
        <f>IFERROR(_xll.qlRateHelperQuoteValue($M18,Trigger),"--")</f>
        <v>--</v>
      </c>
      <c r="P18" s="108" t="b">
        <v>0</v>
      </c>
      <c r="Q18" s="105">
        <v>20</v>
      </c>
      <c r="R18" s="105">
        <v>1</v>
      </c>
      <c r="S18" s="110" t="str">
        <f>IFERROR(_xll.qlRateHelperEarliestDate(M18,Trigger),"--")</f>
        <v>--</v>
      </c>
      <c r="T18" s="110" t="str">
        <f>IFERROR(_xll.qlRateHelperPillarDate(M18,Trigger),"--")</f>
        <v>--</v>
      </c>
      <c r="V18" s="4" t="str">
        <f t="shared" si="3"/>
        <v>Sw</v>
      </c>
      <c r="W18" s="4" t="str">
        <v>obj_002d7</v>
      </c>
      <c r="X18" s="4" t="str">
        <f>IFERROR(_xll.qlRateHelperQuoteName(W18,Trigger),"")</f>
        <v>USDAM3L6Y_Quote</v>
      </c>
      <c r="Y18" s="75">
        <f>IFERROR(_xll.qlRateHelperRate(W18,Trigger),"")</f>
        <v>1.3780000000000001E-2</v>
      </c>
      <c r="Z18" s="115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42450</v>
      </c>
      <c r="AB18" s="5">
        <f>IFERROR(_xll.qlRateHelperPillarDate(W18,Trigger),"")</f>
        <v>44641</v>
      </c>
      <c r="AC18" s="83">
        <v>0.9195996185648152</v>
      </c>
    </row>
    <row r="19" spans="1:29" ht="11.25" customHeight="1" x14ac:dyDescent="0.2">
      <c r="A19" s="63" t="s">
        <v>128</v>
      </c>
      <c r="B19" s="127">
        <v>8</v>
      </c>
      <c r="C19" s="67" t="str">
        <f t="shared" si="7"/>
        <v>x11F</v>
      </c>
      <c r="D19" s="136"/>
      <c r="E19" s="136"/>
      <c r="F19" s="136"/>
      <c r="G19" s="65" t="str">
        <f t="shared" si="8"/>
        <v>UsdLibor3M</v>
      </c>
      <c r="H19" s="130" t="str">
        <f t="shared" si="9"/>
        <v>USD8x11F_Quote</v>
      </c>
      <c r="I19" s="136"/>
      <c r="J19" s="69"/>
      <c r="K19" s="52"/>
      <c r="L19" s="11" t="str">
        <f t="shared" si="5"/>
        <v>FRA</v>
      </c>
      <c r="M19" s="105" t="str">
        <f t="shared" si="6"/>
        <v>--</v>
      </c>
      <c r="N19" s="159" t="str">
        <f>IFERROR(_xll.qlRateHelperQuoteName(M19,Trigger),"--")</f>
        <v>--</v>
      </c>
      <c r="O19" s="109" t="str">
        <f>IFERROR(_xll.qlRateHelperQuoteValue($M19,Trigger),"--")</f>
        <v>--</v>
      </c>
      <c r="P19" s="108" t="b">
        <v>0</v>
      </c>
      <c r="Q19" s="105">
        <v>20</v>
      </c>
      <c r="R19" s="105">
        <v>1</v>
      </c>
      <c r="S19" s="110" t="str">
        <f>IFERROR(_xll.qlRateHelperEarliestDate(M19,Trigger),"--")</f>
        <v>--</v>
      </c>
      <c r="T19" s="110" t="str">
        <f>IFERROR(_xll.qlRateHelperPillarDate(M19,Trigger),"--")</f>
        <v>--</v>
      </c>
      <c r="V19" s="4" t="str">
        <f t="shared" si="3"/>
        <v>Sw</v>
      </c>
      <c r="W19" s="4" t="str">
        <v>obj_002d2</v>
      </c>
      <c r="X19" s="4" t="str">
        <f>IFERROR(_xll.qlRateHelperQuoteName(W19,Trigger),"")</f>
        <v>USDAM3L7Y_Quote</v>
      </c>
      <c r="Y19" s="75">
        <f>IFERROR(_xll.qlRateHelperRate(W19,Trigger),"")</f>
        <v>1.474E-2</v>
      </c>
      <c r="Z19" s="115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42450</v>
      </c>
      <c r="AB19" s="5">
        <f>IFERROR(_xll.qlRateHelperPillarDate(W19,Trigger),"")</f>
        <v>45006</v>
      </c>
      <c r="AC19" s="83">
        <v>0.90058100660563056</v>
      </c>
    </row>
    <row r="20" spans="1:29" ht="11.25" customHeight="1" x14ac:dyDescent="0.2">
      <c r="A20" s="63" t="s">
        <v>128</v>
      </c>
      <c r="B20" s="127">
        <v>9</v>
      </c>
      <c r="C20" s="67" t="str">
        <f t="shared" si="7"/>
        <v>x12F</v>
      </c>
      <c r="D20" s="136"/>
      <c r="E20" s="136"/>
      <c r="F20" s="136"/>
      <c r="G20" s="65" t="str">
        <f t="shared" si="8"/>
        <v>UsdLibor3M</v>
      </c>
      <c r="H20" s="130" t="str">
        <f t="shared" si="9"/>
        <v>USD9x12F_Quote</v>
      </c>
      <c r="I20" s="136"/>
      <c r="J20" s="69"/>
      <c r="K20" s="52"/>
      <c r="L20" s="11" t="str">
        <f t="shared" si="5"/>
        <v>FRA</v>
      </c>
      <c r="M20" s="105" t="str">
        <f t="shared" si="6"/>
        <v>--</v>
      </c>
      <c r="N20" s="159" t="str">
        <f>IFERROR(_xll.qlRateHelperQuoteName(M20,Trigger),"--")</f>
        <v>--</v>
      </c>
      <c r="O20" s="109" t="str">
        <f>IFERROR(_xll.qlRateHelperQuoteValue($M20,Trigger),"--")</f>
        <v>--</v>
      </c>
      <c r="P20" s="108" t="b">
        <v>0</v>
      </c>
      <c r="Q20" s="105">
        <v>20</v>
      </c>
      <c r="R20" s="105">
        <v>1</v>
      </c>
      <c r="S20" s="110" t="str">
        <f>IFERROR(_xll.qlRateHelperEarliestDate(M20,Trigger),"--")</f>
        <v>--</v>
      </c>
      <c r="T20" s="110" t="str">
        <f>IFERROR(_xll.qlRateHelperPillarDate(M20,Trigger),"--")</f>
        <v>--</v>
      </c>
      <c r="V20" s="4" t="str">
        <f t="shared" si="3"/>
        <v>Sw</v>
      </c>
      <c r="W20" s="4" t="str">
        <v>obj_002b8</v>
      </c>
      <c r="X20" s="4" t="str">
        <f>IFERROR(_xll.qlRateHelperQuoteName(W20,Trigger),"")</f>
        <v>USDAM3L8Y_Quote</v>
      </c>
      <c r="Y20" s="75">
        <f>IFERROR(_xll.qlRateHelperRate(W20,Trigger),"")</f>
        <v>1.559E-2</v>
      </c>
      <c r="Z20" s="115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42450</v>
      </c>
      <c r="AB20" s="5">
        <f>IFERROR(_xll.qlRateHelperPillarDate(W20,Trigger),"")</f>
        <v>45372</v>
      </c>
      <c r="AC20" s="83">
        <v>0.88093811062377458</v>
      </c>
    </row>
    <row r="21" spans="1:29" ht="11.25" customHeight="1" x14ac:dyDescent="0.2">
      <c r="A21" s="63" t="s">
        <v>128</v>
      </c>
      <c r="B21" s="127">
        <v>10</v>
      </c>
      <c r="C21" s="67" t="str">
        <f t="shared" si="7"/>
        <v>x13F</v>
      </c>
      <c r="D21" s="136"/>
      <c r="E21" s="136"/>
      <c r="F21" s="136"/>
      <c r="G21" s="65" t="str">
        <f t="shared" si="8"/>
        <v>UsdLibor3M</v>
      </c>
      <c r="H21" s="130" t="str">
        <f t="shared" si="9"/>
        <v>USD10x13F_Quote</v>
      </c>
      <c r="I21" s="136"/>
      <c r="J21" s="69"/>
      <c r="K21" s="52"/>
      <c r="L21" s="12" t="str">
        <f t="shared" si="5"/>
        <v>FRA</v>
      </c>
      <c r="M21" s="106" t="str">
        <f t="shared" si="6"/>
        <v>--</v>
      </c>
      <c r="N21" s="160" t="str">
        <f>IFERROR(_xll.qlRateHelperQuoteName(M21,Trigger),"--")</f>
        <v>--</v>
      </c>
      <c r="O21" s="112" t="str">
        <f>IFERROR(_xll.qlRateHelperQuoteValue($M21,Trigger),"--")</f>
        <v>--</v>
      </c>
      <c r="P21" s="111" t="b">
        <v>0</v>
      </c>
      <c r="Q21" s="106">
        <v>20</v>
      </c>
      <c r="R21" s="106">
        <v>1</v>
      </c>
      <c r="S21" s="113" t="str">
        <f>IFERROR(_xll.qlRateHelperEarliestDate(M21,Trigger),"--")</f>
        <v>--</v>
      </c>
      <c r="T21" s="113" t="str">
        <f>IFERROR(_xll.qlRateHelperPillarDate(M21,Trigger),"--")</f>
        <v>--</v>
      </c>
      <c r="V21" s="4" t="str">
        <f t="shared" si="3"/>
        <v>Sw</v>
      </c>
      <c r="W21" s="4" t="str">
        <v>obj_002e5</v>
      </c>
      <c r="X21" s="4" t="str">
        <f>IFERROR(_xll.qlRateHelperQuoteName(W21,Trigger),"")</f>
        <v>USDAM3L9Y_Quote</v>
      </c>
      <c r="Y21" s="75">
        <f>IFERROR(_xll.qlRateHelperRate(W21,Trigger),"")</f>
        <v>1.6330000000000001E-2</v>
      </c>
      <c r="Z21" s="115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42450</v>
      </c>
      <c r="AB21" s="5">
        <f>IFERROR(_xll.qlRateHelperPillarDate(W21,Trigger),"")</f>
        <v>45737</v>
      </c>
      <c r="AC21" s="83">
        <v>0.86109183203607143</v>
      </c>
    </row>
    <row r="22" spans="1:29" ht="11.25" customHeight="1" x14ac:dyDescent="0.2">
      <c r="A22" s="63" t="s">
        <v>128</v>
      </c>
      <c r="B22" s="127">
        <v>11</v>
      </c>
      <c r="C22" s="67" t="str">
        <f t="shared" si="7"/>
        <v>x14F</v>
      </c>
      <c r="D22" s="136"/>
      <c r="E22" s="136"/>
      <c r="F22" s="136"/>
      <c r="G22" s="65" t="str">
        <f t="shared" si="8"/>
        <v>UsdLibor3M</v>
      </c>
      <c r="H22" s="130" t="str">
        <f t="shared" si="9"/>
        <v>USD11x14F_Quote</v>
      </c>
      <c r="I22" s="136"/>
      <c r="J22" s="69"/>
      <c r="K22" s="52"/>
      <c r="L22" s="73" t="str">
        <f>A26</f>
        <v>FUT</v>
      </c>
      <c r="M22" s="144" t="str">
        <f>IF(ISBLANK(J26),"--",J26)</f>
        <v>obj_00321#0299</v>
      </c>
      <c r="N22" s="158" t="str">
        <f>IFERROR(_xll.qlRateHelperQuoteName(M22,Trigger),"--")</f>
        <v>USDFUT3MJ6_Quote</v>
      </c>
      <c r="O22" s="163">
        <f>IFERROR(_xll.qlRateHelperQuoteValue($M22,Trigger),"--")</f>
        <v>99.363749999999996</v>
      </c>
      <c r="P22" s="145" t="b">
        <v>1</v>
      </c>
      <c r="Q22" s="144">
        <v>60</v>
      </c>
      <c r="R22" s="144">
        <v>7</v>
      </c>
      <c r="S22" s="147">
        <f>IFERROR(_xll.qlRateHelperEarliestDate(M22,Trigger),"--")</f>
        <v>42480</v>
      </c>
      <c r="T22" s="147">
        <f>IFERROR(_xll.qlRateHelperPillarDate(M22,Trigger),"--")</f>
        <v>42571</v>
      </c>
      <c r="V22" s="4" t="str">
        <f t="shared" si="3"/>
        <v>Sw</v>
      </c>
      <c r="W22" s="4" t="str">
        <v>obj_002ba</v>
      </c>
      <c r="X22" s="4" t="str">
        <f>IFERROR(_xll.qlRateHelperQuoteName(W22,Trigger),"")</f>
        <v>USDAM3L10Y_Quote</v>
      </c>
      <c r="Y22" s="75">
        <f>IFERROR(_xll.qlRateHelperRate(W22,Trigger),"")</f>
        <v>1.7000000000000001E-2</v>
      </c>
      <c r="Z22" s="115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42450</v>
      </c>
      <c r="AB22" s="5">
        <f>IFERROR(_xll.qlRateHelperPillarDate(W22,Trigger),"")</f>
        <v>46104</v>
      </c>
      <c r="AC22" s="83">
        <v>0.84089083508684592</v>
      </c>
    </row>
    <row r="23" spans="1:29" ht="11.25" customHeight="1" x14ac:dyDescent="0.2">
      <c r="A23" s="1" t="s">
        <v>128</v>
      </c>
      <c r="B23" s="128">
        <v>12</v>
      </c>
      <c r="C23" s="10" t="str">
        <f t="shared" si="7"/>
        <v>x15F</v>
      </c>
      <c r="D23" s="137"/>
      <c r="E23" s="137"/>
      <c r="F23" s="137"/>
      <c r="G23" s="7" t="str">
        <f t="shared" si="8"/>
        <v>UsdLibor3M</v>
      </c>
      <c r="H23" s="131" t="str">
        <f t="shared" si="9"/>
        <v>USD12x15F_Quote</v>
      </c>
      <c r="I23" s="137"/>
      <c r="J23" s="3"/>
      <c r="K23" s="52"/>
      <c r="L23" s="11" t="str">
        <f t="shared" ref="L23:L43" si="10">A27</f>
        <v>FUT</v>
      </c>
      <c r="M23" s="105" t="str">
        <f t="shared" ref="M23:M43" si="11">IF(ISBLANK(J27),"--",J27)</f>
        <v>obj_00322#0299</v>
      </c>
      <c r="N23" s="159" t="str">
        <f>IFERROR(_xll.qlRateHelperQuoteName(M23,Trigger),"--")</f>
        <v>USDFUT3MK6_Quote</v>
      </c>
      <c r="O23" s="164">
        <f>IFERROR(_xll.qlRateHelperQuoteValue($M23,Trigger),"--")</f>
        <v>99.322499999999991</v>
      </c>
      <c r="P23" s="108" t="b">
        <v>1</v>
      </c>
      <c r="Q23" s="105">
        <v>60</v>
      </c>
      <c r="R23" s="105">
        <v>1</v>
      </c>
      <c r="S23" s="110">
        <f>IFERROR(_xll.qlRateHelperEarliestDate(M23,Trigger),"--")</f>
        <v>42508</v>
      </c>
      <c r="T23" s="110">
        <f>IFERROR(_xll.qlRateHelperPillarDate(M23,Trigger),"--")</f>
        <v>42600</v>
      </c>
      <c r="V23" s="4" t="str">
        <f t="shared" si="3"/>
        <v>Sw</v>
      </c>
      <c r="W23" s="4" t="str">
        <v>obj_002c8</v>
      </c>
      <c r="X23" s="4" t="str">
        <f>IFERROR(_xll.qlRateHelperQuoteName(W23,Trigger),"")</f>
        <v>USDAM3L12Y_Quote</v>
      </c>
      <c r="Y23" s="75">
        <f>IFERROR(_xll.qlRateHelperRate(W23,Trigger),"")</f>
        <v>1.8149999999999999E-2</v>
      </c>
      <c r="Z23" s="115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42450</v>
      </c>
      <c r="AB23" s="5">
        <f>IFERROR(_xll.qlRateHelperPillarDate(W23,Trigger),"")</f>
        <v>46833</v>
      </c>
      <c r="AC23" s="83">
        <v>0.80050264295954277</v>
      </c>
    </row>
    <row r="24" spans="1:29" ht="11.25" customHeight="1" x14ac:dyDescent="0.2">
      <c r="B24" s="50"/>
      <c r="C24" s="50"/>
      <c r="D24" s="50"/>
      <c r="E24" s="50"/>
      <c r="F24" s="50"/>
      <c r="G24" s="50"/>
      <c r="H24" s="50" t="s">
        <v>130</v>
      </c>
      <c r="K24" s="52"/>
      <c r="L24" s="11" t="str">
        <f t="shared" si="10"/>
        <v>FUT</v>
      </c>
      <c r="M24" s="105" t="str">
        <f t="shared" si="11"/>
        <v>obj_00323#0299</v>
      </c>
      <c r="N24" s="159" t="str">
        <f>IFERROR(_xll.qlRateHelperQuoteName(M24,Trigger),"--")</f>
        <v>USDFUT3MM6_Quote</v>
      </c>
      <c r="O24" s="164">
        <f>IFERROR(_xll.qlRateHelperQuoteValue($M24,Trigger),"--")</f>
        <v>99.267499999999998</v>
      </c>
      <c r="P24" s="108" t="b">
        <v>1</v>
      </c>
      <c r="Q24" s="105">
        <v>60</v>
      </c>
      <c r="R24" s="105">
        <v>1</v>
      </c>
      <c r="S24" s="110">
        <f>IFERROR(_xll.qlRateHelperEarliestDate(M24,Trigger),"--")</f>
        <v>42536</v>
      </c>
      <c r="T24" s="110">
        <f>IFERROR(_xll.qlRateHelperPillarDate(M24,Trigger),"--")</f>
        <v>42628</v>
      </c>
      <c r="V24" s="4" t="str">
        <f t="shared" si="3"/>
        <v>Sw</v>
      </c>
      <c r="W24" s="4" t="str">
        <v>obj_00281</v>
      </c>
      <c r="X24" s="4" t="str">
        <f>IFERROR(_xll.qlRateHelperQuoteName(W24,Trigger),"")</f>
        <v>USDAM3L15Y_Quote</v>
      </c>
      <c r="Y24" s="75">
        <f>IFERROR(_xll.qlRateHelperRate(W24,Trigger),"")</f>
        <v>1.9349999999999999E-2</v>
      </c>
      <c r="Z24" s="115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42450</v>
      </c>
      <c r="AB24" s="5">
        <f>IFERROR(_xll.qlRateHelperPillarDate(W24,Trigger),"")</f>
        <v>47928</v>
      </c>
      <c r="AC24" s="83">
        <v>0.74273975586886398</v>
      </c>
    </row>
    <row r="25" spans="1:29" ht="11.25" customHeight="1" x14ac:dyDescent="0.2">
      <c r="A25" s="70" t="s">
        <v>9</v>
      </c>
      <c r="B25" s="70" t="s">
        <v>132</v>
      </c>
      <c r="C25" s="70" t="s">
        <v>34</v>
      </c>
      <c r="D25" s="70"/>
      <c r="E25" s="70"/>
      <c r="F25" s="70"/>
      <c r="G25" s="70" t="s">
        <v>4</v>
      </c>
      <c r="H25" s="70" t="s">
        <v>1</v>
      </c>
      <c r="I25" s="70" t="s">
        <v>131</v>
      </c>
      <c r="J25" s="70" t="s">
        <v>25</v>
      </c>
      <c r="K25" s="52"/>
      <c r="L25" s="11" t="str">
        <f t="shared" si="10"/>
        <v>FUT</v>
      </c>
      <c r="M25" s="105" t="str">
        <f t="shared" si="11"/>
        <v>obj_00324#0299</v>
      </c>
      <c r="N25" s="159" t="str">
        <f>IFERROR(_xll.qlRateHelperQuoteName(M25,Trigger),"--")</f>
        <v>USDFUT3MN6_Quote</v>
      </c>
      <c r="O25" s="164">
        <f>IFERROR(_xll.qlRateHelperQuoteValue($M25,Trigger),"--")</f>
        <v>99.237499999999997</v>
      </c>
      <c r="P25" s="108" t="b">
        <v>1</v>
      </c>
      <c r="Q25" s="105">
        <v>60</v>
      </c>
      <c r="R25" s="105">
        <v>21</v>
      </c>
      <c r="S25" s="110">
        <f>IFERROR(_xll.qlRateHelperEarliestDate(M25,Trigger),"--")</f>
        <v>42571</v>
      </c>
      <c r="T25" s="110">
        <f>IFERROR(_xll.qlRateHelperPillarDate(M25,Trigger),"--")</f>
        <v>42663</v>
      </c>
      <c r="V25" s="4" t="str">
        <f t="shared" si="3"/>
        <v>Sw</v>
      </c>
      <c r="W25" s="4" t="str">
        <v>obj_002a7</v>
      </c>
      <c r="X25" s="4" t="str">
        <f>IFERROR(_xll.qlRateHelperQuoteName(W25,Trigger),"")</f>
        <v>USDAM3L20Y_Quote</v>
      </c>
      <c r="Y25" s="75">
        <f>IFERROR(_xll.qlRateHelperRate(W25,Trigger),"")</f>
        <v>2.0550000000000002E-2</v>
      </c>
      <c r="Z25" s="115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42450</v>
      </c>
      <c r="AB25" s="5">
        <f>IFERROR(_xll.qlRateHelperPillarDate(W25,Trigger),"")</f>
        <v>49755</v>
      </c>
      <c r="AC25" s="83">
        <v>0.65532873029216709</v>
      </c>
    </row>
    <row r="26" spans="1:29" ht="11.25" customHeight="1" x14ac:dyDescent="0.2">
      <c r="A26" s="57" t="s">
        <v>129</v>
      </c>
      <c r="B26" s="126" t="b">
        <v>0</v>
      </c>
      <c r="C26" s="60" t="str">
        <f>_xll.qlIMMNextCode(Evaluationdate-1,B26,Trigger)</f>
        <v>J6</v>
      </c>
      <c r="D26" s="142"/>
      <c r="E26" s="142"/>
      <c r="F26" s="142"/>
      <c r="G26" s="59" t="str">
        <f t="shared" ref="G26:G47" si="12">PROPER(Currency)&amp;FamilyName&amp;Tenor</f>
        <v>UsdLibor3M</v>
      </c>
      <c r="H26" s="129" t="str">
        <f t="shared" ref="H26:H47" si="13">Currency&amp;"FUT"&amp;Tenor&amp;$C26&amp;QuoteSuffix</f>
        <v>USDFUT3MJ6_Quote</v>
      </c>
      <c r="I26" s="129" t="str">
        <f t="shared" ref="I26:I47" si="14">Currency&amp;"FUT"&amp;Tenor&amp;$C26&amp;"ConvAdj"&amp;QuoteSuffix</f>
        <v>USDFUT3MJ6ConvAdj_Quote</v>
      </c>
      <c r="J26" s="62" t="str">
        <f>_xll.qlFuturesRateHelper(,H26,$H$24,C26,G26,I26,Permanent,Trigger,ObjectOverwrite)</f>
        <v>obj_00321#0299</v>
      </c>
      <c r="K26" s="52"/>
      <c r="L26" s="11" t="str">
        <f t="shared" si="10"/>
        <v>FUT</v>
      </c>
      <c r="M26" s="105" t="str">
        <f t="shared" si="11"/>
        <v>obj_00325#0299</v>
      </c>
      <c r="N26" s="159" t="str">
        <f>IFERROR(_xll.qlRateHelperQuoteName(M26,Trigger),"--")</f>
        <v>USDFUT3MQ6_Quote</v>
      </c>
      <c r="O26" s="164" t="str">
        <f>IFERROR(_xll.qlRateHelperQuoteValue($M26,Trigger),"--")</f>
        <v>--</v>
      </c>
      <c r="P26" s="108" t="b">
        <v>1</v>
      </c>
      <c r="Q26" s="105">
        <v>60</v>
      </c>
      <c r="R26" s="105">
        <v>21</v>
      </c>
      <c r="S26" s="110">
        <f>IFERROR(_xll.qlRateHelperEarliestDate(M26,Trigger),"--")</f>
        <v>42599</v>
      </c>
      <c r="T26" s="110">
        <f>IFERROR(_xll.qlRateHelperPillarDate(M26,Trigger),"--")</f>
        <v>42691</v>
      </c>
      <c r="V26" s="4" t="str">
        <f t="shared" si="3"/>
        <v>Sw</v>
      </c>
      <c r="W26" s="4" t="str">
        <v>obj_002e6</v>
      </c>
      <c r="X26" s="4" t="str">
        <f>IFERROR(_xll.qlRateHelperQuoteName(W26,Trigger),"")</f>
        <v>USDAM3L25Y_Quote</v>
      </c>
      <c r="Y26" s="75">
        <f>IFERROR(_xll.qlRateHelperRate(W26,Trigger),"")</f>
        <v>2.1129999999999999E-2</v>
      </c>
      <c r="Z26" s="115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42450</v>
      </c>
      <c r="AB26" s="5">
        <f>IFERROR(_xll.qlRateHelperPillarDate(W26,Trigger),"")</f>
        <v>51581</v>
      </c>
      <c r="AC26" s="83">
        <v>0.58058734227931597</v>
      </c>
    </row>
    <row r="27" spans="1:29" ht="11.25" customHeight="1" x14ac:dyDescent="0.2">
      <c r="A27" s="63" t="s">
        <v>129</v>
      </c>
      <c r="B27" s="127" t="b">
        <v>0</v>
      </c>
      <c r="C27" s="67" t="str">
        <f>_xll.qlIMMNextCode(C26,B27,Trigger)</f>
        <v>K6</v>
      </c>
      <c r="D27" s="136"/>
      <c r="E27" s="136"/>
      <c r="F27" s="136"/>
      <c r="G27" s="65" t="str">
        <f t="shared" si="12"/>
        <v>UsdLibor3M</v>
      </c>
      <c r="H27" s="130" t="str">
        <f t="shared" si="13"/>
        <v>USDFUT3MK6_Quote</v>
      </c>
      <c r="I27" s="130" t="str">
        <f t="shared" si="14"/>
        <v>USDFUT3MK6ConvAdj_Quote</v>
      </c>
      <c r="J27" s="69" t="str">
        <f>_xll.qlFuturesRateHelper(,H27,$H$24,C27,G27,I27,Permanent,Trigger,ObjectOverwrite)</f>
        <v>obj_00322#0299</v>
      </c>
      <c r="K27" s="52"/>
      <c r="L27" s="11" t="str">
        <f t="shared" si="10"/>
        <v>FUT</v>
      </c>
      <c r="M27" s="105" t="str">
        <f t="shared" si="11"/>
        <v>obj_00326#0299</v>
      </c>
      <c r="N27" s="159" t="str">
        <f>IFERROR(_xll.qlRateHelperQuoteName(M27,Trigger),"--")</f>
        <v>USDFUT3MU6_Quote</v>
      </c>
      <c r="O27" s="164">
        <f>IFERROR(_xll.qlRateHelperQuoteValue($M27,Trigger),"--")</f>
        <v>99.197499999999991</v>
      </c>
      <c r="P27" s="108" t="b">
        <v>1</v>
      </c>
      <c r="Q27" s="105">
        <v>60</v>
      </c>
      <c r="R27" s="105">
        <v>21</v>
      </c>
      <c r="S27" s="110">
        <f>IFERROR(_xll.qlRateHelperEarliestDate(M27,Trigger),"--")</f>
        <v>42634</v>
      </c>
      <c r="T27" s="110">
        <f>IFERROR(_xll.qlRateHelperPillarDate(M27,Trigger),"--")</f>
        <v>42725</v>
      </c>
      <c r="V27" s="4" t="str">
        <f t="shared" si="3"/>
        <v>Sw</v>
      </c>
      <c r="W27" s="4" t="str">
        <v>obj_0028d</v>
      </c>
      <c r="X27" s="4" t="str">
        <f>IFERROR(_xll.qlRateHelperQuoteName(W27,Trigger),"")</f>
        <v>USDAM3L30Y_Quote</v>
      </c>
      <c r="Y27" s="75">
        <f>IFERROR(_xll.qlRateHelperRate(W27,Trigger),"")</f>
        <v>2.1480000000000003E-2</v>
      </c>
      <c r="Z27" s="115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42450</v>
      </c>
      <c r="AB27" s="5">
        <f>IFERROR(_xll.qlRateHelperPillarDate(W27,Trigger),"")</f>
        <v>53407</v>
      </c>
      <c r="AC27" s="83">
        <v>0.51502935620020485</v>
      </c>
    </row>
    <row r="28" spans="1:29" ht="11.25" customHeight="1" x14ac:dyDescent="0.2">
      <c r="A28" s="63" t="s">
        <v>129</v>
      </c>
      <c r="B28" s="127" t="b">
        <v>0</v>
      </c>
      <c r="C28" s="67" t="str">
        <f>_xll.qlIMMNextCode(C27,B28,Trigger)</f>
        <v>M6</v>
      </c>
      <c r="D28" s="136"/>
      <c r="E28" s="136"/>
      <c r="F28" s="136"/>
      <c r="G28" s="65" t="str">
        <f t="shared" si="12"/>
        <v>UsdLibor3M</v>
      </c>
      <c r="H28" s="130" t="str">
        <f t="shared" si="13"/>
        <v>USDFUT3MM6_Quote</v>
      </c>
      <c r="I28" s="130" t="str">
        <f t="shared" si="14"/>
        <v>USDFUT3MM6ConvAdj_Quote</v>
      </c>
      <c r="J28" s="69" t="str">
        <f>_xll.qlFuturesRateHelper(,H28,$H$24,C28,G28,I28,Permanent,Trigger,ObjectOverwrite)</f>
        <v>obj_00323#0299</v>
      </c>
      <c r="K28" s="52"/>
      <c r="L28" s="11" t="str">
        <f t="shared" si="10"/>
        <v>FUT</v>
      </c>
      <c r="M28" s="105" t="str">
        <f t="shared" si="11"/>
        <v>obj_00327#0299</v>
      </c>
      <c r="N28" s="159" t="str">
        <f>IFERROR(_xll.qlRateHelperQuoteName(M28,Trigger),"--")</f>
        <v>USDFUT3MZ6_Quote</v>
      </c>
      <c r="O28" s="164">
        <f>IFERROR(_xll.qlRateHelperQuoteValue($M28,Trigger),"--")</f>
        <v>99.117500000000007</v>
      </c>
      <c r="P28" s="108" t="b">
        <v>1</v>
      </c>
      <c r="Q28" s="105">
        <v>60</v>
      </c>
      <c r="R28" s="105">
        <v>21</v>
      </c>
      <c r="S28" s="110">
        <f>IFERROR(_xll.qlRateHelperEarliestDate(M28,Trigger),"--")</f>
        <v>42725</v>
      </c>
      <c r="T28" s="110">
        <f>IFERROR(_xll.qlRateHelperPillarDate(M28,Trigger),"--")</f>
        <v>42815</v>
      </c>
      <c r="V28" s="4" t="str">
        <f t="shared" si="3"/>
        <v>Sw</v>
      </c>
      <c r="W28" s="4" t="str">
        <v>obj_00283</v>
      </c>
      <c r="X28" s="4" t="str">
        <f>IFERROR(_xll.qlRateHelperQuoteName(W28,Trigger),"")</f>
        <v>USDAM3L40Y_Quote</v>
      </c>
      <c r="Y28" s="75">
        <f>IFERROR(_xll.qlRateHelperRate(W28,Trigger),"")</f>
        <v>2.1690000000000001E-2</v>
      </c>
      <c r="Z28" s="115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42450</v>
      </c>
      <c r="AB28" s="5">
        <f>IFERROR(_xll.qlRateHelperPillarDate(W28,Trigger),"")</f>
        <v>57060</v>
      </c>
      <c r="AC28" s="83">
        <v>0.41038103111931745</v>
      </c>
    </row>
    <row r="29" spans="1:29" ht="11.25" customHeight="1" x14ac:dyDescent="0.2">
      <c r="A29" s="63" t="s">
        <v>129</v>
      </c>
      <c r="B29" s="127" t="b">
        <v>0</v>
      </c>
      <c r="C29" s="67" t="str">
        <f>_xll.qlIMMNextCode(C28,B29,Trigger)</f>
        <v>N6</v>
      </c>
      <c r="D29" s="136"/>
      <c r="E29" s="136"/>
      <c r="F29" s="136"/>
      <c r="G29" s="65" t="str">
        <f t="shared" si="12"/>
        <v>UsdLibor3M</v>
      </c>
      <c r="H29" s="130" t="str">
        <f t="shared" si="13"/>
        <v>USDFUT3MN6_Quote</v>
      </c>
      <c r="I29" s="130" t="str">
        <f t="shared" si="14"/>
        <v>USDFUT3MN6ConvAdj_Quote</v>
      </c>
      <c r="J29" s="69" t="str">
        <f>_xll.qlFuturesRateHelper(,H29,$H$24,C29,G29,I29,Permanent,Trigger,ObjectOverwrite)</f>
        <v>obj_00324#0299</v>
      </c>
      <c r="K29" s="52"/>
      <c r="L29" s="11" t="str">
        <f t="shared" si="10"/>
        <v>FUT</v>
      </c>
      <c r="M29" s="105" t="str">
        <f t="shared" si="11"/>
        <v>obj_00328#0298</v>
      </c>
      <c r="N29" s="159" t="str">
        <f>IFERROR(_xll.qlRateHelperQuoteName(M29,Trigger),"--")</f>
        <v>USDFUT3MH7_Quote</v>
      </c>
      <c r="O29" s="164">
        <f>IFERROR(_xll.qlRateHelperQuoteValue($M29,Trigger),"--")</f>
        <v>99.057500000000005</v>
      </c>
      <c r="P29" s="108" t="b">
        <v>1</v>
      </c>
      <c r="Q29" s="105">
        <v>60</v>
      </c>
      <c r="R29" s="105">
        <v>21</v>
      </c>
      <c r="S29" s="110">
        <f>IFERROR(_xll.qlRateHelperEarliestDate(M29,Trigger),"--")</f>
        <v>42809</v>
      </c>
      <c r="T29" s="110">
        <f>IFERROR(_xll.qlRateHelperPillarDate(M29,Trigger),"--")</f>
        <v>42901</v>
      </c>
      <c r="V29" s="4" t="str">
        <f t="shared" si="3"/>
        <v>Sw</v>
      </c>
      <c r="W29" s="4" t="str">
        <v>obj_002e9</v>
      </c>
      <c r="X29" s="4" t="str">
        <f>IFERROR(_xll.qlRateHelperQuoteName(W29,Trigger),"")</f>
        <v>USDAM3L50Y_Quote</v>
      </c>
      <c r="Y29" s="75">
        <f>IFERROR(_xll.qlRateHelperRate(W29,Trigger),"")</f>
        <v>2.1530000000000001E-2</v>
      </c>
      <c r="Z29" s="115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42450</v>
      </c>
      <c r="AB29" s="5">
        <f>IFERROR(_xll.qlRateHelperPillarDate(W29,Trigger),"")</f>
        <v>60713</v>
      </c>
      <c r="AC29" s="83">
        <v>0.33410316250765054</v>
      </c>
    </row>
    <row r="30" spans="1:29" ht="11.25" customHeight="1" x14ac:dyDescent="0.2">
      <c r="A30" s="1" t="s">
        <v>129</v>
      </c>
      <c r="B30" s="128" t="b">
        <v>0</v>
      </c>
      <c r="C30" s="10" t="str">
        <f>_xll.qlIMMNextCode(C29,B30,Trigger)</f>
        <v>Q6</v>
      </c>
      <c r="D30" s="137"/>
      <c r="E30" s="137"/>
      <c r="F30" s="137"/>
      <c r="G30" s="7" t="str">
        <f t="shared" si="12"/>
        <v>UsdLibor3M</v>
      </c>
      <c r="H30" s="131" t="str">
        <f t="shared" si="13"/>
        <v>USDFUT3MQ6_Quote</v>
      </c>
      <c r="I30" s="131" t="str">
        <f t="shared" si="14"/>
        <v>USDFUT3MQ6ConvAdj_Quote</v>
      </c>
      <c r="J30" s="3" t="str">
        <f>_xll.qlFuturesRateHelper(,H30,$H$24,C30,G30,I30,Permanent,Trigger,ObjectOverwrite)</f>
        <v>obj_00325#0299</v>
      </c>
      <c r="K30" s="52"/>
      <c r="L30" s="11" t="str">
        <f t="shared" si="10"/>
        <v>FUT</v>
      </c>
      <c r="M30" s="105" t="str">
        <f t="shared" si="11"/>
        <v>obj_00329#0298</v>
      </c>
      <c r="N30" s="159" t="str">
        <f>IFERROR(_xll.qlRateHelperQuoteName(M30,Trigger),"--")</f>
        <v>USDFUT3MM7_Quote</v>
      </c>
      <c r="O30" s="164">
        <f>IFERROR(_xll.qlRateHelperQuoteValue($M30,Trigger),"--")</f>
        <v>98.987499999999997</v>
      </c>
      <c r="P30" s="108" t="b">
        <v>1</v>
      </c>
      <c r="Q30" s="105">
        <v>60</v>
      </c>
      <c r="R30" s="105">
        <v>21</v>
      </c>
      <c r="S30" s="110">
        <f>IFERROR(_xll.qlRateHelperEarliestDate(M30,Trigger),"--")</f>
        <v>42907</v>
      </c>
      <c r="T30" s="110">
        <f>IFERROR(_xll.qlRateHelperPillarDate(M30,Trigger),"--")</f>
        <v>42999</v>
      </c>
      <c r="V30" s="4" t="str">
        <f t="shared" si="3"/>
        <v/>
      </c>
      <c r="W30" s="4" t="e">
        <v>#N/A</v>
      </c>
      <c r="X30" s="4" t="str">
        <f>IFERROR(_xll.qlRateHelperQuoteName(W30,Trigger),"")</f>
        <v/>
      </c>
      <c r="Y30" s="75" t="str">
        <f>IFERROR(_xll.qlRateHelperRate(W30,Trigger),"")</f>
        <v/>
      </c>
      <c r="Z30" s="115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3" t="e">
        <v>#N/A</v>
      </c>
    </row>
    <row r="31" spans="1:29" ht="11.25" customHeight="1" x14ac:dyDescent="0.2">
      <c r="A31" s="63" t="s">
        <v>129</v>
      </c>
      <c r="B31" s="127" t="b">
        <v>1</v>
      </c>
      <c r="C31" s="67" t="str">
        <f>_xll.qlIMMNextCode(C30,B31,Trigger)</f>
        <v>U6</v>
      </c>
      <c r="D31" s="136"/>
      <c r="E31" s="136"/>
      <c r="F31" s="136"/>
      <c r="G31" s="65" t="str">
        <f t="shared" si="12"/>
        <v>UsdLibor3M</v>
      </c>
      <c r="H31" s="130" t="str">
        <f t="shared" si="13"/>
        <v>USDFUT3MU6_Quote</v>
      </c>
      <c r="I31" s="130" t="str">
        <f t="shared" si="14"/>
        <v>USDFUT3MU6ConvAdj_Quote</v>
      </c>
      <c r="J31" s="69" t="str">
        <f>_xll.qlFuturesRateHelper(,H31,$H$24,C31,G31,I31,Permanent,Trigger,ObjectOverwrite)</f>
        <v>obj_00326#0299</v>
      </c>
      <c r="K31" s="52"/>
      <c r="L31" s="11" t="str">
        <f t="shared" si="10"/>
        <v>FUT</v>
      </c>
      <c r="M31" s="105" t="str">
        <f t="shared" si="11"/>
        <v>obj_0032c#0296</v>
      </c>
      <c r="N31" s="159" t="str">
        <f>IFERROR(_xll.qlRateHelperQuoteName(M31,Trigger),"--")</f>
        <v>USDFUT3MU7_Quote</v>
      </c>
      <c r="O31" s="164">
        <f>IFERROR(_xll.qlRateHelperQuoteValue($M31,Trigger),"--")</f>
        <v>98.912499999999994</v>
      </c>
      <c r="P31" s="108" t="b">
        <v>1</v>
      </c>
      <c r="Q31" s="105">
        <v>60</v>
      </c>
      <c r="R31" s="105">
        <v>21</v>
      </c>
      <c r="S31" s="110">
        <f>IFERROR(_xll.qlRateHelperEarliestDate(M31,Trigger),"--")</f>
        <v>42998</v>
      </c>
      <c r="T31" s="110">
        <f>IFERROR(_xll.qlRateHelperPillarDate(M31,Trigger),"--")</f>
        <v>43089</v>
      </c>
      <c r="V31" s="4" t="str">
        <f t="shared" si="3"/>
        <v/>
      </c>
      <c r="W31" s="4" t="e">
        <v>#N/A</v>
      </c>
      <c r="X31" s="4" t="str">
        <f>IFERROR(_xll.qlRateHelperQuoteName(W31,Trigger),"")</f>
        <v/>
      </c>
      <c r="Y31" s="75" t="str">
        <f>IFERROR(_xll.qlRateHelperRate(W31,Trigger),"")</f>
        <v/>
      </c>
      <c r="Z31" s="115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3" t="e">
        <v>#N/A</v>
      </c>
    </row>
    <row r="32" spans="1:29" ht="11.25" customHeight="1" x14ac:dyDescent="0.2">
      <c r="A32" s="63" t="s">
        <v>129</v>
      </c>
      <c r="B32" s="127" t="b">
        <v>1</v>
      </c>
      <c r="C32" s="67" t="str">
        <f>_xll.qlIMMNextCode(C31,B32,Trigger)</f>
        <v>Z6</v>
      </c>
      <c r="D32" s="136"/>
      <c r="E32" s="136"/>
      <c r="F32" s="136"/>
      <c r="G32" s="65" t="str">
        <f t="shared" si="12"/>
        <v>UsdLibor3M</v>
      </c>
      <c r="H32" s="130" t="str">
        <f t="shared" si="13"/>
        <v>USDFUT3MZ6_Quote</v>
      </c>
      <c r="I32" s="130" t="str">
        <f t="shared" si="14"/>
        <v>USDFUT3MZ6ConvAdj_Quote</v>
      </c>
      <c r="J32" s="69" t="str">
        <f>_xll.qlFuturesRateHelper(,H32,$H$24,C32,G32,I32,Permanent,Trigger,ObjectOverwrite)</f>
        <v>obj_00327#0299</v>
      </c>
      <c r="K32" s="52"/>
      <c r="L32" s="11" t="str">
        <f t="shared" si="10"/>
        <v>FUT</v>
      </c>
      <c r="M32" s="105" t="str">
        <f t="shared" si="11"/>
        <v>obj_0032d#0296</v>
      </c>
      <c r="N32" s="159" t="str">
        <f>IFERROR(_xll.qlRateHelperQuoteName(M32,Trigger),"--")</f>
        <v>USDFUT3MZ7_Quote</v>
      </c>
      <c r="O32" s="164">
        <f>IFERROR(_xll.qlRateHelperQuoteValue($M32,Trigger),"--")</f>
        <v>98.827500000000001</v>
      </c>
      <c r="P32" s="108" t="b">
        <v>1</v>
      </c>
      <c r="Q32" s="105">
        <v>60</v>
      </c>
      <c r="R32" s="105">
        <v>21</v>
      </c>
      <c r="S32" s="110">
        <f>IFERROR(_xll.qlRateHelperEarliestDate(M32,Trigger),"--")</f>
        <v>43089</v>
      </c>
      <c r="T32" s="110">
        <f>IFERROR(_xll.qlRateHelperPillarDate(M32,Trigger),"--")</f>
        <v>43179</v>
      </c>
      <c r="V32" s="4" t="str">
        <f t="shared" si="3"/>
        <v/>
      </c>
      <c r="W32" s="4" t="e">
        <v>#N/A</v>
      </c>
      <c r="X32" s="4" t="str">
        <f>IFERROR(_xll.qlRateHelperQuoteName(W32,Trigger),"")</f>
        <v/>
      </c>
      <c r="Y32" s="75" t="str">
        <f>IFERROR(_xll.qlRateHelperRate(W32,Trigger),"")</f>
        <v/>
      </c>
      <c r="Z32" s="115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3" t="e">
        <v>#N/A</v>
      </c>
    </row>
    <row r="33" spans="1:29" ht="11.25" customHeight="1" x14ac:dyDescent="0.2">
      <c r="A33" s="63" t="s">
        <v>129</v>
      </c>
      <c r="B33" s="127" t="b">
        <v>1</v>
      </c>
      <c r="C33" s="67" t="str">
        <f>_xll.qlIMMNextCode(C32,B33,Trigger)</f>
        <v>H7</v>
      </c>
      <c r="D33" s="136"/>
      <c r="E33" s="136"/>
      <c r="F33" s="136"/>
      <c r="G33" s="65" t="str">
        <f t="shared" si="12"/>
        <v>UsdLibor3M</v>
      </c>
      <c r="H33" s="130" t="str">
        <f t="shared" si="13"/>
        <v>USDFUT3MH7_Quote</v>
      </c>
      <c r="I33" s="130" t="str">
        <f t="shared" si="14"/>
        <v>USDFUT3MH7ConvAdj_Quote</v>
      </c>
      <c r="J33" s="69" t="str">
        <f>_xll.qlFuturesRateHelper(,H33,$H$24,C33,G33,I33,Permanent,Trigger,ObjectOverwrite)</f>
        <v>obj_00328#0298</v>
      </c>
      <c r="K33" s="52"/>
      <c r="L33" s="11" t="str">
        <f t="shared" si="10"/>
        <v>FUT</v>
      </c>
      <c r="M33" s="105" t="str">
        <f t="shared" si="11"/>
        <v>obj_0032e#0296</v>
      </c>
      <c r="N33" s="159" t="str">
        <f>IFERROR(_xll.qlRateHelperQuoteName(M33,Trigger),"--")</f>
        <v>USDFUT3MH8_Quote</v>
      </c>
      <c r="O33" s="164">
        <f>IFERROR(_xll.qlRateHelperQuoteValue($M33,Trigger),"--")</f>
        <v>98.757499999999993</v>
      </c>
      <c r="P33" s="108" t="b">
        <v>1</v>
      </c>
      <c r="Q33" s="105">
        <v>60</v>
      </c>
      <c r="R33" s="105">
        <v>21</v>
      </c>
      <c r="S33" s="110">
        <f>IFERROR(_xll.qlRateHelperEarliestDate(M33,Trigger),"--")</f>
        <v>43180</v>
      </c>
      <c r="T33" s="110">
        <f>IFERROR(_xll.qlRateHelperPillarDate(M33,Trigger),"--")</f>
        <v>43272</v>
      </c>
      <c r="V33" s="4" t="str">
        <f t="shared" si="3"/>
        <v/>
      </c>
      <c r="W33" s="4" t="e">
        <v>#N/A</v>
      </c>
      <c r="X33" s="4" t="str">
        <f>IFERROR(_xll.qlRateHelperQuoteName(W33,Trigger),"")</f>
        <v/>
      </c>
      <c r="Y33" s="75" t="str">
        <f>IFERROR(_xll.qlRateHelperRate(W33,Trigger),"")</f>
        <v/>
      </c>
      <c r="Z33" s="115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3" t="e">
        <v>#N/A</v>
      </c>
    </row>
    <row r="34" spans="1:29" ht="11.25" customHeight="1" x14ac:dyDescent="0.2">
      <c r="A34" s="63" t="s">
        <v>129</v>
      </c>
      <c r="B34" s="127" t="b">
        <v>1</v>
      </c>
      <c r="C34" s="67" t="str">
        <f>_xll.qlIMMNextCode(C33,B34,Trigger)</f>
        <v>M7</v>
      </c>
      <c r="D34" s="136"/>
      <c r="E34" s="136"/>
      <c r="F34" s="136"/>
      <c r="G34" s="65" t="str">
        <f t="shared" si="12"/>
        <v>UsdLibor3M</v>
      </c>
      <c r="H34" s="130" t="str">
        <f t="shared" si="13"/>
        <v>USDFUT3MM7_Quote</v>
      </c>
      <c r="I34" s="130" t="str">
        <f t="shared" si="14"/>
        <v>USDFUT3MM7ConvAdj_Quote</v>
      </c>
      <c r="J34" s="69" t="str">
        <f>_xll.qlFuturesRateHelper(,H34,$H$24,C34,G34,I34,Permanent,Trigger,ObjectOverwrite)</f>
        <v>obj_00329#0298</v>
      </c>
      <c r="K34" s="52"/>
      <c r="L34" s="11" t="str">
        <f t="shared" si="10"/>
        <v>FUT</v>
      </c>
      <c r="M34" s="105" t="str">
        <f t="shared" si="11"/>
        <v>obj_0032f#0296</v>
      </c>
      <c r="N34" s="159" t="str">
        <f>IFERROR(_xll.qlRateHelperQuoteName(M34,Trigger),"--")</f>
        <v>USDFUT3MM8_Quote</v>
      </c>
      <c r="O34" s="164">
        <f>IFERROR(_xll.qlRateHelperQuoteValue($M34,Trigger),"--")</f>
        <v>98.6875</v>
      </c>
      <c r="P34" s="108" t="b">
        <v>1</v>
      </c>
      <c r="Q34" s="105">
        <v>60</v>
      </c>
      <c r="R34" s="105">
        <v>21</v>
      </c>
      <c r="S34" s="110">
        <f>IFERROR(_xll.qlRateHelperEarliestDate(M34,Trigger),"--")</f>
        <v>43271</v>
      </c>
      <c r="T34" s="110">
        <f>IFERROR(_xll.qlRateHelperPillarDate(M34,Trigger),"--")</f>
        <v>43363</v>
      </c>
      <c r="V34" s="4" t="str">
        <f t="shared" si="3"/>
        <v/>
      </c>
      <c r="W34" s="4" t="e">
        <v>#N/A</v>
      </c>
      <c r="X34" s="4" t="str">
        <f>IFERROR(_xll.qlRateHelperQuoteName(W34,Trigger),"")</f>
        <v/>
      </c>
      <c r="Y34" s="75" t="str">
        <f>IFERROR(_xll.qlRateHelperRate(W34,Trigger),"")</f>
        <v/>
      </c>
      <c r="Z34" s="115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3" t="e">
        <v>#N/A</v>
      </c>
    </row>
    <row r="35" spans="1:29" ht="11.25" customHeight="1" x14ac:dyDescent="0.2">
      <c r="A35" s="63" t="s">
        <v>129</v>
      </c>
      <c r="B35" s="127" t="b">
        <v>1</v>
      </c>
      <c r="C35" s="67" t="str">
        <f>_xll.qlIMMNextCode(C34,B35,Trigger)</f>
        <v>U7</v>
      </c>
      <c r="D35" s="136"/>
      <c r="E35" s="136"/>
      <c r="F35" s="136"/>
      <c r="G35" s="65" t="str">
        <f t="shared" si="12"/>
        <v>UsdLibor3M</v>
      </c>
      <c r="H35" s="130" t="str">
        <f t="shared" si="13"/>
        <v>USDFUT3MU7_Quote</v>
      </c>
      <c r="I35" s="130" t="str">
        <f t="shared" si="14"/>
        <v>USDFUT3MU7ConvAdj_Quote</v>
      </c>
      <c r="J35" s="69" t="str">
        <f>_xll.qlFuturesRateHelper(,H35,$H$24,C35,G35,I35,Permanent,Trigger,ObjectOverwrite)</f>
        <v>obj_0032c#0296</v>
      </c>
      <c r="K35" s="52"/>
      <c r="L35" s="11" t="str">
        <f t="shared" si="10"/>
        <v>FUT</v>
      </c>
      <c r="M35" s="105" t="str">
        <f t="shared" si="11"/>
        <v>obj_00330#0296</v>
      </c>
      <c r="N35" s="159" t="str">
        <f>IFERROR(_xll.qlRateHelperQuoteName(M35,Trigger),"--")</f>
        <v>USDFUT3MU8_Quote</v>
      </c>
      <c r="O35" s="164">
        <f>IFERROR(_xll.qlRateHelperQuoteValue($M35,Trigger),"--")</f>
        <v>98.617500000000007</v>
      </c>
      <c r="P35" s="108" t="b">
        <v>1</v>
      </c>
      <c r="Q35" s="105">
        <v>30</v>
      </c>
      <c r="R35" s="105">
        <v>21</v>
      </c>
      <c r="S35" s="110">
        <f>IFERROR(_xll.qlRateHelperEarliestDate(M35,Trigger),"--")</f>
        <v>43362</v>
      </c>
      <c r="T35" s="110">
        <f>IFERROR(_xll.qlRateHelperPillarDate(M35,Trigger),"--")</f>
        <v>43453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5" t="str">
        <f>IFERROR(_xll.qlRateHelperRate(W35,Trigger),"")</f>
        <v/>
      </c>
      <c r="Z35" s="115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3" t="e">
        <v>#N/A</v>
      </c>
    </row>
    <row r="36" spans="1:29" ht="11.25" customHeight="1" x14ac:dyDescent="0.2">
      <c r="A36" s="63" t="s">
        <v>129</v>
      </c>
      <c r="B36" s="127" t="b">
        <v>1</v>
      </c>
      <c r="C36" s="67" t="str">
        <f>_xll.qlIMMNextCode(C35,B36,Trigger)</f>
        <v>Z7</v>
      </c>
      <c r="D36" s="136"/>
      <c r="E36" s="136"/>
      <c r="F36" s="136"/>
      <c r="G36" s="65" t="str">
        <f t="shared" si="12"/>
        <v>UsdLibor3M</v>
      </c>
      <c r="H36" s="130" t="str">
        <f t="shared" si="13"/>
        <v>USDFUT3MZ7_Quote</v>
      </c>
      <c r="I36" s="130" t="str">
        <f t="shared" si="14"/>
        <v>USDFUT3MZ7ConvAdj_Quote</v>
      </c>
      <c r="J36" s="69" t="str">
        <f>_xll.qlFuturesRateHelper(,H36,$H$24,C36,G36,I36,Permanent,Trigger,ObjectOverwrite)</f>
        <v>obj_0032d#0296</v>
      </c>
      <c r="K36" s="52"/>
      <c r="L36" s="11" t="str">
        <f t="shared" si="10"/>
        <v>FUT</v>
      </c>
      <c r="M36" s="105" t="str">
        <f t="shared" si="11"/>
        <v>obj_00331#0296</v>
      </c>
      <c r="N36" s="159" t="str">
        <f>IFERROR(_xll.qlRateHelperQuoteName(M36,Trigger),"--")</f>
        <v>USDFUT3MZ8_Quote</v>
      </c>
      <c r="O36" s="164">
        <f>IFERROR(_xll.qlRateHelperQuoteValue($M36,Trigger),"--")</f>
        <v>98.542500000000004</v>
      </c>
      <c r="P36" s="108" t="b">
        <v>1</v>
      </c>
      <c r="Q36" s="105">
        <v>30</v>
      </c>
      <c r="R36" s="105">
        <v>21</v>
      </c>
      <c r="S36" s="110">
        <f>IFERROR(_xll.qlRateHelperEarliestDate(M36,Trigger),"--")</f>
        <v>43453</v>
      </c>
      <c r="T36" s="110">
        <f>IFERROR(_xll.qlRateHelperPillarDate(M36,Trigger),"--")</f>
        <v>43543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5" t="str">
        <f>IFERROR(_xll.qlRateHelperRate(W36,Trigger),"")</f>
        <v/>
      </c>
      <c r="Z36" s="115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3" t="e">
        <v>#N/A</v>
      </c>
    </row>
    <row r="37" spans="1:29" ht="11.25" customHeight="1" x14ac:dyDescent="0.2">
      <c r="A37" s="63" t="s">
        <v>129</v>
      </c>
      <c r="B37" s="127" t="b">
        <v>1</v>
      </c>
      <c r="C37" s="67" t="str">
        <f>_xll.qlIMMNextCode(C36,B37,Trigger)</f>
        <v>H8</v>
      </c>
      <c r="D37" s="136"/>
      <c r="E37" s="136"/>
      <c r="F37" s="136"/>
      <c r="G37" s="65" t="str">
        <f t="shared" si="12"/>
        <v>UsdLibor3M</v>
      </c>
      <c r="H37" s="130" t="str">
        <f t="shared" si="13"/>
        <v>USDFUT3MH8_Quote</v>
      </c>
      <c r="I37" s="130" t="str">
        <f t="shared" si="14"/>
        <v>USDFUT3MH8ConvAdj_Quote</v>
      </c>
      <c r="J37" s="69" t="str">
        <f>_xll.qlFuturesRateHelper(,H37,$H$24,C37,G37,I37,Permanent,Trigger,ObjectOverwrite)</f>
        <v>obj_0032e#0296</v>
      </c>
      <c r="K37" s="52"/>
      <c r="L37" s="11" t="str">
        <f t="shared" si="10"/>
        <v>FUT</v>
      </c>
      <c r="M37" s="105" t="str">
        <f t="shared" si="11"/>
        <v>obj_00332#0296</v>
      </c>
      <c r="N37" s="159" t="str">
        <f>IFERROR(_xll.qlRateHelperQuoteName(M37,Trigger),"--")</f>
        <v>USDFUT3MH9_Quote</v>
      </c>
      <c r="O37" s="164">
        <f>IFERROR(_xll.qlRateHelperQuoteValue($M37,Trigger),"--")</f>
        <v>98.484999999999999</v>
      </c>
      <c r="P37" s="108" t="b">
        <v>1</v>
      </c>
      <c r="Q37" s="105">
        <v>30</v>
      </c>
      <c r="R37" s="105">
        <v>21</v>
      </c>
      <c r="S37" s="110">
        <f>IFERROR(_xll.qlRateHelperEarliestDate(M37,Trigger),"--")</f>
        <v>43544</v>
      </c>
      <c r="T37" s="110">
        <f>IFERROR(_xll.qlRateHelperPillarDate(M37,Trigger),"--")</f>
        <v>43636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5" t="str">
        <f>IFERROR(_xll.qlRateHelperRate(W37,Trigger),"")</f>
        <v/>
      </c>
      <c r="Z37" s="115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3" t="e">
        <v>#N/A</v>
      </c>
    </row>
    <row r="38" spans="1:29" ht="11.25" customHeight="1" x14ac:dyDescent="0.2">
      <c r="A38" s="63" t="s">
        <v>129</v>
      </c>
      <c r="B38" s="127" t="b">
        <v>1</v>
      </c>
      <c r="C38" s="67" t="str">
        <f>_xll.qlIMMNextCode(C37,B38,Trigger)</f>
        <v>M8</v>
      </c>
      <c r="D38" s="136"/>
      <c r="E38" s="136"/>
      <c r="F38" s="136"/>
      <c r="G38" s="65" t="str">
        <f t="shared" si="12"/>
        <v>UsdLibor3M</v>
      </c>
      <c r="H38" s="130" t="str">
        <f t="shared" si="13"/>
        <v>USDFUT3MM8_Quote</v>
      </c>
      <c r="I38" s="130" t="str">
        <f t="shared" si="14"/>
        <v>USDFUT3MM8ConvAdj_Quote</v>
      </c>
      <c r="J38" s="69" t="str">
        <f>_xll.qlFuturesRateHelper(,H38,$H$24,C38,G38,I38,Permanent,Trigger,ObjectOverwrite)</f>
        <v>obj_0032f#0296</v>
      </c>
      <c r="K38" s="52"/>
      <c r="L38" s="11" t="str">
        <f t="shared" si="10"/>
        <v>FUT</v>
      </c>
      <c r="M38" s="105" t="str">
        <f t="shared" si="11"/>
        <v>obj_00333#0296</v>
      </c>
      <c r="N38" s="159" t="str">
        <f>IFERROR(_xll.qlRateHelperQuoteName(M38,Trigger),"--")</f>
        <v>USDFUT3MM9_Quote</v>
      </c>
      <c r="O38" s="164">
        <f>IFERROR(_xll.qlRateHelperQuoteValue($M38,Trigger),"--")</f>
        <v>98.422499999999999</v>
      </c>
      <c r="P38" s="108" t="b">
        <v>1</v>
      </c>
      <c r="Q38" s="105">
        <v>30</v>
      </c>
      <c r="R38" s="105">
        <v>21</v>
      </c>
      <c r="S38" s="110">
        <f>IFERROR(_xll.qlRateHelperEarliestDate(M38,Trigger),"--")</f>
        <v>43635</v>
      </c>
      <c r="T38" s="110">
        <f>IFERROR(_xll.qlRateHelperPillarDate(M38,Trigger),"--")</f>
        <v>43727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5" t="str">
        <f>IFERROR(_xll.qlRateHelperRate(W38,Trigger),"")</f>
        <v/>
      </c>
      <c r="Z38" s="115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3" t="e">
        <v>#N/A</v>
      </c>
    </row>
    <row r="39" spans="1:29" ht="11.25" customHeight="1" x14ac:dyDescent="0.2">
      <c r="A39" s="63" t="s">
        <v>129</v>
      </c>
      <c r="B39" s="127" t="b">
        <v>1</v>
      </c>
      <c r="C39" s="67" t="str">
        <f>_xll.qlIMMNextCode(C38,B39,Trigger)</f>
        <v>U8</v>
      </c>
      <c r="D39" s="136"/>
      <c r="E39" s="136"/>
      <c r="F39" s="136"/>
      <c r="G39" s="65" t="str">
        <f t="shared" si="12"/>
        <v>UsdLibor3M</v>
      </c>
      <c r="H39" s="130" t="str">
        <f t="shared" si="13"/>
        <v>USDFUT3MU8_Quote</v>
      </c>
      <c r="I39" s="130" t="str">
        <f t="shared" si="14"/>
        <v>USDFUT3MU8ConvAdj_Quote</v>
      </c>
      <c r="J39" s="69" t="str">
        <f>_xll.qlFuturesRateHelper(,H39,$H$24,C39,G39,I39,Permanent,Trigger,ObjectOverwrite)</f>
        <v>obj_00330#0296</v>
      </c>
      <c r="K39" s="52"/>
      <c r="L39" s="11" t="str">
        <f t="shared" si="10"/>
        <v>FUT</v>
      </c>
      <c r="M39" s="105" t="str">
        <f t="shared" si="11"/>
        <v>obj_00334#0296</v>
      </c>
      <c r="N39" s="159" t="str">
        <f>IFERROR(_xll.qlRateHelperQuoteName(M39,Trigger),"--")</f>
        <v>USDFUT3MU9_Quote</v>
      </c>
      <c r="O39" s="164">
        <f>IFERROR(_xll.qlRateHelperQuoteValue($M39,Trigger),"--")</f>
        <v>98.357500000000002</v>
      </c>
      <c r="P39" s="108" t="b">
        <v>1</v>
      </c>
      <c r="Q39" s="105">
        <v>30</v>
      </c>
      <c r="R39" s="105">
        <v>21</v>
      </c>
      <c r="S39" s="110">
        <f>IFERROR(_xll.qlRateHelperEarliestDate(M39,Trigger),"--")</f>
        <v>43726</v>
      </c>
      <c r="T39" s="110">
        <f>IFERROR(_xll.qlRateHelperPillarDate(M39,Trigger),"--")</f>
        <v>43817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5" t="str">
        <f>IFERROR(_xll.qlRateHelperRate(W39,Trigger),"")</f>
        <v/>
      </c>
      <c r="Z39" s="115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3" t="e">
        <v>#N/A</v>
      </c>
    </row>
    <row r="40" spans="1:29" ht="11.25" customHeight="1" x14ac:dyDescent="0.2">
      <c r="A40" s="63" t="s">
        <v>129</v>
      </c>
      <c r="B40" s="127" t="b">
        <v>1</v>
      </c>
      <c r="C40" s="67" t="str">
        <f>_xll.qlIMMNextCode(C39,B40,Trigger)</f>
        <v>Z8</v>
      </c>
      <c r="D40" s="136"/>
      <c r="E40" s="136"/>
      <c r="F40" s="136"/>
      <c r="G40" s="65" t="str">
        <f t="shared" si="12"/>
        <v>UsdLibor3M</v>
      </c>
      <c r="H40" s="130" t="str">
        <f t="shared" si="13"/>
        <v>USDFUT3MZ8_Quote</v>
      </c>
      <c r="I40" s="130" t="str">
        <f t="shared" si="14"/>
        <v>USDFUT3MZ8ConvAdj_Quote</v>
      </c>
      <c r="J40" s="69" t="str">
        <f>_xll.qlFuturesRateHelper(,H40,$H$24,C40,G40,I40,Permanent,Trigger,ObjectOverwrite)</f>
        <v>obj_00331#0296</v>
      </c>
      <c r="K40" s="52"/>
      <c r="L40" s="11" t="str">
        <f t="shared" si="10"/>
        <v>FUT</v>
      </c>
      <c r="M40" s="105" t="str">
        <f t="shared" si="11"/>
        <v>obj_00336#0296</v>
      </c>
      <c r="N40" s="159" t="str">
        <f>IFERROR(_xll.qlRateHelperQuoteName(M40,Trigger),"--")</f>
        <v>USDFUT3MZ9_Quote</v>
      </c>
      <c r="O40" s="164">
        <f>IFERROR(_xll.qlRateHelperQuoteValue($M40,Trigger),"--")</f>
        <v>98.292500000000004</v>
      </c>
      <c r="P40" s="108" t="b">
        <v>1</v>
      </c>
      <c r="Q40" s="105">
        <v>30</v>
      </c>
      <c r="R40" s="105">
        <v>21</v>
      </c>
      <c r="S40" s="110">
        <f>IFERROR(_xll.qlRateHelperEarliestDate(M40,Trigger),"--")</f>
        <v>43817</v>
      </c>
      <c r="T40" s="110">
        <f>IFERROR(_xll.qlRateHelperPillarDate(M40,Trigger),"--")</f>
        <v>43908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5" t="str">
        <f>IFERROR(_xll.qlRateHelperRate(W40,Trigger),"")</f>
        <v/>
      </c>
      <c r="Z40" s="115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3" t="e">
        <v>#N/A</v>
      </c>
    </row>
    <row r="41" spans="1:29" ht="11.25" customHeight="1" x14ac:dyDescent="0.2">
      <c r="A41" s="63" t="s">
        <v>129</v>
      </c>
      <c r="B41" s="127" t="b">
        <v>1</v>
      </c>
      <c r="C41" s="67" t="str">
        <f>_xll.qlIMMNextCode(C40,B41,Trigger)</f>
        <v>H9</v>
      </c>
      <c r="D41" s="136"/>
      <c r="E41" s="136"/>
      <c r="F41" s="136"/>
      <c r="G41" s="65" t="str">
        <f t="shared" si="12"/>
        <v>UsdLibor3M</v>
      </c>
      <c r="H41" s="130" t="str">
        <f t="shared" si="13"/>
        <v>USDFUT3MH9_Quote</v>
      </c>
      <c r="I41" s="130" t="str">
        <f t="shared" si="14"/>
        <v>USDFUT3MH9ConvAdj_Quote</v>
      </c>
      <c r="J41" s="69" t="str">
        <f>_xll.qlFuturesRateHelper(,H41,$H$24,C41,G41,I41,Permanent,Trigger,ObjectOverwrite)</f>
        <v>obj_00332#0296</v>
      </c>
      <c r="L41" s="11" t="str">
        <f t="shared" si="10"/>
        <v>FUT</v>
      </c>
      <c r="M41" s="105" t="str">
        <f t="shared" si="11"/>
        <v>obj_00335#0296</v>
      </c>
      <c r="N41" s="159" t="str">
        <f>IFERROR(_xll.qlRateHelperQuoteName(M41,Trigger),"--")</f>
        <v>USDFUT3MH0_Quote</v>
      </c>
      <c r="O41" s="164">
        <f>IFERROR(_xll.qlRateHelperQuoteValue($M41,Trigger),"--")</f>
        <v>98.232500000000002</v>
      </c>
      <c r="P41" s="108" t="b">
        <v>1</v>
      </c>
      <c r="Q41" s="105">
        <v>30</v>
      </c>
      <c r="R41" s="105">
        <v>21</v>
      </c>
      <c r="S41" s="110">
        <f>IFERROR(_xll.qlRateHelperEarliestDate(M41,Trigger),"--")</f>
        <v>43908</v>
      </c>
      <c r="T41" s="110">
        <f>IFERROR(_xll.qlRateHelperPillarDate(M41,Trigger),"--")</f>
        <v>44000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5" t="str">
        <f>IFERROR(_xll.qlRateHelperRate(W41,Trigger),"")</f>
        <v/>
      </c>
      <c r="Z41" s="115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3" t="e">
        <v>#N/A</v>
      </c>
    </row>
    <row r="42" spans="1:29" ht="11.25" customHeight="1" x14ac:dyDescent="0.2">
      <c r="A42" s="63" t="s">
        <v>129</v>
      </c>
      <c r="B42" s="127" t="b">
        <v>1</v>
      </c>
      <c r="C42" s="67" t="str">
        <f>_xll.qlIMMNextCode(C41,B42,Trigger)</f>
        <v>M9</v>
      </c>
      <c r="D42" s="136"/>
      <c r="E42" s="136"/>
      <c r="F42" s="136"/>
      <c r="G42" s="65" t="str">
        <f t="shared" si="12"/>
        <v>UsdLibor3M</v>
      </c>
      <c r="H42" s="130" t="str">
        <f t="shared" si="13"/>
        <v>USDFUT3MM9_Quote</v>
      </c>
      <c r="I42" s="130" t="str">
        <f t="shared" si="14"/>
        <v>USDFUT3MM9ConvAdj_Quote</v>
      </c>
      <c r="J42" s="69" t="str">
        <f>_xll.qlFuturesRateHelper(,H42,$H$24,C42,G42,I42,Permanent,Trigger,ObjectOverwrite)</f>
        <v>obj_00333#0296</v>
      </c>
      <c r="L42" s="11" t="str">
        <f t="shared" si="10"/>
        <v>FUT</v>
      </c>
      <c r="M42" s="105" t="str">
        <f t="shared" si="11"/>
        <v>obj_00337#0296</v>
      </c>
      <c r="N42" s="159" t="str">
        <f>IFERROR(_xll.qlRateHelperQuoteName(M42,Trigger),"--")</f>
        <v>USDFUT3MM0_Quote</v>
      </c>
      <c r="O42" s="164">
        <f>IFERROR(_xll.qlRateHelperQuoteValue($M42,Trigger),"--")</f>
        <v>98.177500000000009</v>
      </c>
      <c r="P42" s="108" t="b">
        <v>1</v>
      </c>
      <c r="Q42" s="105">
        <v>30</v>
      </c>
      <c r="R42" s="105">
        <v>21</v>
      </c>
      <c r="S42" s="110">
        <f>IFERROR(_xll.qlRateHelperEarliestDate(M42,Trigger),"--")</f>
        <v>43999</v>
      </c>
      <c r="T42" s="110">
        <f>IFERROR(_xll.qlRateHelperPillarDate(M42,Trigger),"--")</f>
        <v>44091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5" t="str">
        <f>IFERROR(_xll.qlRateHelperRate(W42,Trigger),"")</f>
        <v/>
      </c>
      <c r="Z42" s="115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3" t="e">
        <v>#N/A</v>
      </c>
    </row>
    <row r="43" spans="1:29" ht="11.25" customHeight="1" x14ac:dyDescent="0.2">
      <c r="A43" s="63" t="s">
        <v>129</v>
      </c>
      <c r="B43" s="127" t="b">
        <v>1</v>
      </c>
      <c r="C43" s="67" t="str">
        <f>_xll.qlIMMNextCode(C42,B43,Trigger)</f>
        <v>U9</v>
      </c>
      <c r="D43" s="136"/>
      <c r="E43" s="136"/>
      <c r="F43" s="136"/>
      <c r="G43" s="65" t="str">
        <f t="shared" si="12"/>
        <v>UsdLibor3M</v>
      </c>
      <c r="H43" s="130" t="str">
        <f t="shared" si="13"/>
        <v>USDFUT3MU9_Quote</v>
      </c>
      <c r="I43" s="130" t="str">
        <f t="shared" si="14"/>
        <v>USDFUT3MU9ConvAdj_Quote</v>
      </c>
      <c r="J43" s="69" t="str">
        <f>_xll.qlFuturesRateHelper(,H43,$H$24,C43,G43,I43,Permanent,Trigger,ObjectOverwrite)</f>
        <v>obj_00334#0296</v>
      </c>
      <c r="L43" s="12" t="str">
        <f t="shared" si="10"/>
        <v>FUT</v>
      </c>
      <c r="M43" s="106" t="str">
        <f t="shared" si="11"/>
        <v>obj_00338#0296</v>
      </c>
      <c r="N43" s="160" t="str">
        <f>IFERROR(_xll.qlRateHelperQuoteName(M43,Trigger),"--")</f>
        <v>USDFUT3MU0_Quote</v>
      </c>
      <c r="O43" s="165">
        <f>IFERROR(_xll.qlRateHelperQuoteValue($M43,Trigger),"--")</f>
        <v>98.117500000000007</v>
      </c>
      <c r="P43" s="111" t="b">
        <v>1</v>
      </c>
      <c r="Q43" s="106">
        <v>30</v>
      </c>
      <c r="R43" s="106">
        <v>21</v>
      </c>
      <c r="S43" s="113">
        <f>IFERROR(_xll.qlRateHelperEarliestDate(M43,Trigger),"--")</f>
        <v>44090</v>
      </c>
      <c r="T43" s="113">
        <f>IFERROR(_xll.qlRateHelperPillarDate(M43,Trigger),"--")</f>
        <v>44181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5" t="str">
        <f>IFERROR(_xll.qlRateHelperRate(W43,Trigger),"")</f>
        <v/>
      </c>
      <c r="Z43" s="115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3" t="e">
        <v>#N/A</v>
      </c>
    </row>
    <row r="44" spans="1:29" ht="11.25" customHeight="1" x14ac:dyDescent="0.2">
      <c r="A44" s="63" t="s">
        <v>129</v>
      </c>
      <c r="B44" s="127" t="b">
        <v>1</v>
      </c>
      <c r="C44" s="67" t="str">
        <f>_xll.qlIMMNextCode(C43,B44,Trigger)</f>
        <v>Z9</v>
      </c>
      <c r="D44" s="136"/>
      <c r="E44" s="136"/>
      <c r="F44" s="136"/>
      <c r="G44" s="65" t="str">
        <f t="shared" si="12"/>
        <v>UsdLibor3M</v>
      </c>
      <c r="H44" s="130" t="str">
        <f t="shared" si="13"/>
        <v>USDFUT3MZ9_Quote</v>
      </c>
      <c r="I44" s="130" t="str">
        <f t="shared" si="14"/>
        <v>USDFUT3MZ9ConvAdj_Quote</v>
      </c>
      <c r="J44" s="69" t="str">
        <f>_xll.qlFuturesRateHelper(,H44,$H$24,C44,G44,I44,Permanent,Trigger,ObjectOverwrite)</f>
        <v>obj_00336#0296</v>
      </c>
      <c r="L44" s="148" t="str">
        <f>A50</f>
        <v>Sw</v>
      </c>
      <c r="M44" s="149" t="str">
        <f>IF(ISBLANK(J50),"--",J50)</f>
        <v>--</v>
      </c>
      <c r="N44" s="161" t="str">
        <f>IFERROR(_xll.qlRateHelperQuoteName(M44,Trigger),"--")</f>
        <v>--</v>
      </c>
      <c r="O44" s="151" t="str">
        <f>IFERROR(_xll.qlRateHelperQuoteValue($M44,Trigger),"--")</f>
        <v>--</v>
      </c>
      <c r="P44" s="150" t="b">
        <v>0</v>
      </c>
      <c r="Q44" s="149">
        <v>50</v>
      </c>
      <c r="R44" s="149">
        <v>1</v>
      </c>
      <c r="S44" s="152" t="str">
        <f>IFERROR(_xll.qlRateHelperEarliestDate(M44,Trigger),"--")</f>
        <v>--</v>
      </c>
      <c r="T44" s="152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5" t="str">
        <f>IFERROR(_xll.qlRateHelperRate(W44,Trigger),"")</f>
        <v/>
      </c>
      <c r="Z44" s="115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3" t="e">
        <v>#N/A</v>
      </c>
    </row>
    <row r="45" spans="1:29" ht="11.25" customHeight="1" x14ac:dyDescent="0.2">
      <c r="A45" s="63" t="s">
        <v>129</v>
      </c>
      <c r="B45" s="127" t="b">
        <v>1</v>
      </c>
      <c r="C45" s="67" t="str">
        <f>_xll.qlIMMNextCode(C44,B45,Trigger)</f>
        <v>H0</v>
      </c>
      <c r="D45" s="136"/>
      <c r="E45" s="136"/>
      <c r="F45" s="136"/>
      <c r="G45" s="65" t="str">
        <f t="shared" si="12"/>
        <v>UsdLibor3M</v>
      </c>
      <c r="H45" s="130" t="str">
        <f t="shared" si="13"/>
        <v>USDFUT3MH0_Quote</v>
      </c>
      <c r="I45" s="130" t="str">
        <f t="shared" si="14"/>
        <v>USDFUT3MH0ConvAdj_Quote</v>
      </c>
      <c r="J45" s="69" t="str">
        <f>_xll.qlFuturesRateHelper(,H45,$H$24,C45,G45,I45,Permanent,Trigger,ObjectOverwrite)</f>
        <v>obj_00335#0296</v>
      </c>
      <c r="L45" s="76" t="str">
        <f t="shared" ref="L45:L81" si="15">A51</f>
        <v>Sw</v>
      </c>
      <c r="M45" s="153" t="str">
        <f t="shared" ref="M45:M81" si="16">IF(ISBLANK(J51),"--",J51)</f>
        <v>--</v>
      </c>
      <c r="N45" s="162" t="str">
        <f>IFERROR(_xll.qlRateHelperQuoteName(M45,Trigger),"--")</f>
        <v>--</v>
      </c>
      <c r="O45" s="155" t="str">
        <f>IFERROR(_xll.qlRateHelperQuoteValue($M45,Trigger),"--")</f>
        <v>--</v>
      </c>
      <c r="P45" s="154" t="b">
        <v>0</v>
      </c>
      <c r="Q45" s="153">
        <v>50</v>
      </c>
      <c r="R45" s="153">
        <v>1</v>
      </c>
      <c r="S45" s="156" t="str">
        <f>IFERROR(_xll.qlRateHelperEarliestDate(M45,Trigger),"--")</f>
        <v>--</v>
      </c>
      <c r="T45" s="156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5" t="str">
        <f>IFERROR(_xll.qlRateHelperRate(W45,Trigger),"")</f>
        <v/>
      </c>
      <c r="Z45" s="115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3" t="e">
        <v>#N/A</v>
      </c>
    </row>
    <row r="46" spans="1:29" ht="11.25" customHeight="1" x14ac:dyDescent="0.2">
      <c r="A46" s="63" t="s">
        <v>129</v>
      </c>
      <c r="B46" s="127" t="b">
        <v>1</v>
      </c>
      <c r="C46" s="67" t="str">
        <f>_xll.qlIMMNextCode(C45,B46,Trigger)</f>
        <v>M0</v>
      </c>
      <c r="D46" s="136"/>
      <c r="E46" s="136"/>
      <c r="F46" s="136"/>
      <c r="G46" s="65" t="str">
        <f t="shared" si="12"/>
        <v>UsdLibor3M</v>
      </c>
      <c r="H46" s="130" t="str">
        <f t="shared" si="13"/>
        <v>USDFUT3MM0_Quote</v>
      </c>
      <c r="I46" s="130" t="str">
        <f t="shared" si="14"/>
        <v>USDFUT3MM0ConvAdj_Quote</v>
      </c>
      <c r="J46" s="69" t="str">
        <f>_xll.qlFuturesRateHelper(,H46,$H$24,C46,G46,I46,Permanent,Trigger,ObjectOverwrite)</f>
        <v>obj_00337#0296</v>
      </c>
      <c r="L46" s="76" t="str">
        <f t="shared" si="15"/>
        <v>Sw</v>
      </c>
      <c r="M46" s="153" t="str">
        <f t="shared" si="16"/>
        <v>--</v>
      </c>
      <c r="N46" s="162" t="str">
        <f>IFERROR(_xll.qlRateHelperQuoteName(M46,Trigger),"--")</f>
        <v>--</v>
      </c>
      <c r="O46" s="155" t="str">
        <f>IFERROR(_xll.qlRateHelperQuoteValue($M46,Trigger),"--")</f>
        <v>--</v>
      </c>
      <c r="P46" s="154" t="b">
        <v>0</v>
      </c>
      <c r="Q46" s="153">
        <v>50</v>
      </c>
      <c r="R46" s="153">
        <v>1</v>
      </c>
      <c r="S46" s="156" t="str">
        <f>IFERROR(_xll.qlRateHelperEarliestDate(M46,Trigger),"--")</f>
        <v>--</v>
      </c>
      <c r="T46" s="156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5" t="str">
        <f>IFERROR(_xll.qlRateHelperRate(W46,Trigger),"")</f>
        <v/>
      </c>
      <c r="Z46" s="115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3" t="e">
        <v>#N/A</v>
      </c>
    </row>
    <row r="47" spans="1:29" ht="11.25" customHeight="1" x14ac:dyDescent="0.2">
      <c r="A47" s="1" t="s">
        <v>129</v>
      </c>
      <c r="B47" s="128" t="b">
        <v>1</v>
      </c>
      <c r="C47" s="10" t="str">
        <f>_xll.qlIMMNextCode(C46,B47,Trigger)</f>
        <v>U0</v>
      </c>
      <c r="D47" s="137"/>
      <c r="E47" s="137"/>
      <c r="F47" s="137"/>
      <c r="G47" s="7" t="str">
        <f t="shared" si="12"/>
        <v>UsdLibor3M</v>
      </c>
      <c r="H47" s="131" t="str">
        <f t="shared" si="13"/>
        <v>USDFUT3MU0_Quote</v>
      </c>
      <c r="I47" s="131" t="str">
        <f t="shared" si="14"/>
        <v>USDFUT3MU0ConvAdj_Quote</v>
      </c>
      <c r="J47" s="3" t="str">
        <f>_xll.qlFuturesRateHelper(,H47,$H$24,C47,G47,I47,Permanent,Trigger,ObjectOverwrite)</f>
        <v>obj_00338#0296</v>
      </c>
      <c r="L47" s="76" t="str">
        <f t="shared" si="15"/>
        <v>Sw</v>
      </c>
      <c r="M47" s="153" t="str">
        <f t="shared" si="16"/>
        <v>--</v>
      </c>
      <c r="N47" s="162" t="str">
        <f>IFERROR(_xll.qlRateHelperQuoteName(M47,Trigger),"--")</f>
        <v>--</v>
      </c>
      <c r="O47" s="155" t="str">
        <f>IFERROR(_xll.qlRateHelperQuoteValue($M47,Trigger),"--")</f>
        <v>--</v>
      </c>
      <c r="P47" s="154" t="b">
        <v>0</v>
      </c>
      <c r="Q47" s="153">
        <v>50</v>
      </c>
      <c r="R47" s="153">
        <v>1</v>
      </c>
      <c r="S47" s="156" t="str">
        <f>IFERROR(_xll.qlRateHelperEarliestDate(M47,Trigger),"--")</f>
        <v>--</v>
      </c>
      <c r="T47" s="156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5" t="str">
        <f>IFERROR(_xll.qlRateHelperRate(W47,Trigger),"")</f>
        <v/>
      </c>
      <c r="Z47" s="115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3" t="e">
        <v>#N/A</v>
      </c>
    </row>
    <row r="48" spans="1:29" ht="11.25" customHeight="1" x14ac:dyDescent="0.2">
      <c r="G48" s="54" t="s">
        <v>149</v>
      </c>
      <c r="H48" s="54" t="s">
        <v>150</v>
      </c>
      <c r="L48" s="76" t="str">
        <f t="shared" si="15"/>
        <v>Sw</v>
      </c>
      <c r="M48" s="153" t="str">
        <f t="shared" si="16"/>
        <v>--</v>
      </c>
      <c r="N48" s="162" t="str">
        <f>IFERROR(_xll.qlRateHelperQuoteName(M48,Trigger),"--")</f>
        <v>--</v>
      </c>
      <c r="O48" s="155" t="str">
        <f>IFERROR(_xll.qlRateHelperQuoteValue($M48,Trigger),"--")</f>
        <v>--</v>
      </c>
      <c r="P48" s="154" t="b">
        <v>0</v>
      </c>
      <c r="Q48" s="153">
        <v>50</v>
      </c>
      <c r="R48" s="153">
        <v>1</v>
      </c>
      <c r="S48" s="156" t="str">
        <f>IFERROR(_xll.qlRateHelperEarliestDate(M48,Trigger),"--")</f>
        <v>--</v>
      </c>
      <c r="T48" s="156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5" t="str">
        <f>IFERROR(_xll.qlRateHelperRate(W48,Trigger),"")</f>
        <v/>
      </c>
      <c r="Z48" s="115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3" t="e">
        <v>#N/A</v>
      </c>
    </row>
    <row r="49" spans="1:29" ht="11.25" customHeight="1" x14ac:dyDescent="0.2">
      <c r="A49" s="70" t="s">
        <v>9</v>
      </c>
      <c r="B49" s="70" t="s">
        <v>30</v>
      </c>
      <c r="C49" s="70" t="s">
        <v>151</v>
      </c>
      <c r="D49" s="70" t="s">
        <v>5</v>
      </c>
      <c r="E49" s="70" t="s">
        <v>35</v>
      </c>
      <c r="F49" s="70" t="s">
        <v>152</v>
      </c>
      <c r="G49" s="70" t="s">
        <v>4</v>
      </c>
      <c r="H49" s="70" t="s">
        <v>1</v>
      </c>
      <c r="I49" s="70" t="s">
        <v>148</v>
      </c>
      <c r="J49" s="70" t="s">
        <v>25</v>
      </c>
      <c r="L49" s="76" t="str">
        <f t="shared" si="15"/>
        <v>Sw</v>
      </c>
      <c r="M49" s="153" t="str">
        <f t="shared" si="16"/>
        <v>obj_002da#0311</v>
      </c>
      <c r="N49" s="162" t="str">
        <f>IFERROR(_xll.qlRateHelperQuoteName(M49,Trigger),"--")</f>
        <v>USDAM3L3Y_Quote</v>
      </c>
      <c r="O49" s="155">
        <f>IFERROR(_xll.qlRateHelperQuoteValue($M49,Trigger),"--")</f>
        <v>1.0369999999999999E-2</v>
      </c>
      <c r="P49" s="154" t="b">
        <v>1</v>
      </c>
      <c r="Q49" s="153">
        <v>50</v>
      </c>
      <c r="R49" s="153">
        <v>1</v>
      </c>
      <c r="S49" s="156">
        <f>IFERROR(_xll.qlRateHelperEarliestDate(M49,Trigger),"--")</f>
        <v>42450</v>
      </c>
      <c r="T49" s="156">
        <f>IFERROR(_xll.qlRateHelperPillarDate(M49,Trigger),"--")</f>
        <v>43545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5" t="str">
        <f>IFERROR(_xll.qlRateHelperRate(W49,Trigger),"")</f>
        <v/>
      </c>
      <c r="Z49" s="115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3" t="e">
        <v>#N/A</v>
      </c>
    </row>
    <row r="50" spans="1:29" ht="11.25" customHeight="1" x14ac:dyDescent="0.2">
      <c r="A50" s="57" t="s">
        <v>26</v>
      </c>
      <c r="B50" s="58" t="s">
        <v>29</v>
      </c>
      <c r="C50" s="59" t="s">
        <v>6</v>
      </c>
      <c r="D50" s="65" t="s">
        <v>8</v>
      </c>
      <c r="E50" s="65" t="s">
        <v>7</v>
      </c>
      <c r="F50" s="65" t="s">
        <v>28</v>
      </c>
      <c r="G50" s="65" t="str">
        <f t="shared" ref="G50:G87" si="17">PROPER(Currency)&amp;FamilyName&amp;Tenor</f>
        <v>UsdLibor3M</v>
      </c>
      <c r="H50" s="63" t="str">
        <f t="shared" ref="H50:H87" si="18">Currency&amp;$G$48&amp;$H$48&amp;$B50&amp;"_Quote"</f>
        <v>USDAM3L1Y_Quote</v>
      </c>
      <c r="I50" s="139">
        <v>0</v>
      </c>
      <c r="J50" s="62"/>
      <c r="L50" s="76" t="str">
        <f t="shared" si="15"/>
        <v>Sw</v>
      </c>
      <c r="M50" s="153" t="str">
        <f t="shared" si="16"/>
        <v>obj_002cd#0311</v>
      </c>
      <c r="N50" s="162" t="str">
        <f>IFERROR(_xll.qlRateHelperQuoteName(M50,Trigger),"--")</f>
        <v>USDAM3L4Y_Quote</v>
      </c>
      <c r="O50" s="155">
        <f>IFERROR(_xll.qlRateHelperQuoteValue($M50,Trigger),"--")</f>
        <v>1.1599999999999999E-2</v>
      </c>
      <c r="P50" s="154" t="b">
        <v>1</v>
      </c>
      <c r="Q50" s="153">
        <v>50</v>
      </c>
      <c r="R50" s="153">
        <v>1</v>
      </c>
      <c r="S50" s="156">
        <f>IFERROR(_xll.qlRateHelperEarliestDate(M50,Trigger),"--")</f>
        <v>42450</v>
      </c>
      <c r="T50" s="156">
        <f>IFERROR(_xll.qlRateHelperPillarDate(M50,Trigger),"--")</f>
        <v>43913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5" t="str">
        <f>IFERROR(_xll.qlRateHelperRate(W50,Trigger),"")</f>
        <v/>
      </c>
      <c r="Z50" s="115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3" t="e">
        <v>#N/A</v>
      </c>
    </row>
    <row r="51" spans="1:29" ht="11.25" customHeight="1" x14ac:dyDescent="0.2">
      <c r="A51" s="63" t="s">
        <v>26</v>
      </c>
      <c r="B51" s="64" t="s">
        <v>63</v>
      </c>
      <c r="C51" s="65" t="s">
        <v>6</v>
      </c>
      <c r="D51" s="65" t="s">
        <v>8</v>
      </c>
      <c r="E51" s="65" t="s">
        <v>7</v>
      </c>
      <c r="F51" s="65" t="s">
        <v>28</v>
      </c>
      <c r="G51" s="65" t="str">
        <f t="shared" si="17"/>
        <v>UsdLibor3M</v>
      </c>
      <c r="H51" s="63" t="str">
        <f t="shared" si="18"/>
        <v>USDAM3L15M_Quote</v>
      </c>
      <c r="I51" s="140">
        <v>0</v>
      </c>
      <c r="J51" s="69"/>
      <c r="L51" s="76" t="str">
        <f t="shared" si="15"/>
        <v>Sw</v>
      </c>
      <c r="M51" s="153" t="str">
        <f t="shared" si="16"/>
        <v>obj_002cc#0311</v>
      </c>
      <c r="N51" s="162" t="str">
        <f>IFERROR(_xll.qlRateHelperQuoteName(M51,Trigger),"--")</f>
        <v>USDAM3L5Y_Quote</v>
      </c>
      <c r="O51" s="155">
        <f>IFERROR(_xll.qlRateHelperQuoteValue($M51,Trigger),"--")</f>
        <v>1.272E-2</v>
      </c>
      <c r="P51" s="154" t="b">
        <v>1</v>
      </c>
      <c r="Q51" s="153">
        <v>50</v>
      </c>
      <c r="R51" s="153">
        <v>1</v>
      </c>
      <c r="S51" s="156">
        <f>IFERROR(_xll.qlRateHelperEarliestDate(M51,Trigger),"--")</f>
        <v>42450</v>
      </c>
      <c r="T51" s="156">
        <f>IFERROR(_xll.qlRateHelperPillarDate(M51,Trigger),"--")</f>
        <v>44277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5" t="str">
        <f>IFERROR(_xll.qlRateHelperRate(W51,Trigger),"")</f>
        <v/>
      </c>
      <c r="Z51" s="115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3" t="e">
        <v>#N/A</v>
      </c>
    </row>
    <row r="52" spans="1:29" ht="11.25" customHeight="1" x14ac:dyDescent="0.2">
      <c r="A52" s="63" t="s">
        <v>26</v>
      </c>
      <c r="B52" s="64" t="s">
        <v>66</v>
      </c>
      <c r="C52" s="65" t="s">
        <v>6</v>
      </c>
      <c r="D52" s="65" t="s">
        <v>8</v>
      </c>
      <c r="E52" s="65" t="s">
        <v>7</v>
      </c>
      <c r="F52" s="65" t="s">
        <v>28</v>
      </c>
      <c r="G52" s="65" t="str">
        <f t="shared" si="17"/>
        <v>UsdLibor3M</v>
      </c>
      <c r="H52" s="63" t="str">
        <f t="shared" si="18"/>
        <v>USDAM3L18M_Quote</v>
      </c>
      <c r="I52" s="140">
        <v>0</v>
      </c>
      <c r="J52" s="69"/>
      <c r="L52" s="76" t="str">
        <f t="shared" si="15"/>
        <v>Sw</v>
      </c>
      <c r="M52" s="153" t="str">
        <f t="shared" si="16"/>
        <v>obj_002d7#0311</v>
      </c>
      <c r="N52" s="162" t="str">
        <f>IFERROR(_xll.qlRateHelperQuoteName(M52,Trigger),"--")</f>
        <v>USDAM3L6Y_Quote</v>
      </c>
      <c r="O52" s="155">
        <f>IFERROR(_xll.qlRateHelperQuoteValue($M52,Trigger),"--")</f>
        <v>1.3780000000000001E-2</v>
      </c>
      <c r="P52" s="154" t="b">
        <v>1</v>
      </c>
      <c r="Q52" s="153">
        <v>50</v>
      </c>
      <c r="R52" s="153">
        <v>1</v>
      </c>
      <c r="S52" s="156">
        <f>IFERROR(_xll.qlRateHelperEarliestDate(M52,Trigger),"--")</f>
        <v>42450</v>
      </c>
      <c r="T52" s="156">
        <f>IFERROR(_xll.qlRateHelperPillarDate(M52,Trigger),"--")</f>
        <v>44641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5" t="str">
        <f>IFERROR(_xll.qlRateHelperRate(W52,Trigger),"")</f>
        <v/>
      </c>
      <c r="Z52" s="115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3" t="e">
        <v>#N/A</v>
      </c>
    </row>
    <row r="53" spans="1:29" ht="11.25" customHeight="1" x14ac:dyDescent="0.2">
      <c r="A53" s="63" t="s">
        <v>26</v>
      </c>
      <c r="B53" s="64" t="s">
        <v>69</v>
      </c>
      <c r="C53" s="65" t="s">
        <v>6</v>
      </c>
      <c r="D53" s="65" t="s">
        <v>8</v>
      </c>
      <c r="E53" s="65" t="s">
        <v>7</v>
      </c>
      <c r="F53" s="65" t="s">
        <v>28</v>
      </c>
      <c r="G53" s="65" t="str">
        <f t="shared" si="17"/>
        <v>UsdLibor3M</v>
      </c>
      <c r="H53" s="63" t="str">
        <f t="shared" si="18"/>
        <v>USDAM3L21M_Quote</v>
      </c>
      <c r="I53" s="140">
        <v>0</v>
      </c>
      <c r="J53" s="69"/>
      <c r="L53" s="76" t="str">
        <f t="shared" si="15"/>
        <v>Sw</v>
      </c>
      <c r="M53" s="153" t="str">
        <f t="shared" si="16"/>
        <v>obj_002d2#0311</v>
      </c>
      <c r="N53" s="162" t="str">
        <f>IFERROR(_xll.qlRateHelperQuoteName(M53,Trigger),"--")</f>
        <v>USDAM3L7Y_Quote</v>
      </c>
      <c r="O53" s="155">
        <f>IFERROR(_xll.qlRateHelperQuoteValue($M53,Trigger),"--")</f>
        <v>1.474E-2</v>
      </c>
      <c r="P53" s="154" t="b">
        <v>1</v>
      </c>
      <c r="Q53" s="153">
        <v>50</v>
      </c>
      <c r="R53" s="153">
        <v>1</v>
      </c>
      <c r="S53" s="156">
        <f>IFERROR(_xll.qlRateHelperEarliestDate(M53,Trigger),"--")</f>
        <v>42450</v>
      </c>
      <c r="T53" s="156">
        <f>IFERROR(_xll.qlRateHelperPillarDate(M53,Trigger),"--")</f>
        <v>45006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5" t="str">
        <f>IFERROR(_xll.qlRateHelperRate(W53,Trigger),"")</f>
        <v/>
      </c>
      <c r="Z53" s="115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3" t="e">
        <v>#N/A</v>
      </c>
    </row>
    <row r="54" spans="1:29" ht="11.25" customHeight="1" x14ac:dyDescent="0.2">
      <c r="A54" s="63" t="s">
        <v>26</v>
      </c>
      <c r="B54" s="64" t="s">
        <v>72</v>
      </c>
      <c r="C54" s="65" t="s">
        <v>6</v>
      </c>
      <c r="D54" s="65" t="s">
        <v>8</v>
      </c>
      <c r="E54" s="65" t="s">
        <v>7</v>
      </c>
      <c r="F54" s="65" t="s">
        <v>28</v>
      </c>
      <c r="G54" s="65" t="str">
        <f t="shared" si="17"/>
        <v>UsdLibor3M</v>
      </c>
      <c r="H54" s="63" t="str">
        <f t="shared" si="18"/>
        <v>USDAM3L2Y_Quote</v>
      </c>
      <c r="I54" s="140">
        <v>0</v>
      </c>
      <c r="J54" s="69"/>
      <c r="L54" s="76" t="str">
        <f t="shared" si="15"/>
        <v>Sw</v>
      </c>
      <c r="M54" s="153" t="str">
        <f t="shared" si="16"/>
        <v>obj_002b8#0311</v>
      </c>
      <c r="N54" s="162" t="str">
        <f>IFERROR(_xll.qlRateHelperQuoteName(M54,Trigger),"--")</f>
        <v>USDAM3L8Y_Quote</v>
      </c>
      <c r="O54" s="155">
        <f>IFERROR(_xll.qlRateHelperQuoteValue($M54,Trigger),"--")</f>
        <v>1.559E-2</v>
      </c>
      <c r="P54" s="154" t="b">
        <v>1</v>
      </c>
      <c r="Q54" s="153">
        <v>50</v>
      </c>
      <c r="R54" s="153">
        <v>1</v>
      </c>
      <c r="S54" s="156">
        <f>IFERROR(_xll.qlRateHelperEarliestDate(M54,Trigger),"--")</f>
        <v>42450</v>
      </c>
      <c r="T54" s="156">
        <f>IFERROR(_xll.qlRateHelperPillarDate(M54,Trigger),"--")</f>
        <v>45372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5" t="str">
        <f>IFERROR(_xll.qlRateHelperRate(W54,Trigger),"")</f>
        <v/>
      </c>
      <c r="Z54" s="115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3" t="e">
        <v>#N/A</v>
      </c>
    </row>
    <row r="55" spans="1:29" ht="11.25" customHeight="1" x14ac:dyDescent="0.2">
      <c r="A55" s="63" t="s">
        <v>26</v>
      </c>
      <c r="B55" s="64" t="s">
        <v>76</v>
      </c>
      <c r="C55" s="65" t="s">
        <v>6</v>
      </c>
      <c r="D55" s="65" t="s">
        <v>8</v>
      </c>
      <c r="E55" s="65" t="s">
        <v>7</v>
      </c>
      <c r="F55" s="65" t="s">
        <v>28</v>
      </c>
      <c r="G55" s="65" t="str">
        <f t="shared" si="17"/>
        <v>UsdLibor3M</v>
      </c>
      <c r="H55" s="63" t="str">
        <f t="shared" si="18"/>
        <v>USDAM3L3Y_Quote</v>
      </c>
      <c r="I55" s="140">
        <v>0</v>
      </c>
      <c r="J55" s="69" t="str">
        <f>_xll.qlSwapRateHelper2(,H55,,B55,JoinCalendar,USD3M!D55,USD3M!E55,USD3M!F55,USD3M!G55,USD3M!I55,USD3M!C55,Discounting,PillarDate,,Permanent,Trigger,ObjectOverwrite)</f>
        <v>obj_002da#0311</v>
      </c>
      <c r="L55" s="76" t="str">
        <f t="shared" si="15"/>
        <v>Sw</v>
      </c>
      <c r="M55" s="153" t="str">
        <f t="shared" si="16"/>
        <v>obj_002e5#0311</v>
      </c>
      <c r="N55" s="162" t="str">
        <f>IFERROR(_xll.qlRateHelperQuoteName(M55,Trigger),"--")</f>
        <v>USDAM3L9Y_Quote</v>
      </c>
      <c r="O55" s="155">
        <f>IFERROR(_xll.qlRateHelperQuoteValue($M55,Trigger),"--")</f>
        <v>1.6330000000000001E-2</v>
      </c>
      <c r="P55" s="154" t="b">
        <v>1</v>
      </c>
      <c r="Q55" s="153">
        <v>50</v>
      </c>
      <c r="R55" s="153">
        <v>1</v>
      </c>
      <c r="S55" s="156">
        <f>IFERROR(_xll.qlRateHelperEarliestDate(M55,Trigger),"--")</f>
        <v>42450</v>
      </c>
      <c r="T55" s="156">
        <f>IFERROR(_xll.qlRateHelperPillarDate(M55,Trigger),"--")</f>
        <v>45737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5" t="str">
        <f>IFERROR(_xll.qlRateHelperRate(W55,Trigger),"")</f>
        <v/>
      </c>
      <c r="Z55" s="115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3" t="e">
        <v>#N/A</v>
      </c>
    </row>
    <row r="56" spans="1:29" ht="11.25" customHeight="1" x14ac:dyDescent="0.2">
      <c r="A56" s="63" t="s">
        <v>26</v>
      </c>
      <c r="B56" s="64" t="s">
        <v>80</v>
      </c>
      <c r="C56" s="65" t="s">
        <v>6</v>
      </c>
      <c r="D56" s="65" t="s">
        <v>8</v>
      </c>
      <c r="E56" s="65" t="s">
        <v>7</v>
      </c>
      <c r="F56" s="65" t="s">
        <v>28</v>
      </c>
      <c r="G56" s="65" t="str">
        <f t="shared" si="17"/>
        <v>UsdLibor3M</v>
      </c>
      <c r="H56" s="63" t="str">
        <f t="shared" si="18"/>
        <v>USDAM3L4Y_Quote</v>
      </c>
      <c r="I56" s="140">
        <v>0</v>
      </c>
      <c r="J56" s="69" t="str">
        <f>_xll.qlSwapRateHelper2(,H56,,B56,JoinCalendar,USD3M!D56,USD3M!E56,USD3M!F56,USD3M!G56,USD3M!I56,USD3M!C56,Discounting,PillarDate,,Permanent,Trigger,ObjectOverwrite)</f>
        <v>obj_002cd#0311</v>
      </c>
      <c r="L56" s="76" t="str">
        <f t="shared" si="15"/>
        <v>Sw</v>
      </c>
      <c r="M56" s="153" t="str">
        <f t="shared" si="16"/>
        <v>obj_002ba#0311</v>
      </c>
      <c r="N56" s="162" t="str">
        <f>IFERROR(_xll.qlRateHelperQuoteName(M56,Trigger),"--")</f>
        <v>USDAM3L10Y_Quote</v>
      </c>
      <c r="O56" s="155">
        <f>IFERROR(_xll.qlRateHelperQuoteValue($M56,Trigger),"--")</f>
        <v>1.7000000000000001E-2</v>
      </c>
      <c r="P56" s="154" t="b">
        <v>1</v>
      </c>
      <c r="Q56" s="153">
        <v>50</v>
      </c>
      <c r="R56" s="153">
        <v>1</v>
      </c>
      <c r="S56" s="156">
        <f>IFERROR(_xll.qlRateHelperEarliestDate(M56,Trigger),"--")</f>
        <v>42450</v>
      </c>
      <c r="T56" s="156">
        <f>IFERROR(_xll.qlRateHelperPillarDate(M56,Trigger),"--")</f>
        <v>46104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5" t="str">
        <f>IFERROR(_xll.qlRateHelperRate(W56,Trigger),"")</f>
        <v/>
      </c>
      <c r="Z56" s="115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3" t="e">
        <v>#N/A</v>
      </c>
    </row>
    <row r="57" spans="1:29" ht="11.25" customHeight="1" x14ac:dyDescent="0.2">
      <c r="A57" s="63" t="s">
        <v>26</v>
      </c>
      <c r="B57" s="64" t="s">
        <v>84</v>
      </c>
      <c r="C57" s="65" t="s">
        <v>6</v>
      </c>
      <c r="D57" s="65" t="s">
        <v>8</v>
      </c>
      <c r="E57" s="65" t="s">
        <v>7</v>
      </c>
      <c r="F57" s="65" t="s">
        <v>28</v>
      </c>
      <c r="G57" s="65" t="str">
        <f t="shared" si="17"/>
        <v>UsdLibor3M</v>
      </c>
      <c r="H57" s="63" t="str">
        <f t="shared" si="18"/>
        <v>USDAM3L5Y_Quote</v>
      </c>
      <c r="I57" s="140">
        <v>0</v>
      </c>
      <c r="J57" s="69" t="str">
        <f>_xll.qlSwapRateHelper2(,H57,,B57,JoinCalendar,USD3M!D57,USD3M!E57,USD3M!F57,USD3M!G57,USD3M!I57,USD3M!C57,Discounting,PillarDate,,Permanent,Trigger,ObjectOverwrite)</f>
        <v>obj_002cc#0311</v>
      </c>
      <c r="L57" s="76" t="str">
        <f t="shared" si="15"/>
        <v>Sw</v>
      </c>
      <c r="M57" s="154" t="str">
        <f t="shared" si="16"/>
        <v>--</v>
      </c>
      <c r="N57" s="162" t="str">
        <f>IFERROR(_xll.qlRateHelperQuoteName(M57,Trigger),"--")</f>
        <v>--</v>
      </c>
      <c r="O57" s="155" t="str">
        <f>IFERROR(_xll.qlRateHelperQuoteValue($M57,Trigger),"--")</f>
        <v>--</v>
      </c>
      <c r="P57" s="154" t="b">
        <v>0</v>
      </c>
      <c r="Q57" s="154">
        <v>50</v>
      </c>
      <c r="R57" s="154">
        <v>1</v>
      </c>
      <c r="S57" s="156" t="str">
        <f>IFERROR(_xll.qlRateHelperEarliestDate(M57,Trigger),"--")</f>
        <v>--</v>
      </c>
      <c r="T57" s="156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5" t="str">
        <f>IFERROR(_xll.qlRateHelperRate(W57,Trigger),"")</f>
        <v/>
      </c>
      <c r="Z57" s="115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3" t="e">
        <v>#N/A</v>
      </c>
    </row>
    <row r="58" spans="1:29" ht="11.25" customHeight="1" x14ac:dyDescent="0.2">
      <c r="A58" s="63" t="s">
        <v>26</v>
      </c>
      <c r="B58" s="64" t="s">
        <v>85</v>
      </c>
      <c r="C58" s="65" t="s">
        <v>6</v>
      </c>
      <c r="D58" s="65" t="s">
        <v>8</v>
      </c>
      <c r="E58" s="65" t="s">
        <v>7</v>
      </c>
      <c r="F58" s="65" t="s">
        <v>28</v>
      </c>
      <c r="G58" s="65" t="str">
        <f t="shared" si="17"/>
        <v>UsdLibor3M</v>
      </c>
      <c r="H58" s="63" t="str">
        <f t="shared" si="18"/>
        <v>USDAM3L6Y_Quote</v>
      </c>
      <c r="I58" s="140">
        <v>0</v>
      </c>
      <c r="J58" s="69" t="str">
        <f>_xll.qlSwapRateHelper2(,H58,,B58,JoinCalendar,USD3M!D58,USD3M!E58,USD3M!F58,USD3M!G58,USD3M!I58,USD3M!C58,Discounting,PillarDate,,Permanent,Trigger,ObjectOverwrite)</f>
        <v>obj_002d7#0311</v>
      </c>
      <c r="L58" s="76" t="str">
        <f t="shared" si="15"/>
        <v>Sw</v>
      </c>
      <c r="M58" s="154" t="str">
        <f t="shared" si="16"/>
        <v>obj_002c8#0311</v>
      </c>
      <c r="N58" s="162" t="str">
        <f>IFERROR(_xll.qlRateHelperQuoteName(M58,Trigger),"--")</f>
        <v>USDAM3L12Y_Quote</v>
      </c>
      <c r="O58" s="155">
        <f>IFERROR(_xll.qlRateHelperQuoteValue($M58,Trigger),"--")</f>
        <v>1.8149999999999999E-2</v>
      </c>
      <c r="P58" s="154" t="b">
        <v>1</v>
      </c>
      <c r="Q58" s="154">
        <v>50</v>
      </c>
      <c r="R58" s="154">
        <v>1</v>
      </c>
      <c r="S58" s="156">
        <f>IFERROR(_xll.qlRateHelperEarliestDate(M58,Trigger),"--")</f>
        <v>42450</v>
      </c>
      <c r="T58" s="156">
        <f>IFERROR(_xll.qlRateHelperPillarDate(M58,Trigger),"--")</f>
        <v>46833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5" t="str">
        <f>IFERROR(_xll.qlRateHelperRate(W58,Trigger),"")</f>
        <v/>
      </c>
      <c r="Z58" s="115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3" t="e">
        <v>#N/A</v>
      </c>
    </row>
    <row r="59" spans="1:29" ht="11.25" customHeight="1" x14ac:dyDescent="0.2">
      <c r="A59" s="63" t="s">
        <v>26</v>
      </c>
      <c r="B59" s="64" t="s">
        <v>86</v>
      </c>
      <c r="C59" s="65" t="s">
        <v>6</v>
      </c>
      <c r="D59" s="65" t="s">
        <v>8</v>
      </c>
      <c r="E59" s="65" t="s">
        <v>7</v>
      </c>
      <c r="F59" s="65" t="s">
        <v>28</v>
      </c>
      <c r="G59" s="65" t="str">
        <f t="shared" si="17"/>
        <v>UsdLibor3M</v>
      </c>
      <c r="H59" s="63" t="str">
        <f t="shared" si="18"/>
        <v>USDAM3L7Y_Quote</v>
      </c>
      <c r="I59" s="140">
        <v>0</v>
      </c>
      <c r="J59" s="69" t="str">
        <f>_xll.qlSwapRateHelper2(,H59,,B59,JoinCalendar,USD3M!D59,USD3M!E59,USD3M!F59,USD3M!G59,USD3M!I59,USD3M!C59,Discounting,PillarDate,,Permanent,Trigger,ObjectOverwrite)</f>
        <v>obj_002d2#0311</v>
      </c>
      <c r="L59" s="76" t="str">
        <f t="shared" si="15"/>
        <v>Sw</v>
      </c>
      <c r="M59" s="154" t="str">
        <f t="shared" si="16"/>
        <v>--</v>
      </c>
      <c r="N59" s="162" t="str">
        <f>IFERROR(_xll.qlRateHelperQuoteName(M59,Trigger),"--")</f>
        <v>--</v>
      </c>
      <c r="O59" s="155" t="str">
        <f>IFERROR(_xll.qlRateHelperQuoteValue($M59,Trigger),"--")</f>
        <v>--</v>
      </c>
      <c r="P59" s="154" t="b">
        <v>0</v>
      </c>
      <c r="Q59" s="154">
        <v>50</v>
      </c>
      <c r="R59" s="154">
        <v>1</v>
      </c>
      <c r="S59" s="156" t="str">
        <f>IFERROR(_xll.qlRateHelperEarliestDate(M59,Trigger),"--")</f>
        <v>--</v>
      </c>
      <c r="T59" s="156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5" t="str">
        <f>IFERROR(_xll.qlRateHelperRate(W59,Trigger),"")</f>
        <v/>
      </c>
      <c r="Z59" s="115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3" t="e">
        <v>#N/A</v>
      </c>
    </row>
    <row r="60" spans="1:29" ht="11.25" customHeight="1" x14ac:dyDescent="0.2">
      <c r="A60" s="63" t="s">
        <v>26</v>
      </c>
      <c r="B60" s="64" t="s">
        <v>87</v>
      </c>
      <c r="C60" s="65" t="s">
        <v>6</v>
      </c>
      <c r="D60" s="65" t="s">
        <v>8</v>
      </c>
      <c r="E60" s="65" t="s">
        <v>7</v>
      </c>
      <c r="F60" s="65" t="s">
        <v>28</v>
      </c>
      <c r="G60" s="65" t="str">
        <f t="shared" si="17"/>
        <v>UsdLibor3M</v>
      </c>
      <c r="H60" s="63" t="str">
        <f t="shared" si="18"/>
        <v>USDAM3L8Y_Quote</v>
      </c>
      <c r="I60" s="140">
        <v>0</v>
      </c>
      <c r="J60" s="69" t="str">
        <f>_xll.qlSwapRateHelper2(,H60,,B60,JoinCalendar,USD3M!D60,USD3M!E60,USD3M!F60,USD3M!G60,USD3M!I60,USD3M!C60,Discounting,PillarDate,,Permanent,Trigger,ObjectOverwrite)</f>
        <v>obj_002b8#0311</v>
      </c>
      <c r="L60" s="76" t="str">
        <f t="shared" si="15"/>
        <v>Sw</v>
      </c>
      <c r="M60" s="154" t="str">
        <f t="shared" si="16"/>
        <v>--</v>
      </c>
      <c r="N60" s="162" t="str">
        <f>IFERROR(_xll.qlRateHelperQuoteName(M60,Trigger),"--")</f>
        <v>--</v>
      </c>
      <c r="O60" s="155" t="str">
        <f>IFERROR(_xll.qlRateHelperQuoteValue($M60,Trigger),"--")</f>
        <v>--</v>
      </c>
      <c r="P60" s="154" t="b">
        <v>0</v>
      </c>
      <c r="Q60" s="154">
        <v>50</v>
      </c>
      <c r="R60" s="154">
        <v>1</v>
      </c>
      <c r="S60" s="156" t="str">
        <f>IFERROR(_xll.qlRateHelperEarliestDate(M60,Trigger),"--")</f>
        <v>--</v>
      </c>
      <c r="T60" s="156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5" t="str">
        <f>IFERROR(_xll.qlRateHelperRate(W60,Trigger),"")</f>
        <v/>
      </c>
      <c r="Z60" s="115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3" t="e">
        <v>#N/A</v>
      </c>
    </row>
    <row r="61" spans="1:29" ht="11.25" customHeight="1" x14ac:dyDescent="0.2">
      <c r="A61" s="63" t="s">
        <v>26</v>
      </c>
      <c r="B61" s="64" t="s">
        <v>88</v>
      </c>
      <c r="C61" s="65" t="s">
        <v>6</v>
      </c>
      <c r="D61" s="65" t="s">
        <v>8</v>
      </c>
      <c r="E61" s="65" t="s">
        <v>7</v>
      </c>
      <c r="F61" s="65" t="s">
        <v>28</v>
      </c>
      <c r="G61" s="65" t="str">
        <f t="shared" si="17"/>
        <v>UsdLibor3M</v>
      </c>
      <c r="H61" s="63" t="str">
        <f t="shared" si="18"/>
        <v>USDAM3L9Y_Quote</v>
      </c>
      <c r="I61" s="140">
        <v>0</v>
      </c>
      <c r="J61" s="69" t="str">
        <f>_xll.qlSwapRateHelper2(,H61,,B61,JoinCalendar,USD3M!D61,USD3M!E61,USD3M!F61,USD3M!G61,USD3M!I61,USD3M!C61,Discounting,PillarDate,,Permanent,Trigger,ObjectOverwrite)</f>
        <v>obj_002e5#0311</v>
      </c>
      <c r="L61" s="76" t="str">
        <f t="shared" si="15"/>
        <v>Sw</v>
      </c>
      <c r="M61" s="154" t="str">
        <f t="shared" si="16"/>
        <v>obj_00281#0312</v>
      </c>
      <c r="N61" s="162" t="str">
        <f>IFERROR(_xll.qlRateHelperQuoteName(M61,Trigger),"--")</f>
        <v>USDAM3L15Y_Quote</v>
      </c>
      <c r="O61" s="155">
        <f>IFERROR(_xll.qlRateHelperQuoteValue($M61,Trigger),"--")</f>
        <v>1.9349999999999999E-2</v>
      </c>
      <c r="P61" s="154" t="b">
        <v>1</v>
      </c>
      <c r="Q61" s="154">
        <v>50</v>
      </c>
      <c r="R61" s="154">
        <v>1</v>
      </c>
      <c r="S61" s="156">
        <f>IFERROR(_xll.qlRateHelperEarliestDate(M61,Trigger),"--")</f>
        <v>42450</v>
      </c>
      <c r="T61" s="156">
        <f>IFERROR(_xll.qlRateHelperPillarDate(M61,Trigger),"--")</f>
        <v>47928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5" t="str">
        <f>IFERROR(_xll.qlRateHelperRate(W61,Trigger),"")</f>
        <v/>
      </c>
      <c r="Z61" s="115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3" t="e">
        <v>#N/A</v>
      </c>
    </row>
    <row r="62" spans="1:29" ht="11.25" customHeight="1" x14ac:dyDescent="0.2">
      <c r="A62" s="63" t="s">
        <v>26</v>
      </c>
      <c r="B62" s="64" t="s">
        <v>89</v>
      </c>
      <c r="C62" s="65" t="s">
        <v>6</v>
      </c>
      <c r="D62" s="65" t="s">
        <v>8</v>
      </c>
      <c r="E62" s="65" t="s">
        <v>7</v>
      </c>
      <c r="F62" s="65" t="s">
        <v>28</v>
      </c>
      <c r="G62" s="65" t="str">
        <f t="shared" si="17"/>
        <v>UsdLibor3M</v>
      </c>
      <c r="H62" s="63" t="str">
        <f t="shared" si="18"/>
        <v>USDAM3L10Y_Quote</v>
      </c>
      <c r="I62" s="140">
        <v>0</v>
      </c>
      <c r="J62" s="69" t="str">
        <f>_xll.qlSwapRateHelper2(,H62,,B62,JoinCalendar,USD3M!D62,USD3M!E62,USD3M!F62,USD3M!G62,USD3M!I62,USD3M!C62,Discounting,PillarDate,,Permanent,Trigger,ObjectOverwrite)</f>
        <v>obj_002ba#0311</v>
      </c>
      <c r="L62" s="76" t="str">
        <f t="shared" si="15"/>
        <v>Sw</v>
      </c>
      <c r="M62" s="154" t="str">
        <f t="shared" si="16"/>
        <v>--</v>
      </c>
      <c r="N62" s="162" t="str">
        <f>IFERROR(_xll.qlRateHelperQuoteName(M62,Trigger),"--")</f>
        <v>--</v>
      </c>
      <c r="O62" s="155" t="str">
        <f>IFERROR(_xll.qlRateHelperQuoteValue($M62,Trigger),"--")</f>
        <v>--</v>
      </c>
      <c r="P62" s="154" t="b">
        <v>0</v>
      </c>
      <c r="Q62" s="154">
        <v>50</v>
      </c>
      <c r="R62" s="154">
        <v>1</v>
      </c>
      <c r="S62" s="156" t="str">
        <f>IFERROR(_xll.qlRateHelperEarliestDate(M62,Trigger),"--")</f>
        <v>--</v>
      </c>
      <c r="T62" s="156" t="str">
        <f>IFERROR(_xll.qlRateHelperPillarDate(M62,Trigger),"--")</f>
        <v>--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5" t="str">
        <f>IFERROR(_xll.qlRateHelperRate(W62,Trigger),"")</f>
        <v/>
      </c>
      <c r="Z62" s="115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3" t="e">
        <v>#N/A</v>
      </c>
    </row>
    <row r="63" spans="1:29" ht="11.25" customHeight="1" x14ac:dyDescent="0.2">
      <c r="A63" s="63" t="s">
        <v>26</v>
      </c>
      <c r="B63" s="64" t="s">
        <v>133</v>
      </c>
      <c r="C63" s="65" t="s">
        <v>6</v>
      </c>
      <c r="D63" s="65" t="s">
        <v>8</v>
      </c>
      <c r="E63" s="65" t="s">
        <v>7</v>
      </c>
      <c r="F63" s="65" t="s">
        <v>28</v>
      </c>
      <c r="G63" s="65" t="str">
        <f t="shared" si="17"/>
        <v>UsdLibor3M</v>
      </c>
      <c r="H63" s="63" t="str">
        <f t="shared" si="18"/>
        <v>USDAM3L11Y_Quote</v>
      </c>
      <c r="I63" s="140">
        <v>0</v>
      </c>
      <c r="J63" s="69"/>
      <c r="L63" s="76" t="str">
        <f t="shared" si="15"/>
        <v>Sw</v>
      </c>
      <c r="M63" s="154" t="str">
        <f t="shared" si="16"/>
        <v>--</v>
      </c>
      <c r="N63" s="162" t="str">
        <f>IFERROR(_xll.qlRateHelperQuoteName(M63,Trigger),"--")</f>
        <v>--</v>
      </c>
      <c r="O63" s="155" t="str">
        <f>IFERROR(_xll.qlRateHelperQuoteValue($M63,Trigger),"--")</f>
        <v>--</v>
      </c>
      <c r="P63" s="154" t="b">
        <v>0</v>
      </c>
      <c r="Q63" s="154">
        <v>50</v>
      </c>
      <c r="R63" s="154">
        <v>1</v>
      </c>
      <c r="S63" s="156" t="str">
        <f>IFERROR(_xll.qlRateHelperEarliestDate(M63,Trigger),"--")</f>
        <v>--</v>
      </c>
      <c r="T63" s="156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5" t="str">
        <f>IFERROR(_xll.qlRateHelperRate(W63,Trigger),"")</f>
        <v/>
      </c>
      <c r="Z63" s="115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3" t="e">
        <v>#N/A</v>
      </c>
    </row>
    <row r="64" spans="1:29" ht="11.25" customHeight="1" x14ac:dyDescent="0.2">
      <c r="A64" s="63" t="s">
        <v>26</v>
      </c>
      <c r="B64" s="64" t="s">
        <v>90</v>
      </c>
      <c r="C64" s="65" t="s">
        <v>6</v>
      </c>
      <c r="D64" s="65" t="s">
        <v>8</v>
      </c>
      <c r="E64" s="65" t="s">
        <v>7</v>
      </c>
      <c r="F64" s="65" t="s">
        <v>28</v>
      </c>
      <c r="G64" s="65" t="str">
        <f t="shared" si="17"/>
        <v>UsdLibor3M</v>
      </c>
      <c r="H64" s="63" t="str">
        <f t="shared" si="18"/>
        <v>USDAM3L12Y_Quote</v>
      </c>
      <c r="I64" s="140">
        <v>0</v>
      </c>
      <c r="J64" s="69" t="str">
        <f>_xll.qlSwapRateHelper2(,H64,,B64,JoinCalendar,USD3M!D64,USD3M!E64,USD3M!F64,USD3M!G64,USD3M!I64,USD3M!C64,Discounting,PillarDate,,Permanent,Trigger,ObjectOverwrite)</f>
        <v>obj_002c8#0311</v>
      </c>
      <c r="L64" s="76" t="str">
        <f t="shared" si="15"/>
        <v>Sw</v>
      </c>
      <c r="M64" s="154" t="str">
        <f t="shared" si="16"/>
        <v>--</v>
      </c>
      <c r="N64" s="162" t="str">
        <f>IFERROR(_xll.qlRateHelperQuoteName(M64,Trigger),"--")</f>
        <v>--</v>
      </c>
      <c r="O64" s="155" t="str">
        <f>IFERROR(_xll.qlRateHelperQuoteValue($M64,Trigger),"--")</f>
        <v>--</v>
      </c>
      <c r="P64" s="154" t="b">
        <v>0</v>
      </c>
      <c r="Q64" s="154">
        <v>50</v>
      </c>
      <c r="R64" s="154">
        <v>1</v>
      </c>
      <c r="S64" s="156" t="str">
        <f>IFERROR(_xll.qlRateHelperEarliestDate(M64,Trigger),"--")</f>
        <v>--</v>
      </c>
      <c r="T64" s="156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5" t="str">
        <f>IFERROR(_xll.qlRateHelperRate(W64,Trigger),"")</f>
        <v/>
      </c>
      <c r="Z64" s="115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3" t="e">
        <v>#N/A</v>
      </c>
    </row>
    <row r="65" spans="1:29" ht="11.25" customHeight="1" x14ac:dyDescent="0.2">
      <c r="A65" s="63" t="s">
        <v>26</v>
      </c>
      <c r="B65" s="64" t="s">
        <v>134</v>
      </c>
      <c r="C65" s="65" t="s">
        <v>6</v>
      </c>
      <c r="D65" s="65" t="s">
        <v>8</v>
      </c>
      <c r="E65" s="65" t="s">
        <v>7</v>
      </c>
      <c r="F65" s="65" t="s">
        <v>28</v>
      </c>
      <c r="G65" s="65" t="str">
        <f t="shared" si="17"/>
        <v>UsdLibor3M</v>
      </c>
      <c r="H65" s="63" t="str">
        <f t="shared" si="18"/>
        <v>USDAM3L13Y_Quote</v>
      </c>
      <c r="I65" s="140">
        <v>0</v>
      </c>
      <c r="J65" s="69"/>
      <c r="L65" s="76" t="str">
        <f t="shared" si="15"/>
        <v>Sw</v>
      </c>
      <c r="M65" s="154" t="str">
        <f t="shared" si="16"/>
        <v>--</v>
      </c>
      <c r="N65" s="162" t="str">
        <f>IFERROR(_xll.qlRateHelperQuoteName(M65,Trigger),"--")</f>
        <v>--</v>
      </c>
      <c r="O65" s="155" t="str">
        <f>IFERROR(_xll.qlRateHelperQuoteValue($M65,Trigger),"--")</f>
        <v>--</v>
      </c>
      <c r="P65" s="154" t="b">
        <v>0</v>
      </c>
      <c r="Q65" s="154">
        <v>50</v>
      </c>
      <c r="R65" s="154">
        <v>1</v>
      </c>
      <c r="S65" s="156" t="str">
        <f>IFERROR(_xll.qlRateHelperEarliestDate(M65,Trigger),"--")</f>
        <v>--</v>
      </c>
      <c r="T65" s="156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5" t="str">
        <f>IFERROR(_xll.qlRateHelperRate(W65,Trigger),"")</f>
        <v/>
      </c>
      <c r="Z65" s="115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3" t="e">
        <v>#N/A</v>
      </c>
    </row>
    <row r="66" spans="1:29" ht="11.25" customHeight="1" x14ac:dyDescent="0.2">
      <c r="A66" s="63" t="s">
        <v>26</v>
      </c>
      <c r="B66" s="64" t="s">
        <v>135</v>
      </c>
      <c r="C66" s="65" t="s">
        <v>6</v>
      </c>
      <c r="D66" s="65" t="s">
        <v>8</v>
      </c>
      <c r="E66" s="65" t="s">
        <v>7</v>
      </c>
      <c r="F66" s="65" t="s">
        <v>28</v>
      </c>
      <c r="G66" s="65" t="str">
        <f t="shared" si="17"/>
        <v>UsdLibor3M</v>
      </c>
      <c r="H66" s="63" t="str">
        <f t="shared" si="18"/>
        <v>USDAM3L14Y_Quote</v>
      </c>
      <c r="I66" s="140">
        <v>0</v>
      </c>
      <c r="J66" s="69"/>
      <c r="L66" s="76" t="str">
        <f t="shared" si="15"/>
        <v>Sw</v>
      </c>
      <c r="M66" s="154" t="str">
        <f t="shared" si="16"/>
        <v>obj_002a7#0311</v>
      </c>
      <c r="N66" s="162" t="str">
        <f>IFERROR(_xll.qlRateHelperQuoteName(M66,Trigger),"--")</f>
        <v>USDAM3L20Y_Quote</v>
      </c>
      <c r="O66" s="155">
        <f>IFERROR(_xll.qlRateHelperQuoteValue($M66,Trigger),"--")</f>
        <v>2.0550000000000002E-2</v>
      </c>
      <c r="P66" s="154" t="b">
        <v>1</v>
      </c>
      <c r="Q66" s="154">
        <v>50</v>
      </c>
      <c r="R66" s="154">
        <v>1</v>
      </c>
      <c r="S66" s="156">
        <f>IFERROR(_xll.qlRateHelperEarliestDate(M66,Trigger),"--")</f>
        <v>42450</v>
      </c>
      <c r="T66" s="156">
        <f>IFERROR(_xll.qlRateHelperPillarDate(M66,Trigger),"--")</f>
        <v>49755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5" t="str">
        <f>IFERROR(_xll.qlRateHelperRate(W66,Trigger),"")</f>
        <v/>
      </c>
      <c r="Z66" s="115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3" t="e">
        <v>#N/A</v>
      </c>
    </row>
    <row r="67" spans="1:29" ht="11.25" customHeight="1" x14ac:dyDescent="0.2">
      <c r="A67" s="63" t="s">
        <v>26</v>
      </c>
      <c r="B67" s="64" t="s">
        <v>91</v>
      </c>
      <c r="C67" s="65" t="s">
        <v>6</v>
      </c>
      <c r="D67" s="65" t="s">
        <v>8</v>
      </c>
      <c r="E67" s="65" t="s">
        <v>7</v>
      </c>
      <c r="F67" s="65" t="s">
        <v>28</v>
      </c>
      <c r="G67" s="65" t="str">
        <f t="shared" si="17"/>
        <v>UsdLibor3M</v>
      </c>
      <c r="H67" s="63" t="str">
        <f t="shared" si="18"/>
        <v>USDAM3L15Y_Quote</v>
      </c>
      <c r="I67" s="140">
        <v>0</v>
      </c>
      <c r="J67" s="69" t="str">
        <f>_xll.qlSwapRateHelper2(,H67,,B67,JoinCalendar,USD3M!D67,USD3M!E67,USD3M!F67,USD3M!G67,USD3M!I67,USD3M!C67,Discounting,PillarDate,,Permanent,Trigger,ObjectOverwrite)</f>
        <v>obj_00281#0312</v>
      </c>
      <c r="L67" s="76" t="str">
        <f t="shared" si="15"/>
        <v>Sw</v>
      </c>
      <c r="M67" s="154" t="str">
        <f t="shared" si="16"/>
        <v>--</v>
      </c>
      <c r="N67" s="162" t="str">
        <f>IFERROR(_xll.qlRateHelperQuoteName(M67,Trigger),"--")</f>
        <v>--</v>
      </c>
      <c r="O67" s="155" t="str">
        <f>IFERROR(_xll.qlRateHelperQuoteValue($M67,Trigger),"--")</f>
        <v>--</v>
      </c>
      <c r="P67" s="154" t="b">
        <v>0</v>
      </c>
      <c r="Q67" s="154">
        <v>50</v>
      </c>
      <c r="R67" s="154">
        <v>1</v>
      </c>
      <c r="S67" s="156" t="str">
        <f>IFERROR(_xll.qlRateHelperEarliestDate(M67,Trigger),"--")</f>
        <v>--</v>
      </c>
      <c r="T67" s="156" t="str">
        <f>IFERROR(_xll.qlRateHelperPillarDate(M67,Trigger),"--")</f>
        <v>--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5" t="str">
        <f>IFERROR(_xll.qlRateHelperRate(W67,Trigger),"")</f>
        <v/>
      </c>
      <c r="Z67" s="115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3" t="e">
        <v>#N/A</v>
      </c>
    </row>
    <row r="68" spans="1:29" ht="11.25" customHeight="1" x14ac:dyDescent="0.2">
      <c r="A68" s="63" t="s">
        <v>26</v>
      </c>
      <c r="B68" s="64" t="s">
        <v>136</v>
      </c>
      <c r="C68" s="65" t="s">
        <v>6</v>
      </c>
      <c r="D68" s="65" t="s">
        <v>8</v>
      </c>
      <c r="E68" s="65" t="s">
        <v>7</v>
      </c>
      <c r="F68" s="65" t="s">
        <v>28</v>
      </c>
      <c r="G68" s="65" t="str">
        <f t="shared" si="17"/>
        <v>UsdLibor3M</v>
      </c>
      <c r="H68" s="63" t="str">
        <f t="shared" si="18"/>
        <v>USDAM3L16Y_Quote</v>
      </c>
      <c r="I68" s="140">
        <v>0</v>
      </c>
      <c r="J68" s="69"/>
      <c r="L68" s="76" t="str">
        <f t="shared" si="15"/>
        <v>Sw</v>
      </c>
      <c r="M68" s="154" t="str">
        <f t="shared" si="16"/>
        <v>--</v>
      </c>
      <c r="N68" s="162" t="str">
        <f>IFERROR(_xll.qlRateHelperQuoteName(M68,Trigger),"--")</f>
        <v>--</v>
      </c>
      <c r="O68" s="155" t="str">
        <f>IFERROR(_xll.qlRateHelperQuoteValue($M68,Trigger),"--")</f>
        <v>--</v>
      </c>
      <c r="P68" s="154" t="b">
        <v>0</v>
      </c>
      <c r="Q68" s="154">
        <v>50</v>
      </c>
      <c r="R68" s="154">
        <v>1</v>
      </c>
      <c r="S68" s="156" t="str">
        <f>IFERROR(_xll.qlRateHelperEarliestDate(M68,Trigger),"--")</f>
        <v>--</v>
      </c>
      <c r="T68" s="156" t="str">
        <f>IFERROR(_xll.qlRateHelperPillarDate(M68,Trigger),"--")</f>
        <v>--</v>
      </c>
      <c r="V68" s="4" t="str">
        <f t="shared" ref="V68:V88" si="19">IFERROR(INDEX($L$3:$L$88,MATCH(X68,$N$3:$N$88,0),1),"")</f>
        <v/>
      </c>
      <c r="W68" s="4" t="e">
        <v>#N/A</v>
      </c>
      <c r="X68" s="4" t="str">
        <f>IFERROR(_xll.qlRateHelperQuoteName(W68,Trigger),"")</f>
        <v/>
      </c>
      <c r="Y68" s="75" t="str">
        <f>IFERROR(_xll.qlRateHelperRate(W68,Trigger),"")</f>
        <v/>
      </c>
      <c r="Z68" s="115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3" t="e">
        <v>#N/A</v>
      </c>
    </row>
    <row r="69" spans="1:29" ht="11.25" customHeight="1" x14ac:dyDescent="0.2">
      <c r="A69" s="63" t="s">
        <v>26</v>
      </c>
      <c r="B69" s="64" t="s">
        <v>137</v>
      </c>
      <c r="C69" s="65" t="s">
        <v>6</v>
      </c>
      <c r="D69" s="65" t="s">
        <v>8</v>
      </c>
      <c r="E69" s="65" t="s">
        <v>7</v>
      </c>
      <c r="F69" s="65" t="s">
        <v>28</v>
      </c>
      <c r="G69" s="65" t="str">
        <f t="shared" si="17"/>
        <v>UsdLibor3M</v>
      </c>
      <c r="H69" s="63" t="str">
        <f t="shared" si="18"/>
        <v>USDAM3L17Y_Quote</v>
      </c>
      <c r="I69" s="140">
        <v>0</v>
      </c>
      <c r="J69" s="69"/>
      <c r="L69" s="76" t="str">
        <f t="shared" si="15"/>
        <v>Sw</v>
      </c>
      <c r="M69" s="154" t="str">
        <f t="shared" si="16"/>
        <v>--</v>
      </c>
      <c r="N69" s="162" t="str">
        <f>IFERROR(_xll.qlRateHelperQuoteName(M69,Trigger),"--")</f>
        <v>--</v>
      </c>
      <c r="O69" s="155" t="str">
        <f>IFERROR(_xll.qlRateHelperQuoteValue($M69,Trigger),"--")</f>
        <v>--</v>
      </c>
      <c r="P69" s="154" t="b">
        <v>0</v>
      </c>
      <c r="Q69" s="154">
        <v>50</v>
      </c>
      <c r="R69" s="154">
        <v>1</v>
      </c>
      <c r="S69" s="156" t="str">
        <f>IFERROR(_xll.qlRateHelperEarliestDate(M69,Trigger),"--")</f>
        <v>--</v>
      </c>
      <c r="T69" s="156" t="str">
        <f>IFERROR(_xll.qlRateHelperPillarDate(M69,Trigger),"--")</f>
        <v>--</v>
      </c>
      <c r="V69" s="4" t="str">
        <f t="shared" si="19"/>
        <v/>
      </c>
      <c r="W69" s="4" t="e">
        <v>#N/A</v>
      </c>
      <c r="X69" s="4" t="str">
        <f>IFERROR(_xll.qlRateHelperQuoteName(W69,Trigger),"")</f>
        <v/>
      </c>
      <c r="Y69" s="75" t="str">
        <f>IFERROR(_xll.qlRateHelperRate(W69,Trigger),"")</f>
        <v/>
      </c>
      <c r="Z69" s="115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3" t="e">
        <v>#N/A</v>
      </c>
    </row>
    <row r="70" spans="1:29" ht="11.25" customHeight="1" x14ac:dyDescent="0.2">
      <c r="A70" s="63" t="s">
        <v>26</v>
      </c>
      <c r="B70" s="64" t="s">
        <v>138</v>
      </c>
      <c r="C70" s="65" t="s">
        <v>6</v>
      </c>
      <c r="D70" s="65" t="s">
        <v>8</v>
      </c>
      <c r="E70" s="65" t="s">
        <v>7</v>
      </c>
      <c r="F70" s="65" t="s">
        <v>28</v>
      </c>
      <c r="G70" s="65" t="str">
        <f t="shared" si="17"/>
        <v>UsdLibor3M</v>
      </c>
      <c r="H70" s="63" t="str">
        <f t="shared" si="18"/>
        <v>USDAM3L18Y_Quote</v>
      </c>
      <c r="I70" s="140">
        <v>0</v>
      </c>
      <c r="J70" s="69"/>
      <c r="L70" s="76" t="str">
        <f t="shared" si="15"/>
        <v>Sw</v>
      </c>
      <c r="M70" s="154" t="str">
        <f t="shared" si="16"/>
        <v>--</v>
      </c>
      <c r="N70" s="162" t="str">
        <f>IFERROR(_xll.qlRateHelperQuoteName(M70,Trigger),"--")</f>
        <v>--</v>
      </c>
      <c r="O70" s="155" t="str">
        <f>IFERROR(_xll.qlRateHelperQuoteValue($M70,Trigger),"--")</f>
        <v>--</v>
      </c>
      <c r="P70" s="154" t="b">
        <v>0</v>
      </c>
      <c r="Q70" s="154">
        <v>50</v>
      </c>
      <c r="R70" s="154">
        <v>1</v>
      </c>
      <c r="S70" s="156" t="str">
        <f>IFERROR(_xll.qlRateHelperEarliestDate(M70,Trigger),"--")</f>
        <v>--</v>
      </c>
      <c r="T70" s="156" t="str">
        <f>IFERROR(_xll.qlRateHelperPillarDate(M70,Trigger),"--")</f>
        <v>--</v>
      </c>
      <c r="V70" s="4" t="str">
        <f t="shared" si="19"/>
        <v/>
      </c>
      <c r="W70" s="4" t="e">
        <v>#N/A</v>
      </c>
      <c r="X70" s="4" t="str">
        <f>IFERROR(_xll.qlRateHelperQuoteName(W70,Trigger),"")</f>
        <v/>
      </c>
      <c r="Y70" s="75" t="str">
        <f>IFERROR(_xll.qlRateHelperRate(W70,Trigger),"")</f>
        <v/>
      </c>
      <c r="Z70" s="115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3" t="e">
        <v>#N/A</v>
      </c>
    </row>
    <row r="71" spans="1:29" ht="11.25" customHeight="1" x14ac:dyDescent="0.2">
      <c r="A71" s="63" t="s">
        <v>26</v>
      </c>
      <c r="B71" s="64" t="s">
        <v>139</v>
      </c>
      <c r="C71" s="65" t="s">
        <v>6</v>
      </c>
      <c r="D71" s="65" t="s">
        <v>8</v>
      </c>
      <c r="E71" s="65" t="s">
        <v>7</v>
      </c>
      <c r="F71" s="65" t="s">
        <v>28</v>
      </c>
      <c r="G71" s="65" t="str">
        <f t="shared" si="17"/>
        <v>UsdLibor3M</v>
      </c>
      <c r="H71" s="63" t="str">
        <f t="shared" si="18"/>
        <v>USDAM3L19Y_Quote</v>
      </c>
      <c r="I71" s="140">
        <v>0</v>
      </c>
      <c r="J71" s="69"/>
      <c r="L71" s="76" t="str">
        <f t="shared" si="15"/>
        <v>Sw</v>
      </c>
      <c r="M71" s="154" t="str">
        <f t="shared" si="16"/>
        <v>obj_002e6#0311</v>
      </c>
      <c r="N71" s="162" t="str">
        <f>IFERROR(_xll.qlRateHelperQuoteName(M71,Trigger),"--")</f>
        <v>USDAM3L25Y_Quote</v>
      </c>
      <c r="O71" s="155">
        <f>IFERROR(_xll.qlRateHelperQuoteValue($M71,Trigger),"--")</f>
        <v>2.1129999999999999E-2</v>
      </c>
      <c r="P71" s="154" t="b">
        <v>1</v>
      </c>
      <c r="Q71" s="154">
        <v>50</v>
      </c>
      <c r="R71" s="154">
        <v>1</v>
      </c>
      <c r="S71" s="156">
        <f>IFERROR(_xll.qlRateHelperEarliestDate(M71,Trigger),"--")</f>
        <v>42450</v>
      </c>
      <c r="T71" s="156">
        <f>IFERROR(_xll.qlRateHelperPillarDate(M71,Trigger),"--")</f>
        <v>51581</v>
      </c>
      <c r="V71" s="4" t="str">
        <f t="shared" si="19"/>
        <v/>
      </c>
      <c r="W71" s="4" t="e">
        <v>#N/A</v>
      </c>
      <c r="X71" s="4" t="str">
        <f>IFERROR(_xll.qlRateHelperQuoteName(W71,Trigger),"")</f>
        <v/>
      </c>
      <c r="Y71" s="75" t="str">
        <f>IFERROR(_xll.qlRateHelperRate(W71,Trigger),"")</f>
        <v/>
      </c>
      <c r="Z71" s="115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3" t="e">
        <v>#N/A</v>
      </c>
    </row>
    <row r="72" spans="1:29" ht="11.25" customHeight="1" x14ac:dyDescent="0.2">
      <c r="A72" s="63" t="s">
        <v>26</v>
      </c>
      <c r="B72" s="64" t="s">
        <v>92</v>
      </c>
      <c r="C72" s="65" t="s">
        <v>6</v>
      </c>
      <c r="D72" s="65" t="s">
        <v>8</v>
      </c>
      <c r="E72" s="65" t="s">
        <v>7</v>
      </c>
      <c r="F72" s="65" t="s">
        <v>28</v>
      </c>
      <c r="G72" s="65" t="str">
        <f t="shared" si="17"/>
        <v>UsdLibor3M</v>
      </c>
      <c r="H72" s="63" t="str">
        <f t="shared" si="18"/>
        <v>USDAM3L20Y_Quote</v>
      </c>
      <c r="I72" s="140">
        <v>0</v>
      </c>
      <c r="J72" s="69" t="str">
        <f>_xll.qlSwapRateHelper2(,H72,,B72,JoinCalendar,USD3M!D72,USD3M!E72,USD3M!F72,USD3M!G72,USD3M!I72,USD3M!C72,Discounting,PillarDate,,Permanent,Trigger,ObjectOverwrite)</f>
        <v>obj_002a7#0311</v>
      </c>
      <c r="L72" s="76" t="str">
        <f t="shared" si="15"/>
        <v>Sw</v>
      </c>
      <c r="M72" s="154" t="str">
        <f t="shared" si="16"/>
        <v>--</v>
      </c>
      <c r="N72" s="162" t="str">
        <f>IFERROR(_xll.qlRateHelperQuoteName(M72,Trigger),"--")</f>
        <v>--</v>
      </c>
      <c r="O72" s="155" t="str">
        <f>IFERROR(_xll.qlRateHelperQuoteValue($M72,Trigger),"--")</f>
        <v>--</v>
      </c>
      <c r="P72" s="154" t="b">
        <v>0</v>
      </c>
      <c r="Q72" s="154">
        <v>50</v>
      </c>
      <c r="R72" s="154">
        <v>1</v>
      </c>
      <c r="S72" s="156" t="str">
        <f>IFERROR(_xll.qlRateHelperEarliestDate(M72,Trigger),"--")</f>
        <v>--</v>
      </c>
      <c r="T72" s="156" t="str">
        <f>IFERROR(_xll.qlRateHelperPillarDate(M72,Trigger),"--")</f>
        <v>--</v>
      </c>
      <c r="V72" s="4" t="str">
        <f t="shared" si="19"/>
        <v/>
      </c>
      <c r="W72" s="4" t="e">
        <v>#N/A</v>
      </c>
      <c r="X72" s="4" t="str">
        <f>IFERROR(_xll.qlRateHelperQuoteName(W72,Trigger),"")</f>
        <v/>
      </c>
      <c r="Y72" s="75" t="str">
        <f>IFERROR(_xll.qlRateHelperRate(W72,Trigger),"")</f>
        <v/>
      </c>
      <c r="Z72" s="115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3" t="e">
        <v>#N/A</v>
      </c>
    </row>
    <row r="73" spans="1:29" ht="11.25" customHeight="1" x14ac:dyDescent="0.2">
      <c r="A73" s="63" t="s">
        <v>26</v>
      </c>
      <c r="B73" s="64" t="s">
        <v>140</v>
      </c>
      <c r="C73" s="65" t="s">
        <v>6</v>
      </c>
      <c r="D73" s="65" t="s">
        <v>8</v>
      </c>
      <c r="E73" s="65" t="s">
        <v>7</v>
      </c>
      <c r="F73" s="65" t="s">
        <v>28</v>
      </c>
      <c r="G73" s="65" t="str">
        <f t="shared" si="17"/>
        <v>UsdLibor3M</v>
      </c>
      <c r="H73" s="63" t="str">
        <f t="shared" si="18"/>
        <v>USDAM3L21Y_Quote</v>
      </c>
      <c r="I73" s="140">
        <v>0</v>
      </c>
      <c r="J73" s="69"/>
      <c r="L73" s="76" t="str">
        <f t="shared" si="15"/>
        <v>Sw</v>
      </c>
      <c r="M73" s="154" t="str">
        <f t="shared" si="16"/>
        <v>--</v>
      </c>
      <c r="N73" s="162" t="str">
        <f>IFERROR(_xll.qlRateHelperQuoteName(M73,Trigger),"--")</f>
        <v>--</v>
      </c>
      <c r="O73" s="155" t="str">
        <f>IFERROR(_xll.qlRateHelperQuoteValue($M73,Trigger),"--")</f>
        <v>--</v>
      </c>
      <c r="P73" s="154" t="b">
        <v>0</v>
      </c>
      <c r="Q73" s="154">
        <v>50</v>
      </c>
      <c r="R73" s="154">
        <v>1</v>
      </c>
      <c r="S73" s="156" t="str">
        <f>IFERROR(_xll.qlRateHelperEarliestDate(M73,Trigger),"--")</f>
        <v>--</v>
      </c>
      <c r="T73" s="156" t="str">
        <f>IFERROR(_xll.qlRateHelperPillarDate(M73,Trigger),"--")</f>
        <v>--</v>
      </c>
      <c r="V73" s="4" t="str">
        <f t="shared" si="19"/>
        <v/>
      </c>
      <c r="W73" s="4" t="e">
        <v>#N/A</v>
      </c>
      <c r="X73" s="4" t="str">
        <f>IFERROR(_xll.qlRateHelperQuoteName(W73,Trigger),"")</f>
        <v/>
      </c>
      <c r="Y73" s="75" t="str">
        <f>IFERROR(_xll.qlRateHelperRate(W73,Trigger),"")</f>
        <v/>
      </c>
      <c r="Z73" s="115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3" t="e">
        <v>#N/A</v>
      </c>
    </row>
    <row r="74" spans="1:29" ht="11.25" customHeight="1" x14ac:dyDescent="0.2">
      <c r="A74" s="63" t="s">
        <v>26</v>
      </c>
      <c r="B74" s="64" t="s">
        <v>141</v>
      </c>
      <c r="C74" s="65" t="s">
        <v>6</v>
      </c>
      <c r="D74" s="65" t="s">
        <v>8</v>
      </c>
      <c r="E74" s="65" t="s">
        <v>7</v>
      </c>
      <c r="F74" s="65" t="s">
        <v>28</v>
      </c>
      <c r="G74" s="65" t="str">
        <f t="shared" si="17"/>
        <v>UsdLibor3M</v>
      </c>
      <c r="H74" s="63" t="str">
        <f t="shared" si="18"/>
        <v>USDAM3L22Y_Quote</v>
      </c>
      <c r="I74" s="140">
        <v>0</v>
      </c>
      <c r="J74" s="69"/>
      <c r="L74" s="76" t="str">
        <f t="shared" si="15"/>
        <v>Sw</v>
      </c>
      <c r="M74" s="154" t="str">
        <f t="shared" si="16"/>
        <v>--</v>
      </c>
      <c r="N74" s="162" t="str">
        <f>IFERROR(_xll.qlRateHelperQuoteName(M74,Trigger),"--")</f>
        <v>--</v>
      </c>
      <c r="O74" s="155" t="str">
        <f>IFERROR(_xll.qlRateHelperQuoteValue($M74,Trigger),"--")</f>
        <v>--</v>
      </c>
      <c r="P74" s="154" t="b">
        <v>0</v>
      </c>
      <c r="Q74" s="154">
        <v>50</v>
      </c>
      <c r="R74" s="154">
        <v>1</v>
      </c>
      <c r="S74" s="156" t="str">
        <f>IFERROR(_xll.qlRateHelperEarliestDate(M74,Trigger),"--")</f>
        <v>--</v>
      </c>
      <c r="T74" s="156" t="str">
        <f>IFERROR(_xll.qlRateHelperPillarDate(M74,Trigger),"--")</f>
        <v>--</v>
      </c>
      <c r="V74" s="4" t="str">
        <f t="shared" si="19"/>
        <v/>
      </c>
      <c r="W74" s="4" t="e">
        <v>#N/A</v>
      </c>
      <c r="X74" s="4" t="str">
        <f>IFERROR(_xll.qlRateHelperQuoteName(W74,Trigger),"")</f>
        <v/>
      </c>
      <c r="Y74" s="75" t="str">
        <f>IFERROR(_xll.qlRateHelperRate(W74,Trigger),"")</f>
        <v/>
      </c>
      <c r="Z74" s="115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3" t="e">
        <v>#N/A</v>
      </c>
    </row>
    <row r="75" spans="1:29" ht="11.25" customHeight="1" x14ac:dyDescent="0.2">
      <c r="A75" s="63" t="s">
        <v>26</v>
      </c>
      <c r="B75" s="64" t="s">
        <v>142</v>
      </c>
      <c r="C75" s="65" t="s">
        <v>6</v>
      </c>
      <c r="D75" s="65" t="s">
        <v>8</v>
      </c>
      <c r="E75" s="65" t="s">
        <v>7</v>
      </c>
      <c r="F75" s="65" t="s">
        <v>28</v>
      </c>
      <c r="G75" s="65" t="str">
        <f t="shared" si="17"/>
        <v>UsdLibor3M</v>
      </c>
      <c r="H75" s="63" t="str">
        <f t="shared" si="18"/>
        <v>USDAM3L23Y_Quote</v>
      </c>
      <c r="I75" s="140">
        <v>0</v>
      </c>
      <c r="J75" s="69"/>
      <c r="L75" s="76" t="str">
        <f t="shared" si="15"/>
        <v>Sw</v>
      </c>
      <c r="M75" s="154" t="str">
        <f t="shared" si="16"/>
        <v>--</v>
      </c>
      <c r="N75" s="162" t="str">
        <f>IFERROR(_xll.qlRateHelperQuoteName(M75,Trigger),"--")</f>
        <v>--</v>
      </c>
      <c r="O75" s="155" t="str">
        <f>IFERROR(_xll.qlRateHelperQuoteValue($M75,Trigger),"--")</f>
        <v>--</v>
      </c>
      <c r="P75" s="154" t="b">
        <v>0</v>
      </c>
      <c r="Q75" s="154">
        <v>50</v>
      </c>
      <c r="R75" s="154">
        <v>1</v>
      </c>
      <c r="S75" s="156" t="str">
        <f>IFERROR(_xll.qlRateHelperEarliestDate(M75,Trigger),"--")</f>
        <v>--</v>
      </c>
      <c r="T75" s="156" t="str">
        <f>IFERROR(_xll.qlRateHelperPillarDate(M75,Trigger),"--")</f>
        <v>--</v>
      </c>
      <c r="V75" s="4" t="str">
        <f t="shared" si="19"/>
        <v/>
      </c>
      <c r="W75" s="4" t="e">
        <v>#N/A</v>
      </c>
      <c r="X75" s="4" t="str">
        <f>IFERROR(_xll.qlRateHelperQuoteName(W75,Trigger),"")</f>
        <v/>
      </c>
      <c r="Y75" s="75" t="str">
        <f>IFERROR(_xll.qlRateHelperRate(W75,Trigger),"")</f>
        <v/>
      </c>
      <c r="Z75" s="115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3" t="e">
        <v>#N/A</v>
      </c>
    </row>
    <row r="76" spans="1:29" ht="11.25" customHeight="1" x14ac:dyDescent="0.2">
      <c r="A76" s="63" t="s">
        <v>26</v>
      </c>
      <c r="B76" s="64" t="s">
        <v>143</v>
      </c>
      <c r="C76" s="65" t="s">
        <v>6</v>
      </c>
      <c r="D76" s="65" t="s">
        <v>8</v>
      </c>
      <c r="E76" s="65" t="s">
        <v>7</v>
      </c>
      <c r="F76" s="65" t="s">
        <v>28</v>
      </c>
      <c r="G76" s="65" t="str">
        <f t="shared" si="17"/>
        <v>UsdLibor3M</v>
      </c>
      <c r="H76" s="63" t="str">
        <f t="shared" si="18"/>
        <v>USDAM3L24Y_Quote</v>
      </c>
      <c r="I76" s="140">
        <v>0</v>
      </c>
      <c r="J76" s="69"/>
      <c r="L76" s="76" t="str">
        <f t="shared" si="15"/>
        <v>Sw</v>
      </c>
      <c r="M76" s="154" t="str">
        <f t="shared" si="16"/>
        <v>obj_0028d#0311</v>
      </c>
      <c r="N76" s="162" t="str">
        <f>IFERROR(_xll.qlRateHelperQuoteName(M76,Trigger),"--")</f>
        <v>USDAM3L30Y_Quote</v>
      </c>
      <c r="O76" s="155">
        <f>IFERROR(_xll.qlRateHelperQuoteValue($M76,Trigger),"--")</f>
        <v>2.1480000000000003E-2</v>
      </c>
      <c r="P76" s="154" t="b">
        <v>1</v>
      </c>
      <c r="Q76" s="154">
        <v>50</v>
      </c>
      <c r="R76" s="154">
        <v>1</v>
      </c>
      <c r="S76" s="156">
        <f>IFERROR(_xll.qlRateHelperEarliestDate(M76,Trigger),"--")</f>
        <v>42450</v>
      </c>
      <c r="T76" s="156">
        <f>IFERROR(_xll.qlRateHelperPillarDate(M76,Trigger),"--")</f>
        <v>53407</v>
      </c>
      <c r="V76" s="4" t="str">
        <f t="shared" si="19"/>
        <v/>
      </c>
      <c r="W76" s="4" t="e">
        <v>#N/A</v>
      </c>
      <c r="X76" s="4" t="str">
        <f>IFERROR(_xll.qlRateHelperQuoteName(W76,Trigger),"")</f>
        <v/>
      </c>
      <c r="Y76" s="75" t="str">
        <f>IFERROR(_xll.qlRateHelperRate(W76,Trigger),"")</f>
        <v/>
      </c>
      <c r="Z76" s="115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3" t="e">
        <v>#N/A</v>
      </c>
    </row>
    <row r="77" spans="1:29" ht="11.25" customHeight="1" x14ac:dyDescent="0.2">
      <c r="A77" s="63" t="s">
        <v>26</v>
      </c>
      <c r="B77" s="64" t="s">
        <v>93</v>
      </c>
      <c r="C77" s="65" t="s">
        <v>6</v>
      </c>
      <c r="D77" s="65" t="s">
        <v>8</v>
      </c>
      <c r="E77" s="65" t="s">
        <v>7</v>
      </c>
      <c r="F77" s="65" t="s">
        <v>28</v>
      </c>
      <c r="G77" s="65" t="str">
        <f t="shared" si="17"/>
        <v>UsdLibor3M</v>
      </c>
      <c r="H77" s="63" t="str">
        <f t="shared" si="18"/>
        <v>USDAM3L25Y_Quote</v>
      </c>
      <c r="I77" s="140">
        <v>0</v>
      </c>
      <c r="J77" s="69" t="str">
        <f>_xll.qlSwapRateHelper2(,H77,,B77,JoinCalendar,USD3M!D77,USD3M!E77,USD3M!F77,USD3M!G77,USD3M!I77,USD3M!C77,Discounting,PillarDate,,Permanent,Trigger,ObjectOverwrite)</f>
        <v>obj_002e6#0311</v>
      </c>
      <c r="L77" s="76" t="str">
        <f t="shared" si="15"/>
        <v>Sw</v>
      </c>
      <c r="M77" s="154" t="str">
        <f t="shared" si="16"/>
        <v>--</v>
      </c>
      <c r="N77" s="162" t="str">
        <f>IFERROR(_xll.qlRateHelperQuoteName(M77,Trigger),"--")</f>
        <v>--</v>
      </c>
      <c r="O77" s="155" t="str">
        <f>IFERROR(_xll.qlRateHelperQuoteValue($M77,Trigger),"--")</f>
        <v>--</v>
      </c>
      <c r="P77" s="154" t="b">
        <v>0</v>
      </c>
      <c r="Q77" s="154">
        <v>50</v>
      </c>
      <c r="R77" s="154">
        <v>1</v>
      </c>
      <c r="S77" s="156" t="str">
        <f>IFERROR(_xll.qlRateHelperEarliestDate(M77,Trigger),"--")</f>
        <v>--</v>
      </c>
      <c r="T77" s="156" t="str">
        <f>IFERROR(_xll.qlRateHelperPillarDate(M77,Trigger),"--")</f>
        <v>--</v>
      </c>
      <c r="V77" s="4" t="str">
        <f t="shared" si="19"/>
        <v/>
      </c>
      <c r="W77" s="4" t="e">
        <v>#N/A</v>
      </c>
      <c r="X77" s="4" t="str">
        <f>IFERROR(_xll.qlRateHelperQuoteName(W77,Trigger),"")</f>
        <v/>
      </c>
      <c r="Y77" s="75" t="str">
        <f>IFERROR(_xll.qlRateHelperRate(W77,Trigger),"")</f>
        <v/>
      </c>
      <c r="Z77" s="115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3" t="e">
        <v>#N/A</v>
      </c>
    </row>
    <row r="78" spans="1:29" ht="11.25" customHeight="1" x14ac:dyDescent="0.2">
      <c r="A78" s="63" t="s">
        <v>26</v>
      </c>
      <c r="B78" s="64" t="s">
        <v>144</v>
      </c>
      <c r="C78" s="65" t="s">
        <v>6</v>
      </c>
      <c r="D78" s="65" t="s">
        <v>8</v>
      </c>
      <c r="E78" s="65" t="s">
        <v>7</v>
      </c>
      <c r="F78" s="65" t="s">
        <v>28</v>
      </c>
      <c r="G78" s="65" t="str">
        <f t="shared" si="17"/>
        <v>UsdLibor3M</v>
      </c>
      <c r="H78" s="63" t="str">
        <f t="shared" si="18"/>
        <v>USDAM3L26Y_Quote</v>
      </c>
      <c r="I78" s="140">
        <v>0</v>
      </c>
      <c r="J78" s="69"/>
      <c r="L78" s="76" t="str">
        <f t="shared" si="15"/>
        <v>Sw</v>
      </c>
      <c r="M78" s="154" t="str">
        <f t="shared" si="16"/>
        <v>obj_00283#0312</v>
      </c>
      <c r="N78" s="162" t="str">
        <f>IFERROR(_xll.qlRateHelperQuoteName(M78,Trigger),"--")</f>
        <v>USDAM3L40Y_Quote</v>
      </c>
      <c r="O78" s="155">
        <f>IFERROR(_xll.qlRateHelperQuoteValue($M78,Trigger),"--")</f>
        <v>2.1690000000000001E-2</v>
      </c>
      <c r="P78" s="174" t="b">
        <f>NOT(ISERROR(_xll.qlQuoteValue(N78)))</f>
        <v>1</v>
      </c>
      <c r="Q78" s="154">
        <v>50</v>
      </c>
      <c r="R78" s="154">
        <v>1</v>
      </c>
      <c r="S78" s="156">
        <f>IFERROR(_xll.qlRateHelperEarliestDate(M78,Trigger),"--")</f>
        <v>42450</v>
      </c>
      <c r="T78" s="156">
        <f>IFERROR(_xll.qlRateHelperPillarDate(M78,Trigger),"--")</f>
        <v>57060</v>
      </c>
      <c r="V78" s="4" t="str">
        <f t="shared" si="19"/>
        <v/>
      </c>
      <c r="W78" s="4" t="e">
        <v>#N/A</v>
      </c>
      <c r="X78" s="4" t="str">
        <f>IFERROR(_xll.qlRateHelperQuoteName(W78,Trigger),"")</f>
        <v/>
      </c>
      <c r="Y78" s="75" t="str">
        <f>IFERROR(_xll.qlRateHelperRate(W78,Trigger),"")</f>
        <v/>
      </c>
      <c r="Z78" s="115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3" t="e">
        <v>#N/A</v>
      </c>
    </row>
    <row r="79" spans="1:29" ht="11.25" customHeight="1" x14ac:dyDescent="0.2">
      <c r="A79" s="63" t="s">
        <v>26</v>
      </c>
      <c r="B79" s="64" t="s">
        <v>94</v>
      </c>
      <c r="C79" s="65" t="s">
        <v>6</v>
      </c>
      <c r="D79" s="65" t="s">
        <v>8</v>
      </c>
      <c r="E79" s="65" t="s">
        <v>7</v>
      </c>
      <c r="F79" s="65" t="s">
        <v>28</v>
      </c>
      <c r="G79" s="65" t="str">
        <f t="shared" si="17"/>
        <v>UsdLibor3M</v>
      </c>
      <c r="H79" s="63" t="str">
        <f t="shared" si="18"/>
        <v>USDAM3L27Y_Quote</v>
      </c>
      <c r="I79" s="140">
        <v>0</v>
      </c>
      <c r="J79" s="69"/>
      <c r="L79" s="76" t="str">
        <f t="shared" si="15"/>
        <v>Sw</v>
      </c>
      <c r="M79" s="154" t="str">
        <f t="shared" si="16"/>
        <v>--</v>
      </c>
      <c r="N79" s="162" t="str">
        <f>IFERROR(_xll.qlRateHelperQuoteName(M79,Trigger),"--")</f>
        <v>--</v>
      </c>
      <c r="O79" s="155" t="str">
        <f>IFERROR(_xll.qlRateHelperQuoteValue($M79,Trigger),"--")</f>
        <v>--</v>
      </c>
      <c r="P79" s="154" t="b">
        <v>0</v>
      </c>
      <c r="Q79" s="154">
        <v>50</v>
      </c>
      <c r="R79" s="154">
        <v>1</v>
      </c>
      <c r="S79" s="156" t="str">
        <f>IFERROR(_xll.qlRateHelperEarliestDate(M79,Trigger),"--")</f>
        <v>--</v>
      </c>
      <c r="T79" s="156" t="str">
        <f>IFERROR(_xll.qlRateHelperPillarDate(M79,Trigger),"--")</f>
        <v>--</v>
      </c>
      <c r="V79" s="4" t="str">
        <f t="shared" si="19"/>
        <v/>
      </c>
      <c r="W79" s="4" t="e">
        <v>#N/A</v>
      </c>
      <c r="X79" s="4" t="str">
        <f>IFERROR(_xll.qlRateHelperQuoteName(W79,Trigger),"")</f>
        <v/>
      </c>
      <c r="Y79" s="75" t="str">
        <f>IFERROR(_xll.qlRateHelperRate(W79,Trigger),"")</f>
        <v/>
      </c>
      <c r="Z79" s="115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3" t="e">
        <v>#N/A</v>
      </c>
    </row>
    <row r="80" spans="1:29" ht="11.25" customHeight="1" x14ac:dyDescent="0.2">
      <c r="A80" s="63" t="s">
        <v>26</v>
      </c>
      <c r="B80" s="64" t="s">
        <v>145</v>
      </c>
      <c r="C80" s="65" t="s">
        <v>6</v>
      </c>
      <c r="D80" s="65" t="s">
        <v>8</v>
      </c>
      <c r="E80" s="65" t="s">
        <v>7</v>
      </c>
      <c r="F80" s="65" t="s">
        <v>28</v>
      </c>
      <c r="G80" s="65" t="str">
        <f t="shared" si="17"/>
        <v>UsdLibor3M</v>
      </c>
      <c r="H80" s="63" t="str">
        <f t="shared" si="18"/>
        <v>USDAM3L28Y_Quote</v>
      </c>
      <c r="I80" s="140">
        <v>0</v>
      </c>
      <c r="J80" s="69"/>
      <c r="L80" s="76" t="str">
        <f t="shared" si="15"/>
        <v>Sw</v>
      </c>
      <c r="M80" s="154" t="str">
        <f t="shared" si="16"/>
        <v>obj_002e9#0311</v>
      </c>
      <c r="N80" s="162" t="str">
        <f>IFERROR(_xll.qlRateHelperQuoteName(M80,Trigger),"--")</f>
        <v>USDAM3L50Y_Quote</v>
      </c>
      <c r="O80" s="155">
        <f>IFERROR(_xll.qlRateHelperQuoteValue($M80,Trigger),"--")</f>
        <v>2.1530000000000001E-2</v>
      </c>
      <c r="P80" s="174" t="b">
        <f>NOT(ISERROR(_xll.qlQuoteValue(N80)))</f>
        <v>1</v>
      </c>
      <c r="Q80" s="154">
        <v>50</v>
      </c>
      <c r="R80" s="154">
        <v>1</v>
      </c>
      <c r="S80" s="156">
        <f>IFERROR(_xll.qlRateHelperEarliestDate(M80,Trigger),"--")</f>
        <v>42450</v>
      </c>
      <c r="T80" s="156">
        <f>IFERROR(_xll.qlRateHelperPillarDate(M80,Trigger),"--")</f>
        <v>60713</v>
      </c>
      <c r="V80" s="4" t="str">
        <f t="shared" si="19"/>
        <v/>
      </c>
      <c r="W80" s="4" t="e">
        <v>#N/A</v>
      </c>
      <c r="X80" s="4" t="str">
        <f>IFERROR(_xll.qlRateHelperQuoteName(W80,Trigger),"")</f>
        <v/>
      </c>
      <c r="Y80" s="75" t="str">
        <f>IFERROR(_xll.qlRateHelperRate(W80,Trigger),"")</f>
        <v/>
      </c>
      <c r="Z80" s="115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3" t="e">
        <v>#N/A</v>
      </c>
    </row>
    <row r="81" spans="1:29" x14ac:dyDescent="0.2">
      <c r="A81" s="63" t="s">
        <v>26</v>
      </c>
      <c r="B81" s="64" t="s">
        <v>146</v>
      </c>
      <c r="C81" s="65" t="s">
        <v>6</v>
      </c>
      <c r="D81" s="65" t="s">
        <v>8</v>
      </c>
      <c r="E81" s="65" t="s">
        <v>7</v>
      </c>
      <c r="F81" s="65" t="s">
        <v>28</v>
      </c>
      <c r="G81" s="65" t="str">
        <f t="shared" si="17"/>
        <v>UsdLibor3M</v>
      </c>
      <c r="H81" s="63" t="str">
        <f t="shared" si="18"/>
        <v>USDAM3L29Y_Quote</v>
      </c>
      <c r="I81" s="140">
        <v>0</v>
      </c>
      <c r="J81" s="69"/>
      <c r="L81" s="77" t="str">
        <f t="shared" si="15"/>
        <v>Sw</v>
      </c>
      <c r="M81" s="157" t="str">
        <f t="shared" si="16"/>
        <v>obj_00294#0311</v>
      </c>
      <c r="N81" s="162" t="str">
        <f>IFERROR(_xll.qlRateHelperQuoteName(M81,Trigger),"--")</f>
        <v>USDAM3L60Y_Quote</v>
      </c>
      <c r="O81" s="168" t="str">
        <f>IFERROR(_xll.qlRateHelperQuoteValue($M81,Trigger),"--")</f>
        <v>--</v>
      </c>
      <c r="P81" s="157" t="b">
        <v>0</v>
      </c>
      <c r="Q81" s="157">
        <v>50</v>
      </c>
      <c r="R81" s="157">
        <v>1</v>
      </c>
      <c r="S81" s="156">
        <f>IFERROR(_xll.qlRateHelperEarliestDate(M81,Trigger),"--")</f>
        <v>42450</v>
      </c>
      <c r="T81" s="156">
        <f>IFERROR(_xll.qlRateHelperPillarDate(M81,Trigger),"--")</f>
        <v>64367</v>
      </c>
      <c r="V81" s="4" t="str">
        <f t="shared" si="19"/>
        <v/>
      </c>
      <c r="W81" s="4" t="e">
        <v>#N/A</v>
      </c>
      <c r="X81" s="4" t="str">
        <f>IFERROR(_xll.qlRateHelperQuoteName(W81,Trigger),"")</f>
        <v/>
      </c>
      <c r="Y81" s="75" t="str">
        <f>IFERROR(_xll.qlRateHelperRate(W81,Trigger),"")</f>
        <v/>
      </c>
      <c r="Z81" s="115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3" t="e">
        <v>#N/A</v>
      </c>
    </row>
    <row r="82" spans="1:29" x14ac:dyDescent="0.2">
      <c r="A82" s="63" t="s">
        <v>26</v>
      </c>
      <c r="B82" s="64" t="s">
        <v>95</v>
      </c>
      <c r="C82" s="65" t="s">
        <v>6</v>
      </c>
      <c r="D82" s="65" t="s">
        <v>8</v>
      </c>
      <c r="E82" s="65" t="s">
        <v>7</v>
      </c>
      <c r="F82" s="65" t="s">
        <v>28</v>
      </c>
      <c r="G82" s="65" t="str">
        <f t="shared" si="17"/>
        <v>UsdLibor3M</v>
      </c>
      <c r="H82" s="63" t="str">
        <f t="shared" si="18"/>
        <v>USDAM3L30Y_Quote</v>
      </c>
      <c r="I82" s="140">
        <v>0</v>
      </c>
      <c r="J82" s="69" t="str">
        <f>_xll.qlSwapRateHelper2(,H82,,B82,JoinCalendar,USD3M!D82,USD3M!E82,USD3M!F82,USD3M!G82,USD3M!I82,USD3M!C82,Discounting,PillarDate,,Permanent,Trigger,ObjectOverwrite)</f>
        <v>obj_0028d#0311</v>
      </c>
      <c r="L82" s="148" t="str">
        <f>A90</f>
        <v>Sw</v>
      </c>
      <c r="M82" s="150" t="str">
        <f>IF(ISBLANK(J90),"--",J90)</f>
        <v>qlSwapRateHelper2(,H90,,B90&amp;"M",JoinCalendar,USD3M!D90,USD3M!E90,USD3M!F90,USD3M!G90,USD3M!I90,USD3M!C90,Discounting,PillarDate,,Permanent,Trigger,ObjectOverwrite)</v>
      </c>
      <c r="N82" s="161" t="str">
        <f>IFERROR(_xll.qlRateHelperQuoteName(M82,Trigger),"--")</f>
        <v>--</v>
      </c>
      <c r="O82" s="151" t="str">
        <f>IFERROR(_xll.qlRateHelperQuoteValue($M82,Trigger),"--")</f>
        <v>--</v>
      </c>
      <c r="P82" s="150" t="b">
        <v>0</v>
      </c>
      <c r="Q82" s="150">
        <v>40</v>
      </c>
      <c r="R82" s="150">
        <v>1</v>
      </c>
      <c r="S82" s="152" t="str">
        <f>IFERROR(_xll.qlRateHelperEarliestDate(M82,Trigger),"--")</f>
        <v>--</v>
      </c>
      <c r="T82" s="152" t="str">
        <f>IFERROR(_xll.qlRateHelperPillarDate(M82,Trigger),"--")</f>
        <v>--</v>
      </c>
      <c r="V82" s="4" t="str">
        <f t="shared" si="19"/>
        <v/>
      </c>
      <c r="W82" s="4" t="e">
        <v>#N/A</v>
      </c>
      <c r="X82" s="4" t="str">
        <f>IFERROR(_xll.qlRateHelperQuoteName(W82,Trigger),"")</f>
        <v/>
      </c>
      <c r="Y82" s="75" t="str">
        <f>IFERROR(_xll.qlRateHelperRate(W82,Trigger),"")</f>
        <v/>
      </c>
      <c r="Z82" s="115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3" t="e">
        <v>#N/A</v>
      </c>
    </row>
    <row r="83" spans="1:29" x14ac:dyDescent="0.2">
      <c r="A83" s="63" t="s">
        <v>26</v>
      </c>
      <c r="B83" s="64" t="s">
        <v>96</v>
      </c>
      <c r="C83" s="65" t="s">
        <v>6</v>
      </c>
      <c r="D83" s="65" t="s">
        <v>8</v>
      </c>
      <c r="E83" s="65" t="s">
        <v>7</v>
      </c>
      <c r="F83" s="65" t="s">
        <v>28</v>
      </c>
      <c r="G83" s="65" t="str">
        <f t="shared" si="17"/>
        <v>UsdLibor3M</v>
      </c>
      <c r="H83" s="63" t="str">
        <f t="shared" si="18"/>
        <v>USDAM3L35Y_Quote</v>
      </c>
      <c r="I83" s="140">
        <v>0</v>
      </c>
      <c r="J83" s="69"/>
      <c r="L83" s="76" t="str">
        <f t="shared" ref="L83:L88" si="20">A91</f>
        <v>Sw</v>
      </c>
      <c r="M83" s="154" t="str">
        <f t="shared" ref="M83:M88" si="21">IF(ISBLANK(J91),"--",J91)</f>
        <v>--</v>
      </c>
      <c r="N83" s="162" t="str">
        <f>IFERROR(_xll.qlRateHelperQuoteName(M83,Trigger),"--")</f>
        <v>--</v>
      </c>
      <c r="O83" s="155" t="str">
        <f>IFERROR(_xll.qlRateHelperQuoteValue($M83,Trigger),"--")</f>
        <v>--</v>
      </c>
      <c r="P83" s="154" t="b">
        <v>0</v>
      </c>
      <c r="Q83" s="154">
        <v>40</v>
      </c>
      <c r="R83" s="154">
        <v>1</v>
      </c>
      <c r="S83" s="156" t="str">
        <f>IFERROR(_xll.qlRateHelperEarliestDate(M83,Trigger),"--")</f>
        <v>--</v>
      </c>
      <c r="T83" s="156" t="str">
        <f>IFERROR(_xll.qlRateHelperPillarDate(M83,Trigger),"--")</f>
        <v>--</v>
      </c>
      <c r="V83" s="4" t="str">
        <f t="shared" si="19"/>
        <v/>
      </c>
      <c r="W83" s="4" t="e">
        <v>#N/A</v>
      </c>
      <c r="X83" s="4" t="str">
        <f>IFERROR(_xll.qlRateHelperQuoteName(W83,Trigger),"")</f>
        <v/>
      </c>
      <c r="Y83" s="75" t="str">
        <f>IFERROR(_xll.qlRateHelperRate(W83,Trigger),"")</f>
        <v/>
      </c>
      <c r="Z83" s="115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3" t="e">
        <v>#N/A</v>
      </c>
    </row>
    <row r="84" spans="1:29" x14ac:dyDescent="0.2">
      <c r="A84" s="63" t="s">
        <v>26</v>
      </c>
      <c r="B84" s="64" t="s">
        <v>97</v>
      </c>
      <c r="C84" s="65" t="s">
        <v>6</v>
      </c>
      <c r="D84" s="65" t="s">
        <v>8</v>
      </c>
      <c r="E84" s="65" t="s">
        <v>7</v>
      </c>
      <c r="F84" s="65" t="s">
        <v>28</v>
      </c>
      <c r="G84" s="65" t="str">
        <f t="shared" si="17"/>
        <v>UsdLibor3M</v>
      </c>
      <c r="H84" s="63" t="str">
        <f t="shared" si="18"/>
        <v>USDAM3L40Y_Quote</v>
      </c>
      <c r="I84" s="138">
        <v>0</v>
      </c>
      <c r="J84" s="69" t="str">
        <f>_xll.qlSwapRateHelper2(,H84,,B84,JoinCalendar,USD3M!D84,USD3M!E84,USD3M!F84,USD3M!G84,USD3M!I84,USD3M!C84,Discounting,PillarDate,,Permanent,Trigger,ObjectOverwrite)</f>
        <v>obj_00283#0312</v>
      </c>
      <c r="L84" s="76" t="str">
        <f t="shared" si="20"/>
        <v>Sw</v>
      </c>
      <c r="M84" s="154" t="str">
        <f t="shared" si="21"/>
        <v>--</v>
      </c>
      <c r="N84" s="162" t="str">
        <f>IFERROR(_xll.qlRateHelperQuoteName(M84,Trigger),"--")</f>
        <v>--</v>
      </c>
      <c r="O84" s="155" t="str">
        <f>IFERROR(_xll.qlRateHelperQuoteValue($M84,Trigger),"--")</f>
        <v>--</v>
      </c>
      <c r="P84" s="154" t="b">
        <v>0</v>
      </c>
      <c r="Q84" s="154">
        <v>40</v>
      </c>
      <c r="R84" s="154">
        <v>1</v>
      </c>
      <c r="S84" s="156" t="str">
        <f>IFERROR(_xll.qlRateHelperEarliestDate(M84,Trigger),"--")</f>
        <v>--</v>
      </c>
      <c r="T84" s="156" t="str">
        <f>IFERROR(_xll.qlRateHelperPillarDate(M84,Trigger),"--")</f>
        <v>--</v>
      </c>
      <c r="V84" s="4" t="str">
        <f t="shared" si="19"/>
        <v/>
      </c>
      <c r="W84" s="4" t="e">
        <v>#N/A</v>
      </c>
      <c r="X84" s="4" t="str">
        <f>IFERROR(_xll.qlRateHelperQuoteName(W84,Trigger),"")</f>
        <v/>
      </c>
      <c r="Y84" s="75" t="str">
        <f>IFERROR(_xll.qlRateHelperRate(W84,Trigger),"")</f>
        <v/>
      </c>
      <c r="Z84" s="115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83" t="e">
        <v>#N/A</v>
      </c>
    </row>
    <row r="85" spans="1:29" x14ac:dyDescent="0.2">
      <c r="A85" s="63" t="s">
        <v>26</v>
      </c>
      <c r="B85" s="64" t="s">
        <v>98</v>
      </c>
      <c r="C85" s="65" t="s">
        <v>6</v>
      </c>
      <c r="D85" s="65" t="s">
        <v>8</v>
      </c>
      <c r="E85" s="65" t="s">
        <v>7</v>
      </c>
      <c r="F85" s="65" t="s">
        <v>28</v>
      </c>
      <c r="G85" s="65" t="str">
        <f t="shared" si="17"/>
        <v>UsdLibor3M</v>
      </c>
      <c r="H85" s="63" t="str">
        <f t="shared" si="18"/>
        <v>USDAM3L45Y_Quote</v>
      </c>
      <c r="I85" s="138">
        <v>0</v>
      </c>
      <c r="J85" s="69"/>
      <c r="L85" s="76" t="str">
        <f t="shared" si="20"/>
        <v>Sw</v>
      </c>
      <c r="M85" s="154" t="str">
        <f t="shared" si="21"/>
        <v>--</v>
      </c>
      <c r="N85" s="162" t="str">
        <f>IFERROR(_xll.qlRateHelperQuoteName(M85,Trigger),"--")</f>
        <v>--</v>
      </c>
      <c r="O85" s="155" t="str">
        <f>IFERROR(_xll.qlRateHelperQuoteValue($M85,Trigger),"--")</f>
        <v>--</v>
      </c>
      <c r="P85" s="154" t="b">
        <v>0</v>
      </c>
      <c r="Q85" s="154">
        <v>40</v>
      </c>
      <c r="R85" s="154">
        <v>1</v>
      </c>
      <c r="S85" s="156" t="str">
        <f>IFERROR(_xll.qlRateHelperEarliestDate(M85,Trigger),"--")</f>
        <v>--</v>
      </c>
      <c r="T85" s="156" t="str">
        <f>IFERROR(_xll.qlRateHelperPillarDate(M85,Trigger),"--")</f>
        <v>--</v>
      </c>
      <c r="V85" s="4" t="str">
        <f t="shared" si="19"/>
        <v/>
      </c>
      <c r="W85" s="4" t="e">
        <v>#N/A</v>
      </c>
      <c r="X85" s="4" t="str">
        <f>IFERROR(_xll.qlRateHelperQuoteName(W85,Trigger),"")</f>
        <v/>
      </c>
      <c r="Y85" s="75" t="str">
        <f>IFERROR(_xll.qlRateHelperRate(W85,Trigger),"")</f>
        <v/>
      </c>
      <c r="Z85" s="115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83" t="e">
        <v>#N/A</v>
      </c>
    </row>
    <row r="86" spans="1:29" x14ac:dyDescent="0.2">
      <c r="A86" s="63" t="s">
        <v>26</v>
      </c>
      <c r="B86" s="64" t="s">
        <v>99</v>
      </c>
      <c r="C86" s="65" t="s">
        <v>6</v>
      </c>
      <c r="D86" s="65" t="s">
        <v>8</v>
      </c>
      <c r="E86" s="65" t="s">
        <v>7</v>
      </c>
      <c r="F86" s="65" t="s">
        <v>28</v>
      </c>
      <c r="G86" s="65" t="str">
        <f t="shared" si="17"/>
        <v>UsdLibor3M</v>
      </c>
      <c r="H86" s="63" t="str">
        <f t="shared" si="18"/>
        <v>USDAM3L50Y_Quote</v>
      </c>
      <c r="I86" s="138">
        <v>0</v>
      </c>
      <c r="J86" s="69" t="str">
        <f>_xll.qlSwapRateHelper2(,H86,,B86,JoinCalendar,USD3M!D86,USD3M!E86,USD3M!F86,USD3M!G86,USD3M!I86,USD3M!C86,Discounting,PillarDate,,Permanent,Trigger,ObjectOverwrite)</f>
        <v>obj_002e9#0311</v>
      </c>
      <c r="L86" s="76" t="str">
        <f t="shared" si="20"/>
        <v>Sw</v>
      </c>
      <c r="M86" s="154" t="str">
        <f t="shared" si="21"/>
        <v>--</v>
      </c>
      <c r="N86" s="162" t="str">
        <f>IFERROR(_xll.qlRateHelperQuoteName(M86,Trigger),"--")</f>
        <v>--</v>
      </c>
      <c r="O86" s="155" t="str">
        <f>IFERROR(_xll.qlRateHelperQuoteValue($M86,Trigger),"--")</f>
        <v>--</v>
      </c>
      <c r="P86" s="154" t="b">
        <v>0</v>
      </c>
      <c r="Q86" s="154">
        <v>40</v>
      </c>
      <c r="R86" s="154">
        <v>1</v>
      </c>
      <c r="S86" s="156" t="str">
        <f>IFERROR(_xll.qlRateHelperEarliestDate(M86,Trigger),"--")</f>
        <v>--</v>
      </c>
      <c r="T86" s="156" t="str">
        <f>IFERROR(_xll.qlRateHelperPillarDate(M86,Trigger),"--")</f>
        <v>--</v>
      </c>
      <c r="V86" s="4" t="str">
        <f t="shared" si="19"/>
        <v/>
      </c>
      <c r="W86" s="4" t="e">
        <v>#N/A</v>
      </c>
      <c r="X86" s="4" t="str">
        <f>IFERROR(_xll.qlRateHelperQuoteName(W86,Trigger),"")</f>
        <v/>
      </c>
      <c r="Y86" s="75" t="str">
        <f>IFERROR(_xll.qlRateHelperRate(W86,Trigger),"")</f>
        <v/>
      </c>
      <c r="Z86" s="115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83" t="e">
        <v>#N/A</v>
      </c>
    </row>
    <row r="87" spans="1:29" x14ac:dyDescent="0.2">
      <c r="A87" s="1" t="s">
        <v>26</v>
      </c>
      <c r="B87" s="9" t="s">
        <v>147</v>
      </c>
      <c r="C87" s="7" t="s">
        <v>6</v>
      </c>
      <c r="D87" s="7" t="s">
        <v>8</v>
      </c>
      <c r="E87" s="7" t="s">
        <v>7</v>
      </c>
      <c r="F87" s="7" t="s">
        <v>28</v>
      </c>
      <c r="G87" s="7" t="str">
        <f t="shared" si="17"/>
        <v>UsdLibor3M</v>
      </c>
      <c r="H87" s="1" t="str">
        <f t="shared" si="18"/>
        <v>USDAM3L60Y_Quote</v>
      </c>
      <c r="I87" s="141">
        <v>0</v>
      </c>
      <c r="J87" s="3" t="str">
        <f>_xll.qlSwapRateHelper2(,H87,,B87,JoinCalendar,USD3M!D87,USD3M!E87,USD3M!F87,USD3M!G87,USD3M!I87,USD3M!C87,Discounting,PillarDate,,Permanent,Trigger,ObjectOverwrite)</f>
        <v>obj_00294#0311</v>
      </c>
      <c r="L87" s="76" t="str">
        <f t="shared" si="20"/>
        <v>Sw</v>
      </c>
      <c r="M87" s="154" t="str">
        <f t="shared" si="21"/>
        <v>--</v>
      </c>
      <c r="N87" s="162" t="str">
        <f>IFERROR(_xll.qlRateHelperQuoteName(M87,Trigger),"--")</f>
        <v>--</v>
      </c>
      <c r="O87" s="155" t="str">
        <f>IFERROR(_xll.qlRateHelperQuoteValue($M87,Trigger),"--")</f>
        <v>--</v>
      </c>
      <c r="P87" s="154" t="b">
        <v>0</v>
      </c>
      <c r="Q87" s="154">
        <v>40</v>
      </c>
      <c r="R87" s="154">
        <v>1</v>
      </c>
      <c r="S87" s="156" t="str">
        <f>IFERROR(_xll.qlRateHelperEarliestDate(M87,Trigger),"--")</f>
        <v>--</v>
      </c>
      <c r="T87" s="156" t="str">
        <f>IFERROR(_xll.qlRateHelperPillarDate(M87,Trigger),"--")</f>
        <v>--</v>
      </c>
      <c r="V87" s="4" t="str">
        <f t="shared" si="19"/>
        <v/>
      </c>
      <c r="W87" s="4" t="e">
        <v>#N/A</v>
      </c>
      <c r="X87" s="4" t="str">
        <f>IFERROR(_xll.qlRateHelperQuoteName(W87,Trigger),"")</f>
        <v/>
      </c>
      <c r="Y87" s="75" t="str">
        <f>IFERROR(_xll.qlRateHelperRate(W87,Trigger),"")</f>
        <v/>
      </c>
      <c r="Z87" s="115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83" t="e">
        <v>#N/A</v>
      </c>
    </row>
    <row r="88" spans="1:29" x14ac:dyDescent="0.2">
      <c r="L88" s="77" t="str">
        <f t="shared" si="20"/>
        <v>Sw</v>
      </c>
      <c r="M88" s="157" t="str">
        <f t="shared" si="21"/>
        <v>--</v>
      </c>
      <c r="N88" s="167" t="str">
        <f>IFERROR(_xll.qlRateHelperQuoteName(M88,Trigger),"--")</f>
        <v>--</v>
      </c>
      <c r="O88" s="168" t="str">
        <f>IFERROR(_xll.qlRateHelperQuoteValue($M88,Trigger),"--")</f>
        <v>--</v>
      </c>
      <c r="P88" s="157" t="b">
        <v>0</v>
      </c>
      <c r="Q88" s="157">
        <v>40</v>
      </c>
      <c r="R88" s="157">
        <v>1</v>
      </c>
      <c r="S88" s="166" t="str">
        <f>IFERROR(_xll.qlRateHelperEarliestDate(M88,Trigger),"--")</f>
        <v>--</v>
      </c>
      <c r="T88" s="166" t="str">
        <f>IFERROR(_xll.qlRateHelperPillarDate(M88,Trigger),"--")</f>
        <v>--</v>
      </c>
      <c r="V88" s="6" t="str">
        <f t="shared" si="19"/>
        <v/>
      </c>
      <c r="W88" s="6" t="e">
        <v>#N/A</v>
      </c>
      <c r="X88" s="6" t="str">
        <f>IFERROR(_xll.qlRateHelperQuoteName(W88,Trigger),"")</f>
        <v/>
      </c>
      <c r="Y88" s="85" t="str">
        <f>IFERROR(_xll.qlRateHelperRate(W88,Trigger),"")</f>
        <v/>
      </c>
      <c r="Z88" s="116" t="str">
        <f>IF(ISERROR(_xll.qlSwapRateHelperSpread($W88)),IF(ISERROR(_xll.qlFuturesRateHelperConvexityAdjustment($W88)),"",_xll.qlFuturesRateHelperConvexityAdjustment($W88)),_xll.qlSwapRateHelperSpread($W88))</f>
        <v/>
      </c>
      <c r="AA88" s="13" t="str">
        <f>IFERROR(_xll.qlRateHelperEarliestDate(W88,Trigger),"")</f>
        <v/>
      </c>
      <c r="AB88" s="13" t="str">
        <f>IFERROR(_xll.qlRateHelperPillarDate(W88,Trigger),"")</f>
        <v/>
      </c>
      <c r="AC88" s="84" t="e">
        <v>#N/A</v>
      </c>
    </row>
    <row r="89" spans="1:29" x14ac:dyDescent="0.2">
      <c r="A89" s="70" t="s">
        <v>9</v>
      </c>
      <c r="B89" s="70" t="s">
        <v>30</v>
      </c>
      <c r="C89" s="70" t="s">
        <v>151</v>
      </c>
      <c r="D89" s="70" t="s">
        <v>5</v>
      </c>
      <c r="E89" s="70" t="s">
        <v>35</v>
      </c>
      <c r="F89" s="70" t="s">
        <v>152</v>
      </c>
      <c r="G89" s="70" t="s">
        <v>4</v>
      </c>
      <c r="H89" s="70" t="s">
        <v>1</v>
      </c>
      <c r="I89" s="70" t="s">
        <v>148</v>
      </c>
      <c r="J89" s="70" t="s">
        <v>25</v>
      </c>
    </row>
    <row r="90" spans="1:29" x14ac:dyDescent="0.2">
      <c r="A90" s="57" t="s">
        <v>26</v>
      </c>
      <c r="B90" s="126">
        <v>12</v>
      </c>
      <c r="C90" s="59" t="s">
        <v>6</v>
      </c>
      <c r="D90" s="65" t="s">
        <v>8</v>
      </c>
      <c r="E90" s="65" t="s">
        <v>7</v>
      </c>
      <c r="F90" s="65" t="s">
        <v>28</v>
      </c>
      <c r="G90" s="65" t="str">
        <f t="shared" ref="G90:G96" si="22">PROPER(Currency)&amp;FamilyName&amp;Tenor</f>
        <v>UsdLibor3M</v>
      </c>
      <c r="H90" s="63" t="str">
        <f>Currency&amp;"1S"&amp;$B90&amp;"_Quote"</f>
        <v>USD1S12_Quote</v>
      </c>
      <c r="I90" s="139">
        <v>0</v>
      </c>
      <c r="J90" s="62" t="s">
        <v>154</v>
      </c>
      <c r="K90" s="50" t="s">
        <v>47</v>
      </c>
    </row>
    <row r="91" spans="1:29" x14ac:dyDescent="0.2">
      <c r="A91" s="63" t="s">
        <v>26</v>
      </c>
      <c r="B91" s="127">
        <v>12</v>
      </c>
      <c r="C91" s="65" t="s">
        <v>6</v>
      </c>
      <c r="D91" s="65" t="s">
        <v>8</v>
      </c>
      <c r="E91" s="65" t="s">
        <v>7</v>
      </c>
      <c r="F91" s="65" t="s">
        <v>28</v>
      </c>
      <c r="G91" s="65" t="str">
        <f t="shared" si="22"/>
        <v>UsdLibor3M</v>
      </c>
      <c r="H91" s="63" t="str">
        <f>Currency&amp;"2S"&amp;$B91&amp;"_Quote"</f>
        <v>USD2S12_Quote</v>
      </c>
      <c r="I91" s="140">
        <v>0</v>
      </c>
      <c r="J91" s="69"/>
    </row>
    <row r="92" spans="1:29" x14ac:dyDescent="0.2">
      <c r="A92" s="63" t="s">
        <v>26</v>
      </c>
      <c r="B92" s="127">
        <v>12</v>
      </c>
      <c r="C92" s="65" t="s">
        <v>6</v>
      </c>
      <c r="D92" s="65" t="s">
        <v>8</v>
      </c>
      <c r="E92" s="65" t="s">
        <v>7</v>
      </c>
      <c r="F92" s="65" t="s">
        <v>28</v>
      </c>
      <c r="G92" s="65" t="str">
        <f t="shared" si="22"/>
        <v>UsdLibor3M</v>
      </c>
      <c r="H92" s="63" t="str">
        <f>Currency&amp;"3S"&amp;$B92&amp;"_Quote"</f>
        <v>USD3S12_Quote</v>
      </c>
      <c r="I92" s="140">
        <v>0</v>
      </c>
      <c r="J92" s="69"/>
    </row>
    <row r="93" spans="1:29" x14ac:dyDescent="0.2">
      <c r="A93" s="63" t="s">
        <v>26</v>
      </c>
      <c r="B93" s="127">
        <v>12</v>
      </c>
      <c r="C93" s="65" t="s">
        <v>6</v>
      </c>
      <c r="D93" s="65" t="s">
        <v>8</v>
      </c>
      <c r="E93" s="65" t="s">
        <v>7</v>
      </c>
      <c r="F93" s="65" t="s">
        <v>28</v>
      </c>
      <c r="G93" s="65" t="str">
        <f t="shared" si="22"/>
        <v>UsdLibor3M</v>
      </c>
      <c r="H93" s="63" t="str">
        <f>Currency&amp;"4S"&amp;$B93&amp;"_Quote"</f>
        <v>USD4S12_Quote</v>
      </c>
      <c r="I93" s="140">
        <v>0</v>
      </c>
      <c r="J93" s="69"/>
    </row>
    <row r="94" spans="1:29" x14ac:dyDescent="0.2">
      <c r="A94" s="63" t="s">
        <v>26</v>
      </c>
      <c r="B94" s="127">
        <v>24</v>
      </c>
      <c r="C94" s="65" t="s">
        <v>6</v>
      </c>
      <c r="D94" s="65" t="s">
        <v>8</v>
      </c>
      <c r="E94" s="65" t="s">
        <v>7</v>
      </c>
      <c r="F94" s="65" t="s">
        <v>28</v>
      </c>
      <c r="G94" s="65" t="str">
        <f t="shared" si="22"/>
        <v>UsdLibor3M</v>
      </c>
      <c r="H94" s="63" t="str">
        <f>Currency&amp;"1S"&amp;$B94&amp;"_Quote"</f>
        <v>USD1S24_Quote</v>
      </c>
      <c r="I94" s="140">
        <v>0</v>
      </c>
      <c r="J94" s="69"/>
    </row>
    <row r="95" spans="1:29" x14ac:dyDescent="0.2">
      <c r="A95" s="63" t="s">
        <v>26</v>
      </c>
      <c r="B95" s="127">
        <v>24</v>
      </c>
      <c r="C95" s="65" t="s">
        <v>6</v>
      </c>
      <c r="D95" s="65" t="s">
        <v>8</v>
      </c>
      <c r="E95" s="65" t="s">
        <v>7</v>
      </c>
      <c r="F95" s="65" t="s">
        <v>28</v>
      </c>
      <c r="G95" s="65" t="str">
        <f t="shared" si="22"/>
        <v>UsdLibor3M</v>
      </c>
      <c r="H95" s="63" t="str">
        <f>Currency&amp;"2S"&amp;$B95&amp;"_Quote"</f>
        <v>USD2S24_Quote</v>
      </c>
      <c r="I95" s="140">
        <v>0</v>
      </c>
      <c r="J95" s="69"/>
    </row>
    <row r="96" spans="1:29" x14ac:dyDescent="0.2">
      <c r="A96" s="1" t="s">
        <v>26</v>
      </c>
      <c r="B96" s="128">
        <v>36</v>
      </c>
      <c r="C96" s="7" t="s">
        <v>6</v>
      </c>
      <c r="D96" s="7" t="s">
        <v>8</v>
      </c>
      <c r="E96" s="7" t="s">
        <v>7</v>
      </c>
      <c r="F96" s="7" t="s">
        <v>28</v>
      </c>
      <c r="G96" s="7" t="str">
        <f t="shared" si="22"/>
        <v>UsdLibor3M</v>
      </c>
      <c r="H96" s="1" t="str">
        <f>Currency&amp;"1S"&amp;$B96&amp;"_Quote"</f>
        <v>USD1S36_Quote</v>
      </c>
      <c r="I96" s="143">
        <v>0</v>
      </c>
      <c r="J96" s="3"/>
    </row>
  </sheetData>
  <mergeCells count="1">
    <mergeCell ref="AE2:AF2"/>
  </mergeCells>
  <dataValidations count="4">
    <dataValidation type="list" allowBlank="1" showInputMessage="1" showErrorMessage="1" sqref="D50:D87 D90:D96">
      <formula1>"Annual,Semiannual,EveryFourthMonth,Quarterly,Bimonthly,Monthly,Biweekly,Weekly,Daily,Once,NoFrequency"</formula1>
    </dataValidation>
    <dataValidation type="list" allowBlank="1" showInputMessage="1" showErrorMessage="1" sqref="E50:E87 E90:E96">
      <formula1>"Following,Modified Following,Preceding,Modified Preceding,Unadjusted,Half-Month Modified Following"</formula1>
    </dataValidation>
    <dataValidation type="list" allowBlank="1" showInputMessage="1" showErrorMessage="1" sqref="F50:F87 F90:F9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50" hidden="1" customWidth="1" outlineLevel="1"/>
    <col min="2" max="2" width="6" style="55" hidden="1" customWidth="1" outlineLevel="1"/>
    <col min="3" max="3" width="6.7109375" style="54" hidden="1" customWidth="1" outlineLevel="1"/>
    <col min="4" max="4" width="7" style="54" hidden="1" customWidth="1" outlineLevel="1"/>
    <col min="5" max="5" width="19.28515625" style="54" hidden="1" customWidth="1" outlineLevel="1"/>
    <col min="6" max="6" width="11" style="54" hidden="1" customWidth="1" outlineLevel="1"/>
    <col min="7" max="7" width="15.140625" style="54" hidden="1" customWidth="1" outlineLevel="1"/>
    <col min="8" max="8" width="23.42578125" style="56" hidden="1" customWidth="1" outlineLevel="1"/>
    <col min="9" max="9" width="9" style="50" hidden="1" customWidth="1" outlineLevel="1"/>
    <col min="10" max="10" width="15.140625" style="50" hidden="1" customWidth="1" outlineLevel="1"/>
    <col min="11" max="11" width="2.7109375" style="50" customWidth="1" collapsed="1"/>
    <col min="12" max="12" width="5" style="50" hidden="1" customWidth="1" outlineLevel="1"/>
    <col min="13" max="13" width="15.140625" style="114" hidden="1" customWidth="1" outlineLevel="1"/>
    <col min="14" max="14" width="22.42578125" style="114" hidden="1" customWidth="1" outlineLevel="1"/>
    <col min="15" max="15" width="9.7109375" style="114" hidden="1" customWidth="1" outlineLevel="1"/>
    <col min="16" max="16" width="7.85546875" style="114" hidden="1" customWidth="1" outlineLevel="1"/>
    <col min="17" max="17" width="9" style="114" hidden="1" customWidth="1" outlineLevel="1"/>
    <col min="18" max="18" width="5.85546875" style="114" hidden="1" customWidth="1" outlineLevel="1"/>
    <col min="19" max="20" width="10.7109375" style="114" hidden="1" customWidth="1" outlineLevel="1"/>
    <col min="21" max="21" width="2.7109375" style="52" hidden="1" customWidth="1" outlineLevel="1"/>
    <col min="22" max="22" width="6" style="50" bestFit="1" customWidth="1" collapsed="1"/>
    <col min="23" max="23" width="10.140625" style="50" hidden="1" customWidth="1" outlineLevel="1"/>
    <col min="24" max="24" width="24.7109375" style="50" customWidth="1" collapsed="1"/>
    <col min="25" max="26" width="9.7109375" style="50" customWidth="1"/>
    <col min="27" max="28" width="17.28515625" style="50" bestFit="1" customWidth="1"/>
    <col min="29" max="29" width="12" style="50" bestFit="1" customWidth="1"/>
    <col min="30" max="30" width="2.7109375" style="50" customWidth="1"/>
    <col min="31" max="31" width="24.42578125" style="50" bestFit="1" customWidth="1"/>
    <col min="32" max="32" width="9" style="50" bestFit="1" customWidth="1"/>
    <col min="33" max="16384" width="9.140625" style="50"/>
  </cols>
  <sheetData>
    <row r="1" spans="1:32" ht="18" customHeight="1" x14ac:dyDescent="0.2">
      <c r="G1" s="54" t="s">
        <v>3</v>
      </c>
      <c r="H1" s="54" t="str">
        <f>"_SYNTH"&amp;Tenor</f>
        <v>_SYNTH6M</v>
      </c>
      <c r="L1" s="72" t="s">
        <v>25</v>
      </c>
      <c r="M1" s="117"/>
      <c r="N1" s="117"/>
      <c r="O1" s="117"/>
      <c r="P1" s="117"/>
      <c r="Q1" s="117"/>
      <c r="R1" s="117"/>
      <c r="S1" s="117"/>
      <c r="T1" s="107"/>
      <c r="U1" s="104"/>
      <c r="V1" s="80" t="str">
        <f>Currency&amp;Tenor</f>
        <v>USD6M</v>
      </c>
      <c r="W1" s="71"/>
      <c r="X1" s="71"/>
      <c r="Y1" s="74"/>
      <c r="Z1" s="74"/>
      <c r="AA1" s="71"/>
      <c r="AB1" s="71"/>
      <c r="AC1" s="78" t="s">
        <v>33</v>
      </c>
    </row>
    <row r="2" spans="1:32" ht="21.75" customHeight="1" x14ac:dyDescent="0.2">
      <c r="A2" s="70" t="s">
        <v>9</v>
      </c>
      <c r="B2" s="70" t="s">
        <v>30</v>
      </c>
      <c r="C2" s="70" t="s">
        <v>125</v>
      </c>
      <c r="D2" s="70"/>
      <c r="E2" s="70"/>
      <c r="F2" s="70"/>
      <c r="G2" s="70" t="s">
        <v>4</v>
      </c>
      <c r="H2" s="70" t="s">
        <v>1</v>
      </c>
      <c r="I2" s="70"/>
      <c r="J2" s="70" t="s">
        <v>25</v>
      </c>
      <c r="L2" s="79" t="s">
        <v>9</v>
      </c>
      <c r="M2" s="79" t="s">
        <v>25</v>
      </c>
      <c r="N2" s="79" t="s">
        <v>112</v>
      </c>
      <c r="O2" s="79" t="s">
        <v>115</v>
      </c>
      <c r="P2" s="79" t="s">
        <v>113</v>
      </c>
      <c r="Q2" s="79" t="s">
        <v>114</v>
      </c>
      <c r="R2" s="79" t="s">
        <v>116</v>
      </c>
      <c r="S2" s="79" t="s">
        <v>23</v>
      </c>
      <c r="T2" s="79" t="s">
        <v>109</v>
      </c>
      <c r="U2" s="104"/>
      <c r="V2" s="79" t="s">
        <v>9</v>
      </c>
      <c r="W2" s="79" t="s">
        <v>25</v>
      </c>
      <c r="X2" s="79" t="s">
        <v>112</v>
      </c>
      <c r="Y2" s="81" t="s">
        <v>24</v>
      </c>
      <c r="Z2" s="81" t="s">
        <v>117</v>
      </c>
      <c r="AA2" s="79" t="s">
        <v>23</v>
      </c>
      <c r="AB2" s="79" t="s">
        <v>109</v>
      </c>
      <c r="AC2" s="82">
        <f t="array" ref="AC2:AC66">_xll.qlPiecewiseYieldCurveData(YieldCurve_6M,Trigger)</f>
        <v>1</v>
      </c>
      <c r="AE2" s="250" t="s">
        <v>118</v>
      </c>
      <c r="AF2" s="251"/>
    </row>
    <row r="3" spans="1:32" ht="11.25" customHeight="1" x14ac:dyDescent="0.2">
      <c r="A3" s="121" t="s">
        <v>27</v>
      </c>
      <c r="B3" s="122" t="s">
        <v>104</v>
      </c>
      <c r="C3" s="123" t="s">
        <v>49</v>
      </c>
      <c r="D3" s="135"/>
      <c r="E3" s="135"/>
      <c r="F3" s="135"/>
      <c r="G3" s="124" t="str">
        <f>Currency&amp;"FedFunds"</f>
        <v>USDFedFunds</v>
      </c>
      <c r="H3" s="132" t="str">
        <f t="shared" ref="H3:H12" si="0">Currency&amp;$B3&amp;"D"&amp;$H$1&amp;QuoteSuffix</f>
        <v>USDSND_SYNTH6M_Quote</v>
      </c>
      <c r="I3" s="135"/>
      <c r="J3" s="125"/>
      <c r="K3" s="53"/>
      <c r="L3" s="73" t="str">
        <f>A3</f>
        <v>Dp</v>
      </c>
      <c r="M3" s="144" t="str">
        <f>IF(ISBLANK(J3),"--",J3)</f>
        <v>--</v>
      </c>
      <c r="N3" s="158" t="str">
        <f>IFERROR(_xll.qlRateHelperQuoteName(M3,Trigger),"--")</f>
        <v>--</v>
      </c>
      <c r="O3" s="146" t="str">
        <f>IFERROR(_xll.qlRateHelperQuoteValue($M3,Trigger),"--")</f>
        <v>--</v>
      </c>
      <c r="P3" s="145" t="b">
        <v>0</v>
      </c>
      <c r="Q3" s="144">
        <v>10</v>
      </c>
      <c r="R3" s="144">
        <v>1</v>
      </c>
      <c r="S3" s="147" t="str">
        <f>IFERROR(_xll.qlRateHelperEarliestDate(M3,Trigger),"--")</f>
        <v>--</v>
      </c>
      <c r="T3" s="147" t="str">
        <f>IFERROR(_xll.qlRateHelperPillarDate(M3,Trigger),"--")</f>
        <v>--</v>
      </c>
      <c r="V3" s="4" t="str">
        <f>IFERROR(INDEX($L$3:$L$88,MATCH(X3,$N$3:$N$88,0),1),"")</f>
        <v>Dp</v>
      </c>
      <c r="W3" s="4" t="str">
        <f t="array" ref="W3:W66">_xll.qlRateHelperSelection(_xll.ohFilter(RateHelpers,IncludeFlag),_xll.ohFilter(Priority,IncludeFlag),$AF$3,$AF$4,$AF$5,$AF$6,_xll.ohFilter(MinDistance,IncludeFlag),Trigger)</f>
        <v>obj_002d0</v>
      </c>
      <c r="X3" s="4" t="str">
        <f>IFERROR(_xll.qlRateHelperQuoteName(W3,Trigger),"")</f>
        <v>USD1MD_SYNTH6M_Quote</v>
      </c>
      <c r="Y3" s="75">
        <f>IFERROR(_xll.qlRateHelperRate(W3,Trigger),"")</f>
        <v>8.8640000000000004E-3</v>
      </c>
      <c r="Z3" s="115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42450</v>
      </c>
      <c r="AB3" s="5">
        <f>IFERROR(_xll.qlRateHelperPillarDate(W3,Trigger),"")</f>
        <v>42481</v>
      </c>
      <c r="AC3" s="83">
        <v>0.99923729327667854</v>
      </c>
      <c r="AE3" s="118" t="s">
        <v>119</v>
      </c>
      <c r="AF3" s="119">
        <v>0</v>
      </c>
    </row>
    <row r="4" spans="1:32" ht="11.25" customHeight="1" x14ac:dyDescent="0.2">
      <c r="A4" s="57" t="s">
        <v>27</v>
      </c>
      <c r="B4" s="58" t="s">
        <v>124</v>
      </c>
      <c r="C4" s="60" t="s">
        <v>50</v>
      </c>
      <c r="D4" s="142"/>
      <c r="E4" s="142"/>
      <c r="F4" s="142"/>
      <c r="G4" s="59" t="str">
        <f>PROPER(Currency)&amp;FamilyName&amp;B4</f>
        <v>UsdLiborSW</v>
      </c>
      <c r="H4" s="169" t="str">
        <f t="shared" si="0"/>
        <v>USDSWD_SYNTH6M_Quote</v>
      </c>
      <c r="I4" s="142"/>
      <c r="J4" s="62"/>
      <c r="K4" s="52"/>
      <c r="L4" s="11" t="str">
        <f t="shared" ref="L4:L9" si="1">A4</f>
        <v>Dp</v>
      </c>
      <c r="M4" s="105" t="str">
        <f t="shared" ref="M4:M9" si="2">IF(ISBLANK(J4),"--",J4)</f>
        <v>--</v>
      </c>
      <c r="N4" s="159" t="str">
        <f>IFERROR(_xll.qlRateHelperQuoteName(M4,Trigger),"--")</f>
        <v>--</v>
      </c>
      <c r="O4" s="109" t="str">
        <f>IFERROR(_xll.qlRateHelperQuoteValue($M4,Trigger),"--")</f>
        <v>--</v>
      </c>
      <c r="P4" s="108" t="b">
        <v>0</v>
      </c>
      <c r="Q4" s="105">
        <v>10</v>
      </c>
      <c r="R4" s="105">
        <v>1</v>
      </c>
      <c r="S4" s="110" t="str">
        <f>IFERROR(_xll.qlRateHelperEarliestDate(M4,Trigger),"--")</f>
        <v>--</v>
      </c>
      <c r="T4" s="110" t="str">
        <f>IFERROR(_xll.qlRateHelperPillarDate(M4,Trigger),"--")</f>
        <v>--</v>
      </c>
      <c r="V4" s="4" t="str">
        <f t="shared" ref="V4:V66" si="3">IFERROR(INDEX($L$3:$L$88,MATCH(X4,$N$3:$N$88,0),1),"")</f>
        <v>Dp</v>
      </c>
      <c r="W4" s="4" t="str">
        <v>obj_002f3</v>
      </c>
      <c r="X4" s="4" t="str">
        <f>IFERROR(_xll.qlRateHelperQuoteName(W4,Trigger),"")</f>
        <v>USD2MD_SYNTH6M_Quote</v>
      </c>
      <c r="Y4" s="75">
        <f>IFERROR(_xll.qlRateHelperRate(W4,Trigger),"")</f>
        <v>8.7069999999999995E-3</v>
      </c>
      <c r="Z4" s="115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42450</v>
      </c>
      <c r="AB4" s="5">
        <f>IFERROR(_xll.qlRateHelperPillarDate(W4,Trigger),"")</f>
        <v>42513</v>
      </c>
      <c r="AC4" s="83">
        <v>0.99847859320556775</v>
      </c>
      <c r="AE4" s="118" t="s">
        <v>120</v>
      </c>
      <c r="AF4" s="119">
        <v>0</v>
      </c>
    </row>
    <row r="5" spans="1:32" ht="11.25" customHeight="1" x14ac:dyDescent="0.2">
      <c r="A5" s="175" t="s">
        <v>27</v>
      </c>
      <c r="B5" s="176" t="s">
        <v>51</v>
      </c>
      <c r="C5" s="177" t="str">
        <f>B5</f>
        <v>2W</v>
      </c>
      <c r="D5" s="178"/>
      <c r="E5" s="178"/>
      <c r="F5" s="178"/>
      <c r="G5" s="179" t="str">
        <f>_xll.qlLibor(,Currency,C5,,Permanent,Trigger,ObjectOverwrite)</f>
        <v>obj_002d1#0311</v>
      </c>
      <c r="H5" s="180" t="str">
        <f t="shared" si="0"/>
        <v>USD2WD_SYNTH6M_Quote</v>
      </c>
      <c r="I5" s="178"/>
      <c r="J5" s="181"/>
      <c r="K5" s="52"/>
      <c r="L5" s="11" t="str">
        <f t="shared" si="1"/>
        <v>Dp</v>
      </c>
      <c r="M5" s="105" t="str">
        <f t="shared" si="2"/>
        <v>--</v>
      </c>
      <c r="N5" s="159" t="str">
        <f>IFERROR(_xll.qlRateHelperQuoteName(M5,Trigger),"--")</f>
        <v>--</v>
      </c>
      <c r="O5" s="109" t="str">
        <f>IFERROR(_xll.qlRateHelperQuoteValue($M5,Trigger),"--")</f>
        <v>--</v>
      </c>
      <c r="P5" s="108" t="b">
        <v>0</v>
      </c>
      <c r="Q5" s="105">
        <v>10</v>
      </c>
      <c r="R5" s="105">
        <v>1</v>
      </c>
      <c r="S5" s="110" t="str">
        <f>IFERROR(_xll.qlRateHelperEarliestDate(M5,Trigger),"--")</f>
        <v>--</v>
      </c>
      <c r="T5" s="110" t="str">
        <f>IFERROR(_xll.qlRateHelperPillarDate(M5,Trigger),"--")</f>
        <v>--</v>
      </c>
      <c r="V5" s="4" t="str">
        <f t="shared" si="3"/>
        <v>Dp</v>
      </c>
      <c r="W5" s="4" t="str">
        <v>obj_002c9</v>
      </c>
      <c r="X5" s="4" t="str">
        <f>IFERROR(_xll.qlRateHelperQuoteName(W5,Trigger),"")</f>
        <v>USD3MD_SYNTH6M_Quote</v>
      </c>
      <c r="Y5" s="75">
        <f>IFERROR(_xll.qlRateHelperRate(W5,Trigger),"")</f>
        <v>8.6490000000000004E-3</v>
      </c>
      <c r="Z5" s="115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42450</v>
      </c>
      <c r="AB5" s="5">
        <f>IFERROR(_xll.qlRateHelperPillarDate(W5,Trigger),"")</f>
        <v>42542</v>
      </c>
      <c r="AC5" s="83">
        <v>0.99779457465164734</v>
      </c>
      <c r="AD5" s="86"/>
      <c r="AE5" s="118" t="s">
        <v>121</v>
      </c>
      <c r="AF5" s="119">
        <v>0</v>
      </c>
    </row>
    <row r="6" spans="1:32" ht="11.25" customHeight="1" x14ac:dyDescent="0.2">
      <c r="A6" s="182" t="s">
        <v>27</v>
      </c>
      <c r="B6" s="183" t="s">
        <v>52</v>
      </c>
      <c r="C6" s="184" t="str">
        <f t="shared" ref="C6:C9" si="4">B6</f>
        <v>3W</v>
      </c>
      <c r="D6" s="185"/>
      <c r="E6" s="185"/>
      <c r="F6" s="185"/>
      <c r="G6" s="186" t="str">
        <f>_xll.qlLibor(,Currency,C6,,Permanent,Trigger,ObjectOverwrite)</f>
        <v>obj_0029c#0311</v>
      </c>
      <c r="H6" s="187" t="str">
        <f t="shared" si="0"/>
        <v>USD3WD_SYNTH6M_Quote</v>
      </c>
      <c r="I6" s="185"/>
      <c r="J6" s="188"/>
      <c r="K6" s="52"/>
      <c r="L6" s="11" t="str">
        <f t="shared" si="1"/>
        <v>Dp</v>
      </c>
      <c r="M6" s="105" t="str">
        <f t="shared" si="2"/>
        <v>--</v>
      </c>
      <c r="N6" s="159" t="str">
        <f>IFERROR(_xll.qlRateHelperQuoteName(M6,Trigger),"--")</f>
        <v>--</v>
      </c>
      <c r="O6" s="109" t="str">
        <f>IFERROR(_xll.qlRateHelperQuoteValue($M6,Trigger),"--")</f>
        <v>--</v>
      </c>
      <c r="P6" s="108" t="b">
        <v>0</v>
      </c>
      <c r="Q6" s="105">
        <v>10</v>
      </c>
      <c r="R6" s="105">
        <v>1</v>
      </c>
      <c r="S6" s="110" t="str">
        <f>IFERROR(_xll.qlRateHelperEarliestDate(M6,Trigger),"--")</f>
        <v>--</v>
      </c>
      <c r="T6" s="110" t="str">
        <f>IFERROR(_xll.qlRateHelperPillarDate(M6,Trigger),"--")</f>
        <v>--</v>
      </c>
      <c r="V6" s="4" t="str">
        <f t="shared" si="3"/>
        <v>Dp</v>
      </c>
      <c r="W6" s="4" t="str">
        <v>obj_002c3</v>
      </c>
      <c r="X6" s="4" t="str">
        <f>IFERROR(_xll.qlRateHelperQuoteName(W6,Trigger),"")</f>
        <v>USD4MD_SYNTH6M_Quote</v>
      </c>
      <c r="Y6" s="75">
        <f>IFERROR(_xll.qlRateHelperRate(W6,Trigger),"")</f>
        <v>8.7349999999999997E-3</v>
      </c>
      <c r="Z6" s="115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42450</v>
      </c>
      <c r="AB6" s="5">
        <f>IFERROR(_xll.qlRateHelperPillarDate(W6,Trigger),"")</f>
        <v>42572</v>
      </c>
      <c r="AC6" s="83">
        <v>0.99704854244381635</v>
      </c>
      <c r="AE6" s="118" t="s">
        <v>122</v>
      </c>
      <c r="AF6" s="120" t="s">
        <v>123</v>
      </c>
    </row>
    <row r="7" spans="1:32" ht="11.25" customHeight="1" x14ac:dyDescent="0.2">
      <c r="A7" s="63" t="s">
        <v>27</v>
      </c>
      <c r="B7" s="64" t="s">
        <v>2</v>
      </c>
      <c r="C7" s="67" t="str">
        <f t="shared" si="4"/>
        <v>1M</v>
      </c>
      <c r="D7" s="136"/>
      <c r="E7" s="136"/>
      <c r="F7" s="136"/>
      <c r="G7" s="65" t="str">
        <f>PROPER(Currency)&amp;FamilyName&amp;B7</f>
        <v>UsdLibor1M</v>
      </c>
      <c r="H7" s="133" t="str">
        <f t="shared" si="0"/>
        <v>USD1MD_SYNTH6M_Quote</v>
      </c>
      <c r="I7" s="136"/>
      <c r="J7" s="69" t="str">
        <f>_xll.qlDepositRateHelper(,H7,G7,Permanent,Trigger,ObjectOverwrite)</f>
        <v>obj_002d0#0311</v>
      </c>
      <c r="K7" s="52"/>
      <c r="L7" s="11" t="str">
        <f t="shared" si="1"/>
        <v>Dp</v>
      </c>
      <c r="M7" s="105" t="str">
        <f t="shared" si="2"/>
        <v>obj_002d0#0311</v>
      </c>
      <c r="N7" s="159" t="str">
        <f>IFERROR(_xll.qlRateHelperQuoteName(M7,Trigger),"--")</f>
        <v>USD1MD_SYNTH6M_Quote</v>
      </c>
      <c r="O7" s="109">
        <f>IFERROR(_xll.qlRateHelperQuoteValue($M7,Trigger),"--")</f>
        <v>8.8640000000000004E-3</v>
      </c>
      <c r="P7" s="108" t="b">
        <v>1</v>
      </c>
      <c r="Q7" s="105">
        <v>10</v>
      </c>
      <c r="R7" s="105">
        <v>1</v>
      </c>
      <c r="S7" s="110">
        <f>IFERROR(_xll.qlRateHelperEarliestDate(M7,Trigger),"--")</f>
        <v>42450</v>
      </c>
      <c r="T7" s="110">
        <f>IFERROR(_xll.qlRateHelperPillarDate(M7,Trigger),"--")</f>
        <v>42481</v>
      </c>
      <c r="V7" s="4" t="str">
        <f t="shared" si="3"/>
        <v>Dp</v>
      </c>
      <c r="W7" s="4" t="str">
        <v>obj_0030e</v>
      </c>
      <c r="X7" s="4" t="str">
        <f>IFERROR(_xll.qlRateHelperQuoteName(W7,Trigger),"")</f>
        <v>USD5MD_SYNTH6M_Quote</v>
      </c>
      <c r="Y7" s="75">
        <f>IFERROR(_xll.qlRateHelperRate(W7,Trigger),"")</f>
        <v>8.8149999999999999E-3</v>
      </c>
      <c r="Z7" s="115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42450</v>
      </c>
      <c r="AB7" s="5">
        <f>IFERROR(_xll.qlRateHelperPillarDate(W7,Trigger),"")</f>
        <v>42604</v>
      </c>
      <c r="AC7" s="83">
        <v>0.99624330486448165</v>
      </c>
    </row>
    <row r="8" spans="1:32" ht="11.25" customHeight="1" x14ac:dyDescent="0.25">
      <c r="A8" s="63" t="s">
        <v>27</v>
      </c>
      <c r="B8" s="64" t="s">
        <v>53</v>
      </c>
      <c r="C8" s="67" t="str">
        <f t="shared" si="4"/>
        <v>2M</v>
      </c>
      <c r="D8" s="136"/>
      <c r="E8" s="136"/>
      <c r="F8" s="136"/>
      <c r="G8" s="65" t="str">
        <f>PROPER(Currency)&amp;FamilyName&amp;B8</f>
        <v>UsdLibor2M</v>
      </c>
      <c r="H8" s="133" t="str">
        <f t="shared" si="0"/>
        <v>USD2MD_SYNTH6M_Quote</v>
      </c>
      <c r="I8" s="136"/>
      <c r="J8" s="69" t="str">
        <f>_xll.qlDepositRateHelper(,H8,G8,Permanent,Trigger,ObjectOverwrite)</f>
        <v>obj_002f3#0311</v>
      </c>
      <c r="K8" s="52"/>
      <c r="L8" s="11" t="str">
        <f t="shared" si="1"/>
        <v>Dp</v>
      </c>
      <c r="M8" s="105" t="str">
        <f t="shared" si="2"/>
        <v>obj_002f3#0311</v>
      </c>
      <c r="N8" s="159" t="str">
        <f>IFERROR(_xll.qlRateHelperQuoteName(M8,Trigger),"--")</f>
        <v>USD2MD_SYNTH6M_Quote</v>
      </c>
      <c r="O8" s="109">
        <f>IFERROR(_xll.qlRateHelperQuoteValue($M8,Trigger),"--")</f>
        <v>8.7069999999999995E-3</v>
      </c>
      <c r="P8" s="108" t="b">
        <v>1</v>
      </c>
      <c r="Q8" s="105">
        <v>10</v>
      </c>
      <c r="R8" s="105">
        <v>1</v>
      </c>
      <c r="S8" s="110">
        <f>IFERROR(_xll.qlRateHelperEarliestDate(M8,Trigger),"--")</f>
        <v>42450</v>
      </c>
      <c r="T8" s="110">
        <f>IFERROR(_xll.qlRateHelperPillarDate(M8,Trigger),"--")</f>
        <v>42513</v>
      </c>
      <c r="V8" s="4" t="str">
        <f t="shared" si="3"/>
        <v>Dp</v>
      </c>
      <c r="W8" s="4" t="str">
        <v>obj_002c2</v>
      </c>
      <c r="X8" s="4" t="str">
        <f>IFERROR(_xll.qlRateHelperQuoteName(W8,Trigger),"")</f>
        <v>USD6MD_SYNTH6M_Quote</v>
      </c>
      <c r="Y8" s="75">
        <f>IFERROR(_xll.qlRateHelperRate(W8,Trigger),"")</f>
        <v>8.8830000000000003E-3</v>
      </c>
      <c r="Z8" s="115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42450</v>
      </c>
      <c r="AB8" s="5">
        <f>IFERROR(_xll.qlRateHelperPillarDate(W8,Trigger),"")</f>
        <v>42634</v>
      </c>
      <c r="AC8" s="83">
        <v>0.99548032025000099</v>
      </c>
    </row>
    <row r="9" spans="1:32" ht="11.25" customHeight="1" x14ac:dyDescent="0.25">
      <c r="A9" s="63" t="s">
        <v>27</v>
      </c>
      <c r="B9" s="64" t="s">
        <v>0</v>
      </c>
      <c r="C9" s="67" t="str">
        <f t="shared" si="4"/>
        <v>3M</v>
      </c>
      <c r="D9" s="136"/>
      <c r="E9" s="136"/>
      <c r="F9" s="136"/>
      <c r="G9" s="65" t="str">
        <f>PROPER(Currency)&amp;FamilyName&amp;B9</f>
        <v>UsdLibor3M</v>
      </c>
      <c r="H9" s="133" t="str">
        <f t="shared" si="0"/>
        <v>USD3MD_SYNTH6M_Quote</v>
      </c>
      <c r="I9" s="136"/>
      <c r="J9" s="69" t="str">
        <f>_xll.qlDepositRateHelper(,H9,G9,Permanent,Trigger,ObjectOverwrite)</f>
        <v>obj_002c9#0311</v>
      </c>
      <c r="K9" s="52"/>
      <c r="L9" s="11" t="str">
        <f t="shared" si="1"/>
        <v>Dp</v>
      </c>
      <c r="M9" s="105" t="str">
        <f t="shared" si="2"/>
        <v>obj_002c9#0311</v>
      </c>
      <c r="N9" s="159" t="str">
        <f>IFERROR(_xll.qlRateHelperQuoteName(M9,Trigger),"--")</f>
        <v>USD3MD_SYNTH6M_Quote</v>
      </c>
      <c r="O9" s="109">
        <f>IFERROR(_xll.qlRateHelperQuoteValue($M9,Trigger),"--")</f>
        <v>8.6490000000000004E-3</v>
      </c>
      <c r="P9" s="108" t="b">
        <v>1</v>
      </c>
      <c r="Q9" s="105">
        <v>10</v>
      </c>
      <c r="R9" s="105">
        <v>1</v>
      </c>
      <c r="S9" s="110">
        <f>IFERROR(_xll.qlRateHelperEarliestDate(M9,Trigger),"--")</f>
        <v>42450</v>
      </c>
      <c r="T9" s="110">
        <f>IFERROR(_xll.qlRateHelperPillarDate(M9,Trigger),"--")</f>
        <v>42542</v>
      </c>
      <c r="V9" s="4" t="str">
        <f t="shared" si="3"/>
        <v>FRA</v>
      </c>
      <c r="W9" s="4" t="str">
        <v>obj_0027d</v>
      </c>
      <c r="X9" s="4" t="str">
        <f>IFERROR(_xll.qlRateHelperQuoteName(W9,Trigger),"")</f>
        <v>USD1x7F_Quote</v>
      </c>
      <c r="Y9" s="75">
        <f>IFERROR(_xll.qlRateHelperRate(W9,Trigger),"")</f>
        <v>9.0399999999999994E-3</v>
      </c>
      <c r="Z9" s="115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42481</v>
      </c>
      <c r="AB9" s="5">
        <f>IFERROR(_xll.qlRateHelperPillarDate(W9,Trigger),"")</f>
        <v>42664</v>
      </c>
      <c r="AC9" s="83">
        <v>0.99466646929477942</v>
      </c>
    </row>
    <row r="10" spans="1:32" ht="11.25" customHeight="1" x14ac:dyDescent="0.2">
      <c r="A10" s="175" t="s">
        <v>27</v>
      </c>
      <c r="B10" s="176" t="s">
        <v>54</v>
      </c>
      <c r="C10" s="177" t="str">
        <f t="shared" ref="C10:C12" si="5">B10</f>
        <v>4M</v>
      </c>
      <c r="D10" s="178"/>
      <c r="E10" s="178"/>
      <c r="F10" s="178"/>
      <c r="G10" s="179" t="str">
        <f>_xll.qlLibor(,Currency,C10,,Permanent,Trigger,ObjectOverwrite)</f>
        <v>obj_00279#0312</v>
      </c>
      <c r="H10" s="180" t="str">
        <f t="shared" si="0"/>
        <v>USD4MD_SYNTH6M_Quote</v>
      </c>
      <c r="I10" s="178"/>
      <c r="J10" s="181" t="str">
        <f>_xll.qlDepositRateHelper(,H10,G10,Permanent,Trigger,ObjectOverwrite)</f>
        <v>obj_002c3#0311</v>
      </c>
      <c r="K10" s="52"/>
      <c r="L10" s="11" t="str">
        <f t="shared" ref="L10:L12" si="6">A10</f>
        <v>Dp</v>
      </c>
      <c r="M10" s="105" t="str">
        <f t="shared" ref="M10:M12" si="7">IF(ISBLANK(J10),"--",J10)</f>
        <v>obj_002c3#0311</v>
      </c>
      <c r="N10" s="159" t="str">
        <f>IFERROR(_xll.qlRateHelperQuoteName(M10,Trigger),"--")</f>
        <v>USD4MD_SYNTH6M_Quote</v>
      </c>
      <c r="O10" s="109">
        <f>IFERROR(_xll.qlRateHelperQuoteValue($M10,Trigger),"--")</f>
        <v>8.7349999999999997E-3</v>
      </c>
      <c r="P10" s="108" t="b">
        <v>1</v>
      </c>
      <c r="Q10" s="105">
        <v>10</v>
      </c>
      <c r="R10" s="105">
        <v>1</v>
      </c>
      <c r="S10" s="110">
        <f>IFERROR(_xll.qlRateHelperEarliestDate(M10,Trigger),"--")</f>
        <v>42450</v>
      </c>
      <c r="T10" s="110">
        <f>IFERROR(_xll.qlRateHelperPillarDate(M10,Trigger),"--")</f>
        <v>42572</v>
      </c>
      <c r="V10" s="4" t="str">
        <f t="shared" si="3"/>
        <v>FRA</v>
      </c>
      <c r="W10" s="4" t="str">
        <v>obj_002eb</v>
      </c>
      <c r="X10" s="4" t="str">
        <f>IFERROR(_xll.qlRateHelperQuoteName(W10,Trigger),"")</f>
        <v>USD2x8F_Quote</v>
      </c>
      <c r="Y10" s="75">
        <f>IFERROR(_xll.qlRateHelperRate(W10,Trigger),"")</f>
        <v>9.3600000000000003E-3</v>
      </c>
      <c r="Z10" s="115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42513</v>
      </c>
      <c r="AB10" s="5">
        <f>IFERROR(_xll.qlRateHelperPillarDate(W10,Trigger),"")</f>
        <v>42695</v>
      </c>
      <c r="AC10" s="83">
        <v>0.99378269321869361</v>
      </c>
    </row>
    <row r="11" spans="1:32" ht="11.25" customHeight="1" x14ac:dyDescent="0.2">
      <c r="A11" s="182" t="s">
        <v>27</v>
      </c>
      <c r="B11" s="183" t="s">
        <v>55</v>
      </c>
      <c r="C11" s="184" t="str">
        <f t="shared" si="5"/>
        <v>5M</v>
      </c>
      <c r="D11" s="185"/>
      <c r="E11" s="185"/>
      <c r="F11" s="185"/>
      <c r="G11" s="186" t="str">
        <f>_xll.qlLibor(,Currency,C11,,Permanent,Trigger,ObjectOverwrite)</f>
        <v>obj_002ec#0311</v>
      </c>
      <c r="H11" s="187" t="str">
        <f t="shared" si="0"/>
        <v>USD5MD_SYNTH6M_Quote</v>
      </c>
      <c r="I11" s="185"/>
      <c r="J11" s="188" t="str">
        <f>_xll.qlDepositRateHelper(,H11,G11,Permanent,Trigger,ObjectOverwrite)</f>
        <v>obj_0030e#0300</v>
      </c>
      <c r="K11" s="52"/>
      <c r="L11" s="11" t="str">
        <f t="shared" si="6"/>
        <v>Dp</v>
      </c>
      <c r="M11" s="105" t="str">
        <f t="shared" si="7"/>
        <v>obj_0030e#0300</v>
      </c>
      <c r="N11" s="159" t="str">
        <f>IFERROR(_xll.qlRateHelperQuoteName(M11,Trigger),"--")</f>
        <v>USD5MD_SYNTH6M_Quote</v>
      </c>
      <c r="O11" s="109">
        <f>IFERROR(_xll.qlRateHelperQuoteValue($M11,Trigger),"--")</f>
        <v>8.8149999999999999E-3</v>
      </c>
      <c r="P11" s="108" t="b">
        <v>1</v>
      </c>
      <c r="Q11" s="105">
        <v>10</v>
      </c>
      <c r="R11" s="105">
        <v>1</v>
      </c>
      <c r="S11" s="110">
        <f>IFERROR(_xll.qlRateHelperEarliestDate(M11,Trigger),"--")</f>
        <v>42450</v>
      </c>
      <c r="T11" s="110">
        <f>IFERROR(_xll.qlRateHelperPillarDate(M11,Trigger),"--")</f>
        <v>42604</v>
      </c>
      <c r="V11" s="4" t="str">
        <f t="shared" si="3"/>
        <v>FRA</v>
      </c>
      <c r="W11" s="4" t="str">
        <v>obj_002f9</v>
      </c>
      <c r="X11" s="4" t="str">
        <f>IFERROR(_xll.qlRateHelperQuoteName(W11,Trigger),"")</f>
        <v>USD3x9F_Quote</v>
      </c>
      <c r="Y11" s="75">
        <f>IFERROR(_xll.qlRateHelperRate(W11,Trigger),"")</f>
        <v>9.6800000000000011E-3</v>
      </c>
      <c r="Z11" s="115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42542</v>
      </c>
      <c r="AB11" s="5">
        <f>IFERROR(_xll.qlRateHelperPillarDate(W11,Trigger),"")</f>
        <v>42725</v>
      </c>
      <c r="AC11" s="83">
        <v>0.99290880140951243</v>
      </c>
    </row>
    <row r="12" spans="1:32" ht="11.25" customHeight="1" x14ac:dyDescent="0.2">
      <c r="A12" s="1" t="s">
        <v>27</v>
      </c>
      <c r="B12" s="9" t="s">
        <v>3</v>
      </c>
      <c r="C12" s="10" t="str">
        <f t="shared" si="5"/>
        <v>6M</v>
      </c>
      <c r="D12" s="137"/>
      <c r="E12" s="137"/>
      <c r="F12" s="137"/>
      <c r="G12" s="7" t="str">
        <f>PROPER(Currency)&amp;FamilyName&amp;B12</f>
        <v>UsdLibor6M</v>
      </c>
      <c r="H12" s="134" t="str">
        <f t="shared" si="0"/>
        <v>USD6MD_SYNTH6M_Quote</v>
      </c>
      <c r="I12" s="137"/>
      <c r="J12" s="3" t="str">
        <f>_xll.qlDepositRateHelper(,H12,G12,Permanent,Trigger,ObjectOverwrite)</f>
        <v>obj_002c2#0311</v>
      </c>
      <c r="K12" s="52" t="s">
        <v>47</v>
      </c>
      <c r="L12" s="12" t="str">
        <f t="shared" si="6"/>
        <v>Dp</v>
      </c>
      <c r="M12" s="106" t="str">
        <f t="shared" si="7"/>
        <v>obj_002c2#0311</v>
      </c>
      <c r="N12" s="160" t="str">
        <f>IFERROR(_xll.qlRateHelperQuoteName(M12,Trigger),"--")</f>
        <v>USD6MD_SYNTH6M_Quote</v>
      </c>
      <c r="O12" s="112">
        <f>IFERROR(_xll.qlRateHelperQuoteValue($M12,Trigger),"--")</f>
        <v>8.8830000000000003E-3</v>
      </c>
      <c r="P12" s="111" t="b">
        <v>1</v>
      </c>
      <c r="Q12" s="106">
        <v>70</v>
      </c>
      <c r="R12" s="106">
        <v>1</v>
      </c>
      <c r="S12" s="113">
        <f>IFERROR(_xll.qlRateHelperEarliestDate(M12,Trigger),"--")</f>
        <v>42450</v>
      </c>
      <c r="T12" s="113">
        <f>IFERROR(_xll.qlRateHelperPillarDate(M12,Trigger),"--")</f>
        <v>42634</v>
      </c>
      <c r="V12" s="4" t="str">
        <f t="shared" si="3"/>
        <v>FRA</v>
      </c>
      <c r="W12" s="4" t="str">
        <v>obj_002d8</v>
      </c>
      <c r="X12" s="4" t="str">
        <f>IFERROR(_xll.qlRateHelperQuoteName(W12,Trigger),"")</f>
        <v>USD4x10F_Quote</v>
      </c>
      <c r="Y12" s="75">
        <f>IFERROR(_xll.qlRateHelperRate(W12,Trigger),"")</f>
        <v>9.9100000000000004E-3</v>
      </c>
      <c r="Z12" s="115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42572</v>
      </c>
      <c r="AB12" s="5">
        <f>IFERROR(_xll.qlRateHelperPillarDate(W12,Trigger),"")</f>
        <v>42758</v>
      </c>
      <c r="AC12" s="83">
        <v>0.99196949330982176</v>
      </c>
    </row>
    <row r="13" spans="1:32" ht="11.25" customHeight="1" x14ac:dyDescent="0.2">
      <c r="B13" s="50"/>
      <c r="C13" s="50"/>
      <c r="D13" s="50"/>
      <c r="E13" s="50"/>
      <c r="F13" s="50"/>
      <c r="G13" s="50"/>
      <c r="H13" s="50"/>
      <c r="K13" s="52"/>
      <c r="L13" s="73" t="str">
        <f>A15</f>
        <v>FRA</v>
      </c>
      <c r="M13" s="144" t="str">
        <f>IF(ISBLANK(J15),"--",J15)</f>
        <v>obj_0027d#0312</v>
      </c>
      <c r="N13" s="158" t="str">
        <f>IFERROR(_xll.qlRateHelperQuoteName(M13,Trigger),"--")</f>
        <v>USD1x7F_Quote</v>
      </c>
      <c r="O13" s="146">
        <f>IFERROR(_xll.qlRateHelperQuoteValue($M13,Trigger),"--")</f>
        <v>9.0399999999999994E-3</v>
      </c>
      <c r="P13" s="145" t="b">
        <v>1</v>
      </c>
      <c r="Q13" s="144">
        <v>20</v>
      </c>
      <c r="R13" s="144">
        <v>1</v>
      </c>
      <c r="S13" s="147">
        <f>IFERROR(_xll.qlRateHelperEarliestDate(M13,Trigger),"--")</f>
        <v>42481</v>
      </c>
      <c r="T13" s="147">
        <f>IFERROR(_xll.qlRateHelperPillarDate(M13,Trigger),"--")</f>
        <v>42664</v>
      </c>
      <c r="V13" s="4" t="str">
        <f t="shared" si="3"/>
        <v>FRA</v>
      </c>
      <c r="W13" s="4" t="str">
        <v>obj_0028e</v>
      </c>
      <c r="X13" s="4" t="str">
        <f>IFERROR(_xll.qlRateHelperQuoteName(W13,Trigger),"")</f>
        <v>USD5x11F_Quote</v>
      </c>
      <c r="Y13" s="75">
        <f>IFERROR(_xll.qlRateHelperRate(W13,Trigger),"")</f>
        <v>1.008E-2</v>
      </c>
      <c r="Z13" s="115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42604</v>
      </c>
      <c r="AB13" s="5">
        <f>IFERROR(_xll.qlRateHelperPillarDate(W13,Trigger),"")</f>
        <v>42787</v>
      </c>
      <c r="AC13" s="83">
        <v>0.99116455364523348</v>
      </c>
    </row>
    <row r="14" spans="1:32" ht="11.25" customHeight="1" x14ac:dyDescent="0.2">
      <c r="A14" s="70" t="s">
        <v>9</v>
      </c>
      <c r="B14" s="70" t="s">
        <v>126</v>
      </c>
      <c r="C14" s="70" t="s">
        <v>127</v>
      </c>
      <c r="D14" s="70"/>
      <c r="E14" s="70"/>
      <c r="F14" s="70"/>
      <c r="G14" s="70" t="s">
        <v>4</v>
      </c>
      <c r="H14" s="70" t="s">
        <v>1</v>
      </c>
      <c r="I14" s="70"/>
      <c r="J14" s="70" t="s">
        <v>25</v>
      </c>
      <c r="K14" s="52"/>
      <c r="L14" s="11" t="str">
        <f t="shared" ref="L14:L26" si="8">A16</f>
        <v>FRA</v>
      </c>
      <c r="M14" s="105" t="str">
        <f t="shared" ref="M14:M26" si="9">IF(ISBLANK(J16),"--",J16)</f>
        <v>obj_002eb#0311</v>
      </c>
      <c r="N14" s="159" t="str">
        <f>IFERROR(_xll.qlRateHelperQuoteName(M14,Trigger),"--")</f>
        <v>USD2x8F_Quote</v>
      </c>
      <c r="O14" s="109">
        <f>IFERROR(_xll.qlRateHelperQuoteValue($M14,Trigger),"--")</f>
        <v>9.3600000000000003E-3</v>
      </c>
      <c r="P14" s="108" t="b">
        <v>1</v>
      </c>
      <c r="Q14" s="105">
        <v>20</v>
      </c>
      <c r="R14" s="105">
        <v>1</v>
      </c>
      <c r="S14" s="110">
        <f>IFERROR(_xll.qlRateHelperEarliestDate(M14,Trigger),"--")</f>
        <v>42513</v>
      </c>
      <c r="T14" s="110">
        <f>IFERROR(_xll.qlRateHelperPillarDate(M14,Trigger),"--")</f>
        <v>42695</v>
      </c>
      <c r="V14" s="4" t="str">
        <f t="shared" si="3"/>
        <v>FRA</v>
      </c>
      <c r="W14" s="4" t="str">
        <v>obj_002b1</v>
      </c>
      <c r="X14" s="4" t="str">
        <f>IFERROR(_xll.qlRateHelperQuoteName(W14,Trigger),"")</f>
        <v>USD6x12F_Quote</v>
      </c>
      <c r="Y14" s="75">
        <f>IFERROR(_xll.qlRateHelperRate(W14,Trigger),"")</f>
        <v>1.0240000000000001E-2</v>
      </c>
      <c r="Z14" s="115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42634</v>
      </c>
      <c r="AB14" s="5">
        <f>IFERROR(_xll.qlRateHelperPillarDate(W14,Trigger),"")</f>
        <v>42815</v>
      </c>
      <c r="AC14" s="83">
        <v>0.9903813966505346</v>
      </c>
    </row>
    <row r="15" spans="1:32" ht="11.25" customHeight="1" x14ac:dyDescent="0.2">
      <c r="A15" s="57" t="s">
        <v>128</v>
      </c>
      <c r="B15" s="126">
        <v>1</v>
      </c>
      <c r="C15" s="60" t="str">
        <f t="shared" ref="C15:C32" si="10">"x"&amp;B15+SUBSTITUTE(Tenor,"M","")&amp;"F"</f>
        <v>x7F</v>
      </c>
      <c r="D15" s="142"/>
      <c r="E15" s="142"/>
      <c r="F15" s="142"/>
      <c r="G15" s="59" t="str">
        <f t="shared" ref="G15:G32" si="11">PROPER(Currency)&amp;FamilyName&amp;Tenor</f>
        <v>UsdLibor6M</v>
      </c>
      <c r="H15" s="129" t="str">
        <f t="shared" ref="H15:H24" si="12">Currency&amp;B15&amp;C15&amp;QuoteSuffix</f>
        <v>USD1x7F_Quote</v>
      </c>
      <c r="I15" s="142"/>
      <c r="J15" s="62" t="str">
        <f>_xll.qlFraRateHelper(,H15,B15&amp;"M",G15,PillarDate,,Permanent,Trigger,ObjectOverwrite)</f>
        <v>obj_0027d#0312</v>
      </c>
      <c r="K15" s="52"/>
      <c r="L15" s="11" t="str">
        <f t="shared" si="8"/>
        <v>FRA</v>
      </c>
      <c r="M15" s="105" t="str">
        <f t="shared" si="9"/>
        <v>obj_002f9#0311</v>
      </c>
      <c r="N15" s="159" t="str">
        <f>IFERROR(_xll.qlRateHelperQuoteName(M15,Trigger),"--")</f>
        <v>USD3x9F_Quote</v>
      </c>
      <c r="O15" s="109">
        <f>IFERROR(_xll.qlRateHelperQuoteValue($M15,Trigger),"--")</f>
        <v>9.6800000000000011E-3</v>
      </c>
      <c r="P15" s="108" t="b">
        <v>1</v>
      </c>
      <c r="Q15" s="105">
        <v>20</v>
      </c>
      <c r="R15" s="105">
        <v>1</v>
      </c>
      <c r="S15" s="110">
        <f>IFERROR(_xll.qlRateHelperEarliestDate(M15,Trigger),"--")</f>
        <v>42542</v>
      </c>
      <c r="T15" s="110">
        <f>IFERROR(_xll.qlRateHelperPillarDate(M15,Trigger),"--")</f>
        <v>42725</v>
      </c>
      <c r="V15" s="4" t="str">
        <f t="shared" si="3"/>
        <v>FRA</v>
      </c>
      <c r="W15" s="4" t="str">
        <v>obj_002ea</v>
      </c>
      <c r="X15" s="4" t="str">
        <f>IFERROR(_xll.qlRateHelperQuoteName(W15,Trigger),"")</f>
        <v>USD7x13F_Quote</v>
      </c>
      <c r="Y15" s="75">
        <f>IFERROR(_xll.qlRateHelperRate(W15,Trigger),"")</f>
        <v>1.043E-2</v>
      </c>
      <c r="Z15" s="115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42664</v>
      </c>
      <c r="AB15" s="5">
        <f>IFERROR(_xll.qlRateHelperPillarDate(W15,Trigger),"")</f>
        <v>42846</v>
      </c>
      <c r="AC15" s="83">
        <v>0.98944915884956419</v>
      </c>
    </row>
    <row r="16" spans="1:32" ht="11.25" customHeight="1" x14ac:dyDescent="0.2">
      <c r="A16" s="63" t="s">
        <v>128</v>
      </c>
      <c r="B16" s="127">
        <v>2</v>
      </c>
      <c r="C16" s="67" t="str">
        <f t="shared" si="10"/>
        <v>x8F</v>
      </c>
      <c r="D16" s="136"/>
      <c r="E16" s="136"/>
      <c r="F16" s="136"/>
      <c r="G16" s="65" t="str">
        <f t="shared" si="11"/>
        <v>UsdLibor6M</v>
      </c>
      <c r="H16" s="130" t="str">
        <f t="shared" si="12"/>
        <v>USD2x8F_Quote</v>
      </c>
      <c r="I16" s="136"/>
      <c r="J16" s="69" t="str">
        <f>_xll.qlFraRateHelper(,H16,B16&amp;"M",G16,PillarDate,,Permanent,Trigger,ObjectOverwrite)</f>
        <v>obj_002eb#0311</v>
      </c>
      <c r="K16" s="52"/>
      <c r="L16" s="11" t="str">
        <f t="shared" si="8"/>
        <v>FRA</v>
      </c>
      <c r="M16" s="105" t="str">
        <f t="shared" si="9"/>
        <v>obj_002d8#0311</v>
      </c>
      <c r="N16" s="159" t="str">
        <f>IFERROR(_xll.qlRateHelperQuoteName(M16,Trigger),"--")</f>
        <v>USD4x10F_Quote</v>
      </c>
      <c r="O16" s="109">
        <f>IFERROR(_xll.qlRateHelperQuoteValue($M16,Trigger),"--")</f>
        <v>9.9100000000000004E-3</v>
      </c>
      <c r="P16" s="108" t="b">
        <v>1</v>
      </c>
      <c r="Q16" s="105">
        <v>20</v>
      </c>
      <c r="R16" s="105">
        <v>1</v>
      </c>
      <c r="S16" s="110">
        <f>IFERROR(_xll.qlRateHelperEarliestDate(M16,Trigger),"--")</f>
        <v>42572</v>
      </c>
      <c r="T16" s="110">
        <f>IFERROR(_xll.qlRateHelperPillarDate(M16,Trigger),"--")</f>
        <v>42758</v>
      </c>
      <c r="V16" s="4" t="str">
        <f t="shared" si="3"/>
        <v>FRA</v>
      </c>
      <c r="W16" s="4" t="str">
        <v>obj_0028a</v>
      </c>
      <c r="X16" s="4" t="str">
        <f>IFERROR(_xll.qlRateHelperQuoteName(W16,Trigger),"")</f>
        <v>USD8x14F_Quote</v>
      </c>
      <c r="Y16" s="75">
        <f>IFERROR(_xll.qlRateHelperRate(W16,Trigger),"")</f>
        <v>1.065E-2</v>
      </c>
      <c r="Z16" s="115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42695</v>
      </c>
      <c r="AB16" s="5">
        <f>IFERROR(_xll.qlRateHelperPillarDate(W16,Trigger),"")</f>
        <v>42877</v>
      </c>
      <c r="AC16" s="83">
        <v>0.98846065630211322</v>
      </c>
    </row>
    <row r="17" spans="1:29" ht="11.25" customHeight="1" x14ac:dyDescent="0.2">
      <c r="A17" s="63" t="s">
        <v>128</v>
      </c>
      <c r="B17" s="127">
        <v>3</v>
      </c>
      <c r="C17" s="67" t="str">
        <f t="shared" si="10"/>
        <v>x9F</v>
      </c>
      <c r="D17" s="136"/>
      <c r="E17" s="136"/>
      <c r="F17" s="136"/>
      <c r="G17" s="65" t="str">
        <f t="shared" si="11"/>
        <v>UsdLibor6M</v>
      </c>
      <c r="H17" s="130" t="str">
        <f t="shared" si="12"/>
        <v>USD3x9F_Quote</v>
      </c>
      <c r="I17" s="136"/>
      <c r="J17" s="69" t="str">
        <f>_xll.qlFraRateHelper(,H17,B17&amp;"M",G17,PillarDate,,Permanent,Trigger,ObjectOverwrite)</f>
        <v>obj_002f9#0311</v>
      </c>
      <c r="K17" s="52"/>
      <c r="L17" s="11" t="str">
        <f t="shared" si="8"/>
        <v>FRA</v>
      </c>
      <c r="M17" s="105" t="str">
        <f t="shared" si="9"/>
        <v>obj_0028e#0311</v>
      </c>
      <c r="N17" s="159" t="str">
        <f>IFERROR(_xll.qlRateHelperQuoteName(M17,Trigger),"--")</f>
        <v>USD5x11F_Quote</v>
      </c>
      <c r="O17" s="109">
        <f>IFERROR(_xll.qlRateHelperQuoteValue($M17,Trigger),"--")</f>
        <v>1.008E-2</v>
      </c>
      <c r="P17" s="108" t="b">
        <v>1</v>
      </c>
      <c r="Q17" s="105">
        <v>20</v>
      </c>
      <c r="R17" s="105">
        <v>1</v>
      </c>
      <c r="S17" s="110">
        <f>IFERROR(_xll.qlRateHelperEarliestDate(M17,Trigger),"--")</f>
        <v>42604</v>
      </c>
      <c r="T17" s="110">
        <f>IFERROR(_xll.qlRateHelperPillarDate(M17,Trigger),"--")</f>
        <v>42787</v>
      </c>
      <c r="V17" s="4" t="str">
        <f t="shared" si="3"/>
        <v>FRA</v>
      </c>
      <c r="W17" s="4" t="str">
        <v>obj_00296</v>
      </c>
      <c r="X17" s="4" t="str">
        <f>IFERROR(_xll.qlRateHelperQuoteName(W17,Trigger),"")</f>
        <v>USD9x15F_Quote</v>
      </c>
      <c r="Y17" s="75">
        <f>IFERROR(_xll.qlRateHelperRate(W17,Trigger),"")</f>
        <v>1.085E-2</v>
      </c>
      <c r="Z17" s="115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42725</v>
      </c>
      <c r="AB17" s="5">
        <f>IFERROR(_xll.qlRateHelperPillarDate(W17,Trigger),"")</f>
        <v>42907</v>
      </c>
      <c r="AC17" s="83">
        <v>0.98749213275796688</v>
      </c>
    </row>
    <row r="18" spans="1:29" ht="11.25" customHeight="1" x14ac:dyDescent="0.2">
      <c r="A18" s="63" t="s">
        <v>128</v>
      </c>
      <c r="B18" s="127">
        <v>4</v>
      </c>
      <c r="C18" s="67" t="str">
        <f t="shared" si="10"/>
        <v>x10F</v>
      </c>
      <c r="D18" s="136"/>
      <c r="E18" s="136"/>
      <c r="F18" s="136"/>
      <c r="G18" s="65" t="str">
        <f t="shared" si="11"/>
        <v>UsdLibor6M</v>
      </c>
      <c r="H18" s="130" t="str">
        <f t="shared" si="12"/>
        <v>USD4x10F_Quote</v>
      </c>
      <c r="I18" s="136"/>
      <c r="J18" s="69" t="str">
        <f>_xll.qlFraRateHelper(,H18,B18&amp;"M",G18,PillarDate,,Permanent,Trigger,ObjectOverwrite)</f>
        <v>obj_002d8#0311</v>
      </c>
      <c r="K18" s="52"/>
      <c r="L18" s="11" t="str">
        <f t="shared" si="8"/>
        <v>FRA</v>
      </c>
      <c r="M18" s="105" t="str">
        <f t="shared" si="9"/>
        <v>obj_002b1#0311</v>
      </c>
      <c r="N18" s="159" t="str">
        <f>IFERROR(_xll.qlRateHelperQuoteName(M18,Trigger),"--")</f>
        <v>USD6x12F_Quote</v>
      </c>
      <c r="O18" s="109">
        <f>IFERROR(_xll.qlRateHelperQuoteValue($M18,Trigger),"--")</f>
        <v>1.0240000000000001E-2</v>
      </c>
      <c r="P18" s="108" t="b">
        <v>1</v>
      </c>
      <c r="Q18" s="105">
        <v>20</v>
      </c>
      <c r="R18" s="105">
        <v>1</v>
      </c>
      <c r="S18" s="110">
        <f>IFERROR(_xll.qlRateHelperEarliestDate(M18,Trigger),"--")</f>
        <v>42634</v>
      </c>
      <c r="T18" s="110">
        <f>IFERROR(_xll.qlRateHelperPillarDate(M18,Trigger),"--")</f>
        <v>42815</v>
      </c>
      <c r="V18" s="4" t="str">
        <f t="shared" si="3"/>
        <v>FRA</v>
      </c>
      <c r="W18" s="4" t="str">
        <v>obj_002b7</v>
      </c>
      <c r="X18" s="4" t="str">
        <f>IFERROR(_xll.qlRateHelperQuoteName(W18,Trigger),"")</f>
        <v>USD10x16F_Quote</v>
      </c>
      <c r="Y18" s="75">
        <f>IFERROR(_xll.qlRateHelperRate(W18,Trigger),"")</f>
        <v>1.1049999999999999E-2</v>
      </c>
      <c r="Z18" s="115" t="str">
        <f>IF(ISERROR(_xll.qlSwapRateHelperSpread($W18)),IF(ISERROR(_xll.qlFuturesRateHelperConvexityAdjustment($W18)),"",_xll.qlFuturesRateHelperConvexityAdjustment($W18)),_xll.qlSwapRateHelperSpread($W18))</f>
        <v/>
      </c>
      <c r="AA18" s="5">
        <f>IFERROR(_xll.qlRateHelperEarliestDate(W18,Trigger),"")</f>
        <v>42758</v>
      </c>
      <c r="AB18" s="5">
        <f>IFERROR(_xll.qlRateHelperPillarDate(W18,Trigger),"")</f>
        <v>42937</v>
      </c>
      <c r="AC18" s="83">
        <v>0.98655073189065579</v>
      </c>
    </row>
    <row r="19" spans="1:29" ht="11.25" customHeight="1" x14ac:dyDescent="0.2">
      <c r="A19" s="63" t="s">
        <v>128</v>
      </c>
      <c r="B19" s="127">
        <v>5</v>
      </c>
      <c r="C19" s="67" t="str">
        <f t="shared" si="10"/>
        <v>x11F</v>
      </c>
      <c r="D19" s="136"/>
      <c r="E19" s="136"/>
      <c r="F19" s="136"/>
      <c r="G19" s="65" t="str">
        <f t="shared" si="11"/>
        <v>UsdLibor6M</v>
      </c>
      <c r="H19" s="130" t="str">
        <f t="shared" si="12"/>
        <v>USD5x11F_Quote</v>
      </c>
      <c r="I19" s="136"/>
      <c r="J19" s="69" t="str">
        <f>_xll.qlFraRateHelper(,H19,B19&amp;"M",G19,PillarDate,,Permanent,Trigger,ObjectOverwrite)</f>
        <v>obj_0028e#0311</v>
      </c>
      <c r="K19" s="52"/>
      <c r="L19" s="11" t="str">
        <f t="shared" si="8"/>
        <v>FRA</v>
      </c>
      <c r="M19" s="105" t="str">
        <f t="shared" si="9"/>
        <v>obj_002ea#0311</v>
      </c>
      <c r="N19" s="159" t="str">
        <f>IFERROR(_xll.qlRateHelperQuoteName(M19,Trigger),"--")</f>
        <v>USD7x13F_Quote</v>
      </c>
      <c r="O19" s="109">
        <f>IFERROR(_xll.qlRateHelperQuoteValue($M19,Trigger),"--")</f>
        <v>1.043E-2</v>
      </c>
      <c r="P19" s="174" t="b">
        <f>NOT(ISERROR(_xll.qlQuoteValue(N19)))</f>
        <v>1</v>
      </c>
      <c r="Q19" s="105">
        <v>20</v>
      </c>
      <c r="R19" s="105">
        <v>1</v>
      </c>
      <c r="S19" s="110">
        <f>IFERROR(_xll.qlRateHelperEarliestDate(M19,Trigger),"--")</f>
        <v>42664</v>
      </c>
      <c r="T19" s="110">
        <f>IFERROR(_xll.qlRateHelperPillarDate(M19,Trigger),"--")</f>
        <v>42846</v>
      </c>
      <c r="V19" s="4" t="str">
        <f t="shared" si="3"/>
        <v>FRA</v>
      </c>
      <c r="W19" s="4" t="str">
        <v>obj_00298</v>
      </c>
      <c r="X19" s="4" t="str">
        <f>IFERROR(_xll.qlRateHelperQuoteName(W19,Trigger),"")</f>
        <v>USD12x18F_Quote</v>
      </c>
      <c r="Y19" s="75">
        <f>IFERROR(_xll.qlRateHelperRate(W19,Trigger),"")</f>
        <v>1.1379999999999999E-2</v>
      </c>
      <c r="Z19" s="115" t="str">
        <f>IF(ISERROR(_xll.qlSwapRateHelperSpread($W19)),IF(ISERROR(_xll.qlFuturesRateHelperConvexityAdjustment($W19)),"",_xll.qlFuturesRateHelperConvexityAdjustment($W19)),_xll.qlSwapRateHelperSpread($W19))</f>
        <v/>
      </c>
      <c r="AA19" s="5">
        <f>IFERROR(_xll.qlRateHelperEarliestDate(W19,Trigger),"")</f>
        <v>42815</v>
      </c>
      <c r="AB19" s="5">
        <f>IFERROR(_xll.qlRateHelperPillarDate(W19,Trigger),"")</f>
        <v>42999</v>
      </c>
      <c r="AC19" s="83">
        <v>0.98465421014029519</v>
      </c>
    </row>
    <row r="20" spans="1:29" ht="11.25" customHeight="1" x14ac:dyDescent="0.2">
      <c r="A20" s="63" t="s">
        <v>128</v>
      </c>
      <c r="B20" s="127">
        <v>6</v>
      </c>
      <c r="C20" s="67" t="str">
        <f t="shared" si="10"/>
        <v>x12F</v>
      </c>
      <c r="D20" s="136"/>
      <c r="E20" s="136"/>
      <c r="F20" s="136"/>
      <c r="G20" s="65" t="str">
        <f t="shared" si="11"/>
        <v>UsdLibor6M</v>
      </c>
      <c r="H20" s="130" t="str">
        <f t="shared" si="12"/>
        <v>USD6x12F_Quote</v>
      </c>
      <c r="I20" s="136"/>
      <c r="J20" s="69" t="str">
        <f>_xll.qlFraRateHelper(,H20,B20&amp;"M",G20,PillarDate,,Permanent,Trigger,ObjectOverwrite)</f>
        <v>obj_002b1#0311</v>
      </c>
      <c r="K20" s="52"/>
      <c r="L20" s="11" t="str">
        <f t="shared" si="8"/>
        <v>FRA</v>
      </c>
      <c r="M20" s="105" t="str">
        <f t="shared" si="9"/>
        <v>obj_0028a#0311</v>
      </c>
      <c r="N20" s="159" t="str">
        <f>IFERROR(_xll.qlRateHelperQuoteName(M20,Trigger),"--")</f>
        <v>USD8x14F_Quote</v>
      </c>
      <c r="O20" s="109">
        <f>IFERROR(_xll.qlRateHelperQuoteValue($M20,Trigger),"--")</f>
        <v>1.065E-2</v>
      </c>
      <c r="P20" s="174" t="b">
        <f>NOT(ISERROR(_xll.qlQuoteValue(N20)))</f>
        <v>1</v>
      </c>
      <c r="Q20" s="105">
        <v>20</v>
      </c>
      <c r="R20" s="105">
        <v>1</v>
      </c>
      <c r="S20" s="110">
        <f>IFERROR(_xll.qlRateHelperEarliestDate(M20,Trigger),"--")</f>
        <v>42695</v>
      </c>
      <c r="T20" s="110">
        <f>IFERROR(_xll.qlRateHelperPillarDate(M20,Trigger),"--")</f>
        <v>42877</v>
      </c>
      <c r="V20" s="4" t="str">
        <f t="shared" si="3"/>
        <v>FRA</v>
      </c>
      <c r="W20" s="4" t="str">
        <v>obj_002f2</v>
      </c>
      <c r="X20" s="4" t="str">
        <f>IFERROR(_xll.qlRateHelperQuoteName(W20,Trigger),"")</f>
        <v>USD13x19F_Quote</v>
      </c>
      <c r="Y20" s="75">
        <f>IFERROR(_xll.qlRateHelperRate(W20,Trigger),"")</f>
        <v>1.1559999999999999E-2</v>
      </c>
      <c r="Z20" s="115" t="str">
        <f>IF(ISERROR(_xll.qlSwapRateHelperSpread($W20)),IF(ISERROR(_xll.qlFuturesRateHelperConvexityAdjustment($W20)),"",_xll.qlFuturesRateHelperConvexityAdjustment($W20)),_xll.qlSwapRateHelperSpread($W20))</f>
        <v/>
      </c>
      <c r="AA20" s="5">
        <f>IFERROR(_xll.qlRateHelperEarliestDate(W20,Trigger),"")</f>
        <v>42846</v>
      </c>
      <c r="AB20" s="5">
        <f>IFERROR(_xll.qlRateHelperPillarDate(W20,Trigger),"")</f>
        <v>43031</v>
      </c>
      <c r="AC20" s="83">
        <v>0.98360599280453398</v>
      </c>
    </row>
    <row r="21" spans="1:29" ht="11.25" customHeight="1" x14ac:dyDescent="0.2">
      <c r="A21" s="63" t="s">
        <v>128</v>
      </c>
      <c r="B21" s="127">
        <v>7</v>
      </c>
      <c r="C21" s="67" t="str">
        <f t="shared" si="10"/>
        <v>x13F</v>
      </c>
      <c r="D21" s="136"/>
      <c r="E21" s="136"/>
      <c r="F21" s="136"/>
      <c r="G21" s="65" t="str">
        <f t="shared" si="11"/>
        <v>UsdLibor6M</v>
      </c>
      <c r="H21" s="130" t="str">
        <f t="shared" si="12"/>
        <v>USD7x13F_Quote</v>
      </c>
      <c r="I21" s="136"/>
      <c r="J21" s="69" t="str">
        <f>_xll.qlFraRateHelper(,H21,B21&amp;"M",G21,PillarDate,,Permanent,Trigger,ObjectOverwrite)</f>
        <v>obj_002ea#0311</v>
      </c>
      <c r="K21" s="52"/>
      <c r="L21" s="11" t="str">
        <f t="shared" si="8"/>
        <v>FRA</v>
      </c>
      <c r="M21" s="105" t="str">
        <f t="shared" si="9"/>
        <v>obj_00296#0311</v>
      </c>
      <c r="N21" s="159" t="str">
        <f>IFERROR(_xll.qlRateHelperQuoteName(M21,Trigger),"--")</f>
        <v>USD9x15F_Quote</v>
      </c>
      <c r="O21" s="109">
        <f>IFERROR(_xll.qlRateHelperQuoteValue($M21,Trigger),"--")</f>
        <v>1.085E-2</v>
      </c>
      <c r="P21" s="108" t="b">
        <v>1</v>
      </c>
      <c r="Q21" s="105">
        <v>20</v>
      </c>
      <c r="R21" s="105">
        <v>1</v>
      </c>
      <c r="S21" s="110">
        <f>IFERROR(_xll.qlRateHelperEarliestDate(M21,Trigger),"--")</f>
        <v>42725</v>
      </c>
      <c r="T21" s="110">
        <f>IFERROR(_xll.qlRateHelperPillarDate(M21,Trigger),"--")</f>
        <v>42907</v>
      </c>
      <c r="V21" s="4" t="str">
        <f t="shared" si="3"/>
        <v>BasSw</v>
      </c>
      <c r="W21" s="4" t="str">
        <v>obj_0029d</v>
      </c>
      <c r="X21" s="4" t="str">
        <f>IFERROR(_xll.qlRateHelperQuoteName(W21,Trigger),"")</f>
        <v>USDAM3L2Y_S6L3L_Quote</v>
      </c>
      <c r="Y21" s="75">
        <f>IFERROR(_xll.qlRateHelperRate(W21,Trigger),"")</f>
        <v>1.0819043043797398E-2</v>
      </c>
      <c r="Z21" s="115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42450</v>
      </c>
      <c r="AB21" s="5">
        <f>IFERROR(_xll.qlRateHelperPillarDate(W21,Trigger),"")</f>
        <v>43180</v>
      </c>
      <c r="AC21" s="83">
        <v>0.97838890506755005</v>
      </c>
    </row>
    <row r="22" spans="1:29" ht="11.25" customHeight="1" x14ac:dyDescent="0.2">
      <c r="A22" s="63" t="s">
        <v>128</v>
      </c>
      <c r="B22" s="127">
        <v>8</v>
      </c>
      <c r="C22" s="67" t="str">
        <f t="shared" si="10"/>
        <v>x14F</v>
      </c>
      <c r="D22" s="136"/>
      <c r="E22" s="136"/>
      <c r="F22" s="136"/>
      <c r="G22" s="65" t="str">
        <f t="shared" si="11"/>
        <v>UsdLibor6M</v>
      </c>
      <c r="H22" s="130" t="str">
        <f t="shared" si="12"/>
        <v>USD8x14F_Quote</v>
      </c>
      <c r="I22" s="136"/>
      <c r="J22" s="69" t="str">
        <f>_xll.qlFraRateHelper(,H22,B22&amp;"M",G22,PillarDate,,Permanent,Trigger,ObjectOverwrite)</f>
        <v>obj_0028a#0311</v>
      </c>
      <c r="K22" s="52"/>
      <c r="L22" s="11" t="str">
        <f t="shared" si="8"/>
        <v>FRA</v>
      </c>
      <c r="M22" s="105" t="str">
        <f t="shared" si="9"/>
        <v>obj_002b7#0311</v>
      </c>
      <c r="N22" s="159" t="str">
        <f>IFERROR(_xll.qlRateHelperQuoteName(M22,Trigger),"--")</f>
        <v>USD10x16F_Quote</v>
      </c>
      <c r="O22" s="109">
        <f>IFERROR(_xll.qlRateHelperQuoteValue($M22,Trigger),"--")</f>
        <v>1.1049999999999999E-2</v>
      </c>
      <c r="P22" s="174" t="b">
        <f>NOT(ISERROR(_xll.qlQuoteValue(N22)))</f>
        <v>1</v>
      </c>
      <c r="Q22" s="105">
        <v>20</v>
      </c>
      <c r="R22" s="105">
        <v>1</v>
      </c>
      <c r="S22" s="110">
        <f>IFERROR(_xll.qlRateHelperEarliestDate(M22,Trigger),"--")</f>
        <v>42758</v>
      </c>
      <c r="T22" s="110">
        <f>IFERROR(_xll.qlRateHelperPillarDate(M22,Trigger),"--")</f>
        <v>42937</v>
      </c>
      <c r="V22" s="4" t="str">
        <f t="shared" si="3"/>
        <v>BasSw</v>
      </c>
      <c r="W22" s="4" t="str">
        <v>obj_00293</v>
      </c>
      <c r="X22" s="4" t="str">
        <f>IFERROR(_xll.qlRateHelperQuoteName(W22,Trigger),"")</f>
        <v>USDAM3L3Y_S6L3L_Quote</v>
      </c>
      <c r="Y22" s="75">
        <f>IFERROR(_xll.qlRateHelperRate(W22,Trigger),"")</f>
        <v>1.1974872716119966E-2</v>
      </c>
      <c r="Z22" s="115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42450</v>
      </c>
      <c r="AB22" s="5">
        <f>IFERROR(_xll.qlRateHelperPillarDate(W22,Trigger),"")</f>
        <v>43545</v>
      </c>
      <c r="AC22" s="83">
        <v>0.96437272197432389</v>
      </c>
    </row>
    <row r="23" spans="1:29" ht="11.25" customHeight="1" x14ac:dyDescent="0.2">
      <c r="A23" s="63" t="s">
        <v>128</v>
      </c>
      <c r="B23" s="127">
        <v>9</v>
      </c>
      <c r="C23" s="67" t="str">
        <f t="shared" si="10"/>
        <v>x15F</v>
      </c>
      <c r="D23" s="136"/>
      <c r="E23" s="136"/>
      <c r="F23" s="136"/>
      <c r="G23" s="65" t="str">
        <f t="shared" si="11"/>
        <v>UsdLibor6M</v>
      </c>
      <c r="H23" s="130" t="str">
        <f t="shared" si="12"/>
        <v>USD9x15F_Quote</v>
      </c>
      <c r="I23" s="136"/>
      <c r="J23" s="69" t="str">
        <f>_xll.qlFraRateHelper(,H23,B23&amp;"M",G23,PillarDate,,Permanent,Trigger,ObjectOverwrite)</f>
        <v>obj_00296#0311</v>
      </c>
      <c r="K23" s="52"/>
      <c r="L23" s="11" t="str">
        <f t="shared" si="8"/>
        <v>FRA</v>
      </c>
      <c r="M23" s="105" t="str">
        <f t="shared" si="9"/>
        <v>--</v>
      </c>
      <c r="N23" s="159" t="str">
        <f>IFERROR(_xll.qlRateHelperQuoteName(M23,Trigger),"--")</f>
        <v>--</v>
      </c>
      <c r="O23" s="109" t="str">
        <f>IFERROR(_xll.qlRateHelperQuoteValue($M23,Trigger),"--")</f>
        <v>--</v>
      </c>
      <c r="P23" s="108" t="b">
        <v>0</v>
      </c>
      <c r="Q23" s="105">
        <v>20</v>
      </c>
      <c r="R23" s="105">
        <v>1</v>
      </c>
      <c r="S23" s="110" t="str">
        <f>IFERROR(_xll.qlRateHelperEarliestDate(M23,Trigger),"--")</f>
        <v>--</v>
      </c>
      <c r="T23" s="110" t="str">
        <f>IFERROR(_xll.qlRateHelperPillarDate(M23,Trigger),"--")</f>
        <v>--</v>
      </c>
      <c r="V23" s="4" t="str">
        <f t="shared" si="3"/>
        <v>BasSw</v>
      </c>
      <c r="W23" s="4" t="str">
        <v>obj_00284</v>
      </c>
      <c r="X23" s="4" t="str">
        <f>IFERROR(_xll.qlRateHelperQuoteName(W23,Trigger),"")</f>
        <v>USDAM3L4Y_S6L3L_Quote</v>
      </c>
      <c r="Y23" s="75">
        <f>IFERROR(_xll.qlRateHelperRate(W23,Trigger),"")</f>
        <v>1.3085150092851446E-2</v>
      </c>
      <c r="Z23" s="115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42450</v>
      </c>
      <c r="AB23" s="5">
        <f>IFERROR(_xll.qlRateHelperPillarDate(W23,Trigger),"")</f>
        <v>43913</v>
      </c>
      <c r="AC23" s="83">
        <v>0.94839817684984395</v>
      </c>
    </row>
    <row r="24" spans="1:29" ht="11.25" customHeight="1" x14ac:dyDescent="0.2">
      <c r="A24" s="63" t="s">
        <v>128</v>
      </c>
      <c r="B24" s="127">
        <v>10</v>
      </c>
      <c r="C24" s="67" t="str">
        <f t="shared" si="10"/>
        <v>x16F</v>
      </c>
      <c r="D24" s="136"/>
      <c r="E24" s="136"/>
      <c r="F24" s="136"/>
      <c r="G24" s="65" t="str">
        <f t="shared" si="11"/>
        <v>UsdLibor6M</v>
      </c>
      <c r="H24" s="130" t="str">
        <f t="shared" si="12"/>
        <v>USD10x16F_Quote</v>
      </c>
      <c r="I24" s="136"/>
      <c r="J24" s="69" t="str">
        <f>_xll.qlFraRateHelper(,H24,B24&amp;"M",G24,PillarDate,,Permanent,Trigger,ObjectOverwrite)</f>
        <v>obj_002b7#0311</v>
      </c>
      <c r="K24" s="52"/>
      <c r="L24" s="11" t="str">
        <f t="shared" si="8"/>
        <v>FRA</v>
      </c>
      <c r="M24" s="105" t="str">
        <f t="shared" si="9"/>
        <v>obj_00298#0311</v>
      </c>
      <c r="N24" s="159" t="str">
        <f>IFERROR(_xll.qlRateHelperQuoteName(M24,Trigger),"--")</f>
        <v>USD12x18F_Quote</v>
      </c>
      <c r="O24" s="109">
        <f>IFERROR(_xll.qlRateHelperQuoteValue($M24,Trigger),"--")</f>
        <v>1.1379999999999999E-2</v>
      </c>
      <c r="P24" s="108" t="b">
        <v>1</v>
      </c>
      <c r="Q24" s="105">
        <v>20</v>
      </c>
      <c r="R24" s="105">
        <v>1</v>
      </c>
      <c r="S24" s="110">
        <f>IFERROR(_xll.qlRateHelperEarliestDate(M24,Trigger),"--")</f>
        <v>42815</v>
      </c>
      <c r="T24" s="110">
        <f>IFERROR(_xll.qlRateHelperPillarDate(M24,Trigger),"--")</f>
        <v>42999</v>
      </c>
      <c r="V24" s="4" t="str">
        <f t="shared" si="3"/>
        <v>BasSw</v>
      </c>
      <c r="W24" s="4" t="str">
        <v>obj_00292</v>
      </c>
      <c r="X24" s="4" t="str">
        <f>IFERROR(_xll.qlRateHelperQuoteName(W24,Trigger),"")</f>
        <v>USDAM3L5Y_S6L3L_Quote</v>
      </c>
      <c r="Y24" s="75">
        <f>IFERROR(_xll.qlRateHelperRate(W24,Trigger),"")</f>
        <v>1.4135423935325277E-2</v>
      </c>
      <c r="Z24" s="115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42450</v>
      </c>
      <c r="AB24" s="5">
        <f>IFERROR(_xll.qlRateHelperPillarDate(W24,Trigger),"")</f>
        <v>44277</v>
      </c>
      <c r="AC24" s="83">
        <v>0.93097771782985284</v>
      </c>
    </row>
    <row r="25" spans="1:29" ht="11.25" customHeight="1" x14ac:dyDescent="0.2">
      <c r="A25" s="63" t="s">
        <v>128</v>
      </c>
      <c r="B25" s="127">
        <v>11</v>
      </c>
      <c r="C25" s="67" t="str">
        <f t="shared" si="10"/>
        <v>x17F</v>
      </c>
      <c r="D25" s="136"/>
      <c r="E25" s="136"/>
      <c r="F25" s="136"/>
      <c r="G25" s="65" t="str">
        <f t="shared" si="11"/>
        <v>UsdLibor6M</v>
      </c>
      <c r="H25" s="130" t="str">
        <f t="shared" ref="H25:H32" si="13">Currency&amp;B25&amp;C25&amp;QuoteSuffix</f>
        <v>USD11x17F_Quote</v>
      </c>
      <c r="I25" s="136"/>
      <c r="J25" s="69"/>
      <c r="K25" s="52"/>
      <c r="L25" s="11" t="str">
        <f t="shared" si="8"/>
        <v>FRA</v>
      </c>
      <c r="M25" s="105" t="str">
        <f t="shared" si="9"/>
        <v>obj_002f2#0311</v>
      </c>
      <c r="N25" s="159" t="str">
        <f>IFERROR(_xll.qlRateHelperQuoteName(M25,Trigger),"--")</f>
        <v>USD13x19F_Quote</v>
      </c>
      <c r="O25" s="109">
        <f>IFERROR(_xll.qlRateHelperQuoteValue($M25,Trigger),"--")</f>
        <v>1.1559999999999999E-2</v>
      </c>
      <c r="P25" s="174" t="b">
        <f>NOT(ISERROR(_xll.qlQuoteValue(N25)))</f>
        <v>1</v>
      </c>
      <c r="Q25" s="105">
        <v>20</v>
      </c>
      <c r="R25" s="105">
        <v>1</v>
      </c>
      <c r="S25" s="110">
        <f>IFERROR(_xll.qlRateHelperEarliestDate(M25,Trigger),"--")</f>
        <v>42846</v>
      </c>
      <c r="T25" s="110">
        <f>IFERROR(_xll.qlRateHelperPillarDate(M25,Trigger),"--")</f>
        <v>43031</v>
      </c>
      <c r="V25" s="4" t="str">
        <f t="shared" si="3"/>
        <v>BasSw</v>
      </c>
      <c r="W25" s="4" t="str">
        <v>obj_002be</v>
      </c>
      <c r="X25" s="4" t="str">
        <f>IFERROR(_xll.qlRateHelperQuoteName(W25,Trigger),"")</f>
        <v>USDAM3L6Y_S6L3L_Quote</v>
      </c>
      <c r="Y25" s="75">
        <f>IFERROR(_xll.qlRateHelperRate(W25,Trigger),"")</f>
        <v>1.5175818585692476E-2</v>
      </c>
      <c r="Z25" s="115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42450</v>
      </c>
      <c r="AB25" s="5">
        <f>IFERROR(_xll.qlRateHelperPillarDate(W25,Trigger),"")</f>
        <v>44641</v>
      </c>
      <c r="AC25" s="83">
        <v>0.9119505900782956</v>
      </c>
    </row>
    <row r="26" spans="1:29" ht="11.25" customHeight="1" x14ac:dyDescent="0.2">
      <c r="A26" s="63" t="s">
        <v>128</v>
      </c>
      <c r="B26" s="127">
        <v>12</v>
      </c>
      <c r="C26" s="67" t="str">
        <f t="shared" si="10"/>
        <v>x18F</v>
      </c>
      <c r="D26" s="136"/>
      <c r="E26" s="136"/>
      <c r="F26" s="136"/>
      <c r="G26" s="65" t="str">
        <f t="shared" si="11"/>
        <v>UsdLibor6M</v>
      </c>
      <c r="H26" s="130" t="str">
        <f t="shared" si="13"/>
        <v>USD12x18F_Quote</v>
      </c>
      <c r="I26" s="136"/>
      <c r="J26" s="69" t="str">
        <f>_xll.qlFraRateHelper(,H26,B26&amp;"M",G26,PillarDate,,Permanent,Trigger,ObjectOverwrite)</f>
        <v>obj_00298#0311</v>
      </c>
      <c r="K26" s="52"/>
      <c r="L26" s="11" t="str">
        <f t="shared" si="8"/>
        <v>FRA</v>
      </c>
      <c r="M26" s="105" t="str">
        <f t="shared" si="9"/>
        <v>--</v>
      </c>
      <c r="N26" s="159" t="str">
        <f>IFERROR(_xll.qlRateHelperQuoteName(M26,Trigger),"--")</f>
        <v>--</v>
      </c>
      <c r="O26" s="109" t="str">
        <f>IFERROR(_xll.qlRateHelperQuoteValue($M26,Trigger),"--")</f>
        <v>--</v>
      </c>
      <c r="P26" s="108" t="b">
        <v>0</v>
      </c>
      <c r="Q26" s="105">
        <v>20</v>
      </c>
      <c r="R26" s="105">
        <v>1</v>
      </c>
      <c r="S26" s="110" t="str">
        <f>IFERROR(_xll.qlRateHelperEarliestDate(M26,Trigger),"--")</f>
        <v>--</v>
      </c>
      <c r="T26" s="110" t="str">
        <f>IFERROR(_xll.qlRateHelperPillarDate(M26,Trigger),"--")</f>
        <v>--</v>
      </c>
      <c r="V26" s="4" t="str">
        <f t="shared" si="3"/>
        <v>BasSw</v>
      </c>
      <c r="W26" s="4" t="str">
        <v>obj_002bd</v>
      </c>
      <c r="X26" s="4" t="str">
        <f>IFERROR(_xll.qlRateHelperQuoteName(W26,Trigger),"")</f>
        <v>USDAM3L7Y_S6L3L_Quote</v>
      </c>
      <c r="Y26" s="75">
        <f>IFERROR(_xll.qlRateHelperRate(W26,Trigger),"")</f>
        <v>1.6136253607875753E-2</v>
      </c>
      <c r="Z26" s="115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42450</v>
      </c>
      <c r="AB26" s="5">
        <f>IFERROR(_xll.qlRateHelperPillarDate(W26,Trigger),"")</f>
        <v>45006</v>
      </c>
      <c r="AC26" s="83">
        <v>0.89185227766749886</v>
      </c>
    </row>
    <row r="27" spans="1:29" ht="11.25" customHeight="1" x14ac:dyDescent="0.2">
      <c r="A27" s="63" t="s">
        <v>128</v>
      </c>
      <c r="B27" s="127">
        <v>13</v>
      </c>
      <c r="C27" s="67" t="str">
        <f t="shared" si="10"/>
        <v>x19F</v>
      </c>
      <c r="D27" s="136"/>
      <c r="E27" s="136"/>
      <c r="F27" s="136"/>
      <c r="G27" s="65" t="str">
        <f t="shared" si="11"/>
        <v>UsdLibor6M</v>
      </c>
      <c r="H27" s="130" t="str">
        <f t="shared" si="13"/>
        <v>USD13x19F_Quote</v>
      </c>
      <c r="I27" s="136"/>
      <c r="J27" s="69" t="str">
        <f>_xll.qlFraRateHelper(,H27,B27&amp;"M",G27,PillarDate,,Permanent,Trigger,ObjectOverwrite)</f>
        <v>obj_002f2#0311</v>
      </c>
      <c r="K27" s="52"/>
      <c r="L27" s="11" t="str">
        <f>A29</f>
        <v>FRA</v>
      </c>
      <c r="M27" s="105" t="str">
        <f>IF(ISBLANK(J29),"--",J29)</f>
        <v>--</v>
      </c>
      <c r="N27" s="159" t="str">
        <f>IFERROR(_xll.qlRateHelperQuoteName(M27,Trigger),"--")</f>
        <v>--</v>
      </c>
      <c r="O27" s="109" t="str">
        <f>IFERROR(_xll.qlRateHelperQuoteValue($M27,Trigger),"--")</f>
        <v>--</v>
      </c>
      <c r="P27" s="108" t="b">
        <v>0</v>
      </c>
      <c r="Q27" s="105">
        <v>20</v>
      </c>
      <c r="R27" s="105">
        <v>1</v>
      </c>
      <c r="S27" s="110" t="str">
        <f>IFERROR(_xll.qlRateHelperEarliestDate(M27,Trigger),"--")</f>
        <v>--</v>
      </c>
      <c r="T27" s="110" t="str">
        <f>IFERROR(_xll.qlRateHelperPillarDate(M27,Trigger),"--")</f>
        <v>--</v>
      </c>
      <c r="V27" s="4" t="str">
        <f t="shared" si="3"/>
        <v>BasSw</v>
      </c>
      <c r="W27" s="4" t="str">
        <v>obj_0029b</v>
      </c>
      <c r="X27" s="4" t="str">
        <f>IFERROR(_xll.qlRateHelperQuoteName(W27,Trigger),"")</f>
        <v>USDAM3L8Y_S6L3L_Quote</v>
      </c>
      <c r="Y27" s="75">
        <f>IFERROR(_xll.qlRateHelperRate(W27,Trigger),"")</f>
        <v>1.7006747144634567E-2</v>
      </c>
      <c r="Z27" s="115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42450</v>
      </c>
      <c r="AB27" s="5">
        <f>IFERROR(_xll.qlRateHelperPillarDate(W27,Trigger),"")</f>
        <v>45372</v>
      </c>
      <c r="AC27" s="83">
        <v>0.87104075595997588</v>
      </c>
    </row>
    <row r="28" spans="1:29" ht="11.25" customHeight="1" x14ac:dyDescent="0.2">
      <c r="A28" s="63" t="s">
        <v>128</v>
      </c>
      <c r="B28" s="127">
        <v>14</v>
      </c>
      <c r="C28" s="67" t="str">
        <f t="shared" si="10"/>
        <v>x20F</v>
      </c>
      <c r="D28" s="136"/>
      <c r="E28" s="136"/>
      <c r="F28" s="136"/>
      <c r="G28" s="65" t="str">
        <f t="shared" si="11"/>
        <v>UsdLibor6M</v>
      </c>
      <c r="H28" s="130" t="str">
        <f t="shared" si="13"/>
        <v>USD14x20F_Quote</v>
      </c>
      <c r="I28" s="136"/>
      <c r="J28" s="69"/>
      <c r="K28" s="52"/>
      <c r="L28" s="11" t="str">
        <f t="shared" ref="L28:L29" si="14">A30</f>
        <v>FRA</v>
      </c>
      <c r="M28" s="105" t="str">
        <f t="shared" ref="M28:M29" si="15">IF(ISBLANK(J30),"--",J30)</f>
        <v>--</v>
      </c>
      <c r="N28" s="159" t="str">
        <f>IFERROR(_xll.qlRateHelperQuoteName(M28,Trigger),"--")</f>
        <v>--</v>
      </c>
      <c r="O28" s="109" t="str">
        <f>IFERROR(_xll.qlRateHelperQuoteValue($M28,Trigger),"--")</f>
        <v>--</v>
      </c>
      <c r="P28" s="108" t="b">
        <v>0</v>
      </c>
      <c r="Q28" s="105">
        <v>20</v>
      </c>
      <c r="R28" s="105">
        <v>1</v>
      </c>
      <c r="S28" s="110" t="str">
        <f>IFERROR(_xll.qlRateHelperEarliestDate(M28,Trigger),"--")</f>
        <v>--</v>
      </c>
      <c r="T28" s="110" t="str">
        <f>IFERROR(_xll.qlRateHelperPillarDate(M28,Trigger),"--")</f>
        <v>--</v>
      </c>
      <c r="V28" s="4" t="str">
        <f t="shared" si="3"/>
        <v>BasSw</v>
      </c>
      <c r="W28" s="4" t="str">
        <v>obj_0028f</v>
      </c>
      <c r="X28" s="4" t="str">
        <f>IFERROR(_xll.qlRateHelperQuoteName(W28,Trigger),"")</f>
        <v>USDAM3L9Y_S6L3L_Quote</v>
      </c>
      <c r="Y28" s="75">
        <f>IFERROR(_xll.qlRateHelperRate(W28,Trigger),"")</f>
        <v>1.775716287351382E-2</v>
      </c>
      <c r="Z28" s="115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42450</v>
      </c>
      <c r="AB28" s="5">
        <f>IFERROR(_xll.qlRateHelperPillarDate(W28,Trigger),"")</f>
        <v>45737</v>
      </c>
      <c r="AC28" s="83">
        <v>0.85013940448297598</v>
      </c>
    </row>
    <row r="29" spans="1:29" ht="11.25" customHeight="1" x14ac:dyDescent="0.2">
      <c r="A29" s="63" t="s">
        <v>128</v>
      </c>
      <c r="B29" s="127">
        <v>15</v>
      </c>
      <c r="C29" s="67" t="str">
        <f t="shared" si="10"/>
        <v>x21F</v>
      </c>
      <c r="D29" s="136"/>
      <c r="E29" s="136"/>
      <c r="F29" s="136"/>
      <c r="G29" s="65" t="str">
        <f t="shared" si="11"/>
        <v>UsdLibor6M</v>
      </c>
      <c r="H29" s="130" t="str">
        <f t="shared" si="13"/>
        <v>USD15x21F_Quote</v>
      </c>
      <c r="I29" s="136"/>
      <c r="J29" s="69"/>
      <c r="K29" s="52"/>
      <c r="L29" s="11" t="str">
        <f t="shared" si="14"/>
        <v>FRA</v>
      </c>
      <c r="M29" s="105" t="str">
        <f t="shared" si="15"/>
        <v>--</v>
      </c>
      <c r="N29" s="159" t="str">
        <f>IFERROR(_xll.qlRateHelperQuoteName(M29,Trigger),"--")</f>
        <v>--</v>
      </c>
      <c r="O29" s="109" t="str">
        <f>IFERROR(_xll.qlRateHelperQuoteValue($M29,Trigger),"--")</f>
        <v>--</v>
      </c>
      <c r="P29" s="108" t="b">
        <v>0</v>
      </c>
      <c r="Q29" s="105">
        <v>20</v>
      </c>
      <c r="R29" s="105">
        <v>1</v>
      </c>
      <c r="S29" s="110" t="str">
        <f>IFERROR(_xll.qlRateHelperEarliestDate(M29,Trigger),"--")</f>
        <v>--</v>
      </c>
      <c r="T29" s="110" t="str">
        <f>IFERROR(_xll.qlRateHelperPillarDate(M29,Trigger),"--")</f>
        <v>--</v>
      </c>
      <c r="V29" s="4" t="str">
        <f t="shared" si="3"/>
        <v>BasSw</v>
      </c>
      <c r="W29" s="4" t="str">
        <v>obj_002d6</v>
      </c>
      <c r="X29" s="4" t="str">
        <f>IFERROR(_xll.qlRateHelperQuoteName(W29,Trigger),"")</f>
        <v>USDAM3L10Y_S6L3L_Quote</v>
      </c>
      <c r="Y29" s="75">
        <f>IFERROR(_xll.qlRateHelperRate(W29,Trigger),"")</f>
        <v>1.8447616288730376E-2</v>
      </c>
      <c r="Z29" s="115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42450</v>
      </c>
      <c r="AB29" s="5">
        <f>IFERROR(_xll.qlRateHelperPillarDate(W29,Trigger),"")</f>
        <v>46104</v>
      </c>
      <c r="AC29" s="83">
        <v>0.828835132903877</v>
      </c>
    </row>
    <row r="30" spans="1:29" ht="11.25" customHeight="1" x14ac:dyDescent="0.2">
      <c r="A30" s="63" t="s">
        <v>128</v>
      </c>
      <c r="B30" s="127">
        <v>16</v>
      </c>
      <c r="C30" s="67" t="str">
        <f t="shared" si="10"/>
        <v>x22F</v>
      </c>
      <c r="D30" s="136"/>
      <c r="E30" s="136"/>
      <c r="F30" s="136"/>
      <c r="G30" s="65" t="str">
        <f t="shared" si="11"/>
        <v>UsdLibor6M</v>
      </c>
      <c r="H30" s="130" t="str">
        <f t="shared" si="13"/>
        <v>USD16x22F_Quote</v>
      </c>
      <c r="I30" s="136"/>
      <c r="J30" s="69"/>
      <c r="K30" s="52"/>
      <c r="L30" s="12" t="str">
        <f>A32</f>
        <v>FRA</v>
      </c>
      <c r="M30" s="106" t="str">
        <f>IF(ISBLANK(J32),"--",J32)</f>
        <v>--</v>
      </c>
      <c r="N30" s="160" t="str">
        <f>IFERROR(_xll.qlRateHelperQuoteName(M30,Trigger),"--")</f>
        <v>--</v>
      </c>
      <c r="O30" s="112" t="str">
        <f>IFERROR(_xll.qlRateHelperQuoteValue($M30,Trigger),"--")</f>
        <v>--</v>
      </c>
      <c r="P30" s="111" t="b">
        <v>0</v>
      </c>
      <c r="Q30" s="106">
        <v>20</v>
      </c>
      <c r="R30" s="106">
        <v>1</v>
      </c>
      <c r="S30" s="113" t="str">
        <f>IFERROR(_xll.qlRateHelperEarliestDate(M30,Trigger),"--")</f>
        <v>--</v>
      </c>
      <c r="T30" s="113" t="str">
        <f>IFERROR(_xll.qlRateHelperPillarDate(M30,Trigger),"--")</f>
        <v>--</v>
      </c>
      <c r="V30" s="4" t="str">
        <f t="shared" si="3"/>
        <v>BasSw</v>
      </c>
      <c r="W30" s="4" t="str">
        <v>obj_002bb</v>
      </c>
      <c r="X30" s="4" t="str">
        <f>IFERROR(_xll.qlRateHelperQuoteName(W30,Trigger),"")</f>
        <v>USDAM3L12Y_S6L3L_Quote</v>
      </c>
      <c r="Y30" s="75">
        <f>IFERROR(_xll.qlRateHelperRate(W30,Trigger),"")</f>
        <v>1.9628369959558009E-2</v>
      </c>
      <c r="Z30" s="115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42450</v>
      </c>
      <c r="AB30" s="5">
        <f>IFERROR(_xll.qlRateHelperPillarDate(W30,Trigger),"")</f>
        <v>46833</v>
      </c>
      <c r="AC30" s="83">
        <v>0.78645836717765794</v>
      </c>
    </row>
    <row r="31" spans="1:29" ht="11.25" customHeight="1" x14ac:dyDescent="0.2">
      <c r="A31" s="63" t="s">
        <v>128</v>
      </c>
      <c r="B31" s="127">
        <v>17</v>
      </c>
      <c r="C31" s="67" t="str">
        <f t="shared" si="10"/>
        <v>x23F</v>
      </c>
      <c r="D31" s="136"/>
      <c r="E31" s="136"/>
      <c r="F31" s="136"/>
      <c r="G31" s="65" t="str">
        <f t="shared" si="11"/>
        <v>UsdLibor6M</v>
      </c>
      <c r="H31" s="130" t="str">
        <f t="shared" si="13"/>
        <v>USD17x23F_Quote</v>
      </c>
      <c r="I31" s="136"/>
      <c r="J31" s="69"/>
      <c r="K31" s="52"/>
      <c r="L31" s="11" t="str">
        <f>A35</f>
        <v>BasSw</v>
      </c>
      <c r="M31" s="105" t="str">
        <f>IF(ISBLANK(J35),"--",J35)</f>
        <v>--</v>
      </c>
      <c r="N31" s="159" t="str">
        <f>IFERROR(_xll.qlRateHelperQuoteName(M31,Trigger),"--")</f>
        <v>--</v>
      </c>
      <c r="O31" s="109" t="str">
        <f>IFERROR(_xll.qlRateHelperQuoteValue($M31,Trigger),"--")</f>
        <v>--</v>
      </c>
      <c r="P31" s="108" t="b">
        <v>0</v>
      </c>
      <c r="Q31" s="105">
        <v>40</v>
      </c>
      <c r="R31" s="105">
        <v>1</v>
      </c>
      <c r="S31" s="110" t="str">
        <f>IFERROR(_xll.qlRateHelperEarliestDate(M31,Trigger),"--")</f>
        <v>--</v>
      </c>
      <c r="T31" s="110" t="str">
        <f>IFERROR(_xll.qlRateHelperPillarDate(M31,Trigger),"--")</f>
        <v>--</v>
      </c>
      <c r="V31" s="4" t="str">
        <f t="shared" si="3"/>
        <v>BasSw</v>
      </c>
      <c r="W31" s="4" t="str">
        <v>obj_002e7</v>
      </c>
      <c r="X31" s="4" t="str">
        <f>IFERROR(_xll.qlRateHelperQuoteName(W31,Trigger),"")</f>
        <v>USDAM3L15Y_S6L3L_Quote</v>
      </c>
      <c r="Y31" s="75">
        <f>IFERROR(_xll.qlRateHelperRate(W31,Trigger),"")</f>
        <v>2.0849090075809634E-2</v>
      </c>
      <c r="Z31" s="115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42450</v>
      </c>
      <c r="AB31" s="5">
        <f>IFERROR(_xll.qlRateHelperPillarDate(W31,Trigger),"")</f>
        <v>47928</v>
      </c>
      <c r="AC31" s="83">
        <v>0.7262675455109634</v>
      </c>
    </row>
    <row r="32" spans="1:29" ht="11.25" customHeight="1" x14ac:dyDescent="0.2">
      <c r="A32" s="1" t="s">
        <v>128</v>
      </c>
      <c r="B32" s="128">
        <v>18</v>
      </c>
      <c r="C32" s="10" t="str">
        <f t="shared" si="10"/>
        <v>x24F</v>
      </c>
      <c r="D32" s="137"/>
      <c r="E32" s="137"/>
      <c r="F32" s="137"/>
      <c r="G32" s="7" t="str">
        <f t="shared" si="11"/>
        <v>UsdLibor6M</v>
      </c>
      <c r="H32" s="131" t="str">
        <f t="shared" si="13"/>
        <v>USD18x24F_Quote</v>
      </c>
      <c r="I32" s="137"/>
      <c r="J32" s="3"/>
      <c r="K32" s="52"/>
      <c r="L32" s="11" t="str">
        <f t="shared" ref="L32:L66" si="16">A36</f>
        <v>BasSw</v>
      </c>
      <c r="M32" s="105" t="str">
        <f t="shared" ref="M32:M66" si="17">IF(ISBLANK(J36),"--",J36)</f>
        <v>obj_0029d#0311</v>
      </c>
      <c r="N32" s="159" t="str">
        <f>IFERROR(_xll.qlRateHelperQuoteName(M32,Trigger),"--")</f>
        <v>USDAM3L2Y_S6L3L_Quote</v>
      </c>
      <c r="O32" s="109">
        <f>IFERROR(_xll.qlRateHelperQuoteValue($M32,Trigger),"--")</f>
        <v>1.0819043043797398E-2</v>
      </c>
      <c r="P32" s="108" t="b">
        <v>1</v>
      </c>
      <c r="Q32" s="105">
        <v>40</v>
      </c>
      <c r="R32" s="105">
        <v>1</v>
      </c>
      <c r="S32" s="110">
        <f>IFERROR(_xll.qlRateHelperEarliestDate(M32,Trigger),"--")</f>
        <v>42450</v>
      </c>
      <c r="T32" s="110">
        <f>IFERROR(_xll.qlRateHelperPillarDate(M32,Trigger),"--")</f>
        <v>43180</v>
      </c>
      <c r="V32" s="4" t="str">
        <f t="shared" si="3"/>
        <v>BasSw</v>
      </c>
      <c r="W32" s="4" t="str">
        <v>obj_002f4</v>
      </c>
      <c r="X32" s="4" t="str">
        <f>IFERROR(_xll.qlRateHelperQuoteName(W32,Trigger),"")</f>
        <v>USDAM3L20Y_S6L3L_Quote</v>
      </c>
      <c r="Y32" s="75">
        <f>IFERROR(_xll.qlRateHelperRate(W32,Trigger),"")</f>
        <v>2.2059778937742934E-2</v>
      </c>
      <c r="Z32" s="115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42450</v>
      </c>
      <c r="AB32" s="5">
        <f>IFERROR(_xll.qlRateHelperPillarDate(W32,Trigger),"")</f>
        <v>49755</v>
      </c>
      <c r="AC32" s="83">
        <v>0.63590533231520097</v>
      </c>
    </row>
    <row r="33" spans="1:29" ht="11.25" customHeight="1" x14ac:dyDescent="0.2">
      <c r="B33" s="50"/>
      <c r="C33" s="50"/>
      <c r="D33" s="50"/>
      <c r="E33" s="50"/>
      <c r="F33" s="50" t="s">
        <v>150</v>
      </c>
      <c r="G33" s="50" t="s">
        <v>149</v>
      </c>
      <c r="H33" s="50" t="s">
        <v>156</v>
      </c>
      <c r="K33" s="52"/>
      <c r="L33" s="11" t="str">
        <f t="shared" si="16"/>
        <v>BasSw</v>
      </c>
      <c r="M33" s="105" t="str">
        <f t="shared" si="17"/>
        <v>obj_00293#0311</v>
      </c>
      <c r="N33" s="159" t="str">
        <f>IFERROR(_xll.qlRateHelperQuoteName(M33,Trigger),"--")</f>
        <v>USDAM3L3Y_S6L3L_Quote</v>
      </c>
      <c r="O33" s="109">
        <f>IFERROR(_xll.qlRateHelperQuoteValue($M33,Trigger),"--")</f>
        <v>1.1974872716119966E-2</v>
      </c>
      <c r="P33" s="108" t="b">
        <v>1</v>
      </c>
      <c r="Q33" s="105">
        <v>40</v>
      </c>
      <c r="R33" s="105">
        <v>1</v>
      </c>
      <c r="S33" s="110">
        <f>IFERROR(_xll.qlRateHelperEarliestDate(M33,Trigger),"--")</f>
        <v>42450</v>
      </c>
      <c r="T33" s="110">
        <f>IFERROR(_xll.qlRateHelperPillarDate(M33,Trigger),"--")</f>
        <v>43545</v>
      </c>
      <c r="V33" s="4" t="str">
        <f t="shared" si="3"/>
        <v>BasSw</v>
      </c>
      <c r="W33" s="4" t="str">
        <v>obj_00280</v>
      </c>
      <c r="X33" s="4" t="str">
        <f>IFERROR(_xll.qlRateHelperQuoteName(W33,Trigger),"")</f>
        <v>USDAM3L25Y_S6L3L_Quote</v>
      </c>
      <c r="Y33" s="75">
        <f>IFERROR(_xll.qlRateHelperRate(W33,Trigger),"")</f>
        <v>2.2640075302924851E-2</v>
      </c>
      <c r="Z33" s="115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42450</v>
      </c>
      <c r="AB33" s="5">
        <f>IFERROR(_xll.qlRateHelperPillarDate(W33,Trigger),"")</f>
        <v>51581</v>
      </c>
      <c r="AC33" s="83">
        <v>0.55918395819601752</v>
      </c>
    </row>
    <row r="34" spans="1:29" ht="11.25" customHeight="1" x14ac:dyDescent="0.2">
      <c r="A34" s="70" t="s">
        <v>9</v>
      </c>
      <c r="B34" s="70" t="s">
        <v>30</v>
      </c>
      <c r="C34" s="70" t="s">
        <v>151</v>
      </c>
      <c r="D34" s="70" t="s">
        <v>5</v>
      </c>
      <c r="E34" s="70" t="s">
        <v>35</v>
      </c>
      <c r="F34" s="70" t="s">
        <v>152</v>
      </c>
      <c r="G34" s="70" t="s">
        <v>4</v>
      </c>
      <c r="H34" s="70" t="s">
        <v>1</v>
      </c>
      <c r="I34" s="70" t="s">
        <v>148</v>
      </c>
      <c r="J34" s="70" t="s">
        <v>25</v>
      </c>
      <c r="K34" s="52"/>
      <c r="L34" s="11" t="str">
        <f t="shared" si="16"/>
        <v>BasSw</v>
      </c>
      <c r="M34" s="105" t="str">
        <f t="shared" si="17"/>
        <v>obj_00284#0312</v>
      </c>
      <c r="N34" s="159" t="str">
        <f>IFERROR(_xll.qlRateHelperQuoteName(M34,Trigger),"--")</f>
        <v>USDAM3L4Y_S6L3L_Quote</v>
      </c>
      <c r="O34" s="109">
        <f>IFERROR(_xll.qlRateHelperQuoteValue($M34,Trigger),"--")</f>
        <v>1.3085150092851446E-2</v>
      </c>
      <c r="P34" s="108" t="b">
        <v>1</v>
      </c>
      <c r="Q34" s="105">
        <v>40</v>
      </c>
      <c r="R34" s="105">
        <v>1</v>
      </c>
      <c r="S34" s="110">
        <f>IFERROR(_xll.qlRateHelperEarliestDate(M34,Trigger),"--")</f>
        <v>42450</v>
      </c>
      <c r="T34" s="110">
        <f>IFERROR(_xll.qlRateHelperPillarDate(M34,Trigger),"--")</f>
        <v>43913</v>
      </c>
      <c r="V34" s="4" t="str">
        <f t="shared" si="3"/>
        <v>BasSw</v>
      </c>
      <c r="W34" s="4" t="str">
        <v>obj_002dc</v>
      </c>
      <c r="X34" s="4" t="str">
        <f>IFERROR(_xll.qlRateHelperQuoteName(W34,Trigger),"")</f>
        <v>USDAM3L30Y_S6L3L_Quote</v>
      </c>
      <c r="Y34" s="75">
        <f>IFERROR(_xll.qlRateHelperRate(W34,Trigger),"")</f>
        <v>2.2980190787643323E-2</v>
      </c>
      <c r="Z34" s="115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42450</v>
      </c>
      <c r="AB34" s="5">
        <f>IFERROR(_xll.qlRateHelperPillarDate(W34,Trigger),"")</f>
        <v>53407</v>
      </c>
      <c r="AC34" s="83">
        <v>0.49253999226990941</v>
      </c>
    </row>
    <row r="35" spans="1:29" ht="11.25" customHeight="1" x14ac:dyDescent="0.2">
      <c r="A35" s="57" t="s">
        <v>160</v>
      </c>
      <c r="B35" s="58" t="s">
        <v>29</v>
      </c>
      <c r="C35" s="59" t="s">
        <v>6</v>
      </c>
      <c r="D35" s="59" t="s">
        <v>8</v>
      </c>
      <c r="E35" s="59" t="s">
        <v>7</v>
      </c>
      <c r="F35" s="59" t="s">
        <v>28</v>
      </c>
      <c r="G35" s="59" t="str">
        <f t="shared" ref="G35:G70" si="18">PROPER(Currency)&amp;FamilyName&amp;Tenor</f>
        <v>UsdLibor6M</v>
      </c>
      <c r="H35" s="57" t="str">
        <f t="shared" ref="H35:H70" si="19">Currency&amp;$G$33&amp;$F$33&amp;$B35&amp;"_S"&amp;$H$33&amp;$F$33&amp;QuoteSuffix</f>
        <v>USDAM3L1Y_S6L3L_Quote</v>
      </c>
      <c r="I35" s="139">
        <v>0</v>
      </c>
      <c r="J35" s="69"/>
      <c r="K35" s="52"/>
      <c r="L35" s="11" t="str">
        <f t="shared" si="16"/>
        <v>BasSw</v>
      </c>
      <c r="M35" s="105" t="str">
        <f t="shared" si="17"/>
        <v>obj_00292#0311</v>
      </c>
      <c r="N35" s="159" t="str">
        <f>IFERROR(_xll.qlRateHelperQuoteName(M35,Trigger),"--")</f>
        <v>USDAM3L5Y_S6L3L_Quote</v>
      </c>
      <c r="O35" s="109">
        <f>IFERROR(_xll.qlRateHelperQuoteValue($M35,Trigger),"--")</f>
        <v>1.4135423935325277E-2</v>
      </c>
      <c r="P35" s="108" t="b">
        <v>1</v>
      </c>
      <c r="Q35" s="105">
        <v>40</v>
      </c>
      <c r="R35" s="105">
        <v>1</v>
      </c>
      <c r="S35" s="110">
        <f>IFERROR(_xll.qlRateHelperEarliestDate(M35,Trigger),"--")</f>
        <v>42450</v>
      </c>
      <c r="T35" s="110">
        <f>IFERROR(_xll.qlRateHelperPillarDate(M35,Trigger),"--")</f>
        <v>44277</v>
      </c>
      <c r="V35" s="4" t="str">
        <f t="shared" si="3"/>
        <v>BasSw</v>
      </c>
      <c r="W35" s="4" t="str">
        <v>obj_002af</v>
      </c>
      <c r="X35" s="4" t="str">
        <f>IFERROR(_xll.qlRateHelperQuoteName(W35,Trigger),"")</f>
        <v>USDAM3L35Y_S6L3L_Quote</v>
      </c>
      <c r="Y35" s="75">
        <f>IFERROR(_xll.qlRateHelperRate(W35,Trigger),"")</f>
        <v>2.3155562090042079E-2</v>
      </c>
      <c r="Z35" s="115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42450</v>
      </c>
      <c r="AB35" s="5">
        <f>IFERROR(_xll.qlRateHelperPillarDate(W35,Trigger),"")</f>
        <v>55233</v>
      </c>
      <c r="AC35" s="83">
        <v>0.43520866322788077</v>
      </c>
    </row>
    <row r="36" spans="1:29" ht="11.25" customHeight="1" x14ac:dyDescent="0.2">
      <c r="A36" s="63" t="s">
        <v>160</v>
      </c>
      <c r="B36" s="64" t="s">
        <v>72</v>
      </c>
      <c r="C36" s="65" t="s">
        <v>6</v>
      </c>
      <c r="D36" s="65" t="s">
        <v>8</v>
      </c>
      <c r="E36" s="65" t="s">
        <v>7</v>
      </c>
      <c r="F36" s="65" t="s">
        <v>28</v>
      </c>
      <c r="G36" s="65" t="str">
        <f t="shared" si="18"/>
        <v>UsdLibor6M</v>
      </c>
      <c r="H36" s="63" t="str">
        <f t="shared" si="19"/>
        <v>USDAM3L2Y_S6L3L_Quote</v>
      </c>
      <c r="I36" s="140">
        <v>0</v>
      </c>
      <c r="J36" s="69" t="str">
        <f>_xll.qlSwapRateHelper2(,H36,,B36,JoinCalendar,USD6M!D36,USD6M!E36,USD6M!F36,USD6M!G36,USD6M!I36,USD6M!C36,Discounting,PillarDate,,Permanent,Trigger,ObjectOverwrite)</f>
        <v>obj_0029d#0311</v>
      </c>
      <c r="K36" s="52"/>
      <c r="L36" s="11" t="str">
        <f t="shared" si="16"/>
        <v>BasSw</v>
      </c>
      <c r="M36" s="105" t="str">
        <f t="shared" si="17"/>
        <v>obj_002be#0311</v>
      </c>
      <c r="N36" s="159" t="str">
        <f>IFERROR(_xll.qlRateHelperQuoteName(M36,Trigger),"--")</f>
        <v>USDAM3L6Y_S6L3L_Quote</v>
      </c>
      <c r="O36" s="109">
        <f>IFERROR(_xll.qlRateHelperQuoteValue($M36,Trigger),"--")</f>
        <v>1.5175818585692476E-2</v>
      </c>
      <c r="P36" s="108" t="b">
        <v>1</v>
      </c>
      <c r="Q36" s="105">
        <v>40</v>
      </c>
      <c r="R36" s="105">
        <v>1</v>
      </c>
      <c r="S36" s="110">
        <f>IFERROR(_xll.qlRateHelperEarliestDate(M36,Trigger),"--")</f>
        <v>42450</v>
      </c>
      <c r="T36" s="110">
        <f>IFERROR(_xll.qlRateHelperPillarDate(M36,Trigger),"--")</f>
        <v>44641</v>
      </c>
      <c r="V36" s="4" t="str">
        <f t="shared" si="3"/>
        <v>BasSw</v>
      </c>
      <c r="W36" s="4" t="str">
        <v>obj_00287</v>
      </c>
      <c r="X36" s="4" t="str">
        <f>IFERROR(_xll.qlRateHelperQuoteName(W36,Trigger),"")</f>
        <v>USDAM3L40Y_S6L3L_Quote</v>
      </c>
      <c r="Y36" s="75">
        <f>IFERROR(_xll.qlRateHelperRate(W36,Trigger),"")</f>
        <v>2.3190272324458375E-2</v>
      </c>
      <c r="Z36" s="115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42450</v>
      </c>
      <c r="AB36" s="5">
        <f>IFERROR(_xll.qlRateHelperPillarDate(W36,Trigger),"")</f>
        <v>57060</v>
      </c>
      <c r="AC36" s="83">
        <v>0.38666715082534403</v>
      </c>
    </row>
    <row r="37" spans="1:29" ht="11.25" customHeight="1" x14ac:dyDescent="0.2">
      <c r="A37" s="63" t="s">
        <v>160</v>
      </c>
      <c r="B37" s="64" t="s">
        <v>76</v>
      </c>
      <c r="C37" s="65" t="s">
        <v>6</v>
      </c>
      <c r="D37" s="65" t="s">
        <v>8</v>
      </c>
      <c r="E37" s="65" t="s">
        <v>7</v>
      </c>
      <c r="F37" s="65" t="s">
        <v>28</v>
      </c>
      <c r="G37" s="65" t="str">
        <f t="shared" si="18"/>
        <v>UsdLibor6M</v>
      </c>
      <c r="H37" s="63" t="str">
        <f t="shared" si="19"/>
        <v>USDAM3L3Y_S6L3L_Quote</v>
      </c>
      <c r="I37" s="140">
        <v>0</v>
      </c>
      <c r="J37" s="69" t="str">
        <f>_xll.qlSwapRateHelper2(,H37,,B37,JoinCalendar,USD6M!D37,USD6M!E37,USD6M!F37,USD6M!G37,USD6M!I37,USD6M!C37,Discounting,PillarDate,,Permanent,Trigger,ObjectOverwrite)</f>
        <v>obj_00293#0311</v>
      </c>
      <c r="K37" s="52"/>
      <c r="L37" s="11" t="str">
        <f t="shared" si="16"/>
        <v>BasSw</v>
      </c>
      <c r="M37" s="105" t="str">
        <f t="shared" si="17"/>
        <v>obj_002bd#0311</v>
      </c>
      <c r="N37" s="159" t="str">
        <f>IFERROR(_xll.qlRateHelperQuoteName(M37,Trigger),"--")</f>
        <v>USDAM3L7Y_S6L3L_Quote</v>
      </c>
      <c r="O37" s="109">
        <f>IFERROR(_xll.qlRateHelperQuoteValue($M37,Trigger),"--")</f>
        <v>1.6136253607875753E-2</v>
      </c>
      <c r="P37" s="108" t="b">
        <v>1</v>
      </c>
      <c r="Q37" s="105">
        <v>40</v>
      </c>
      <c r="R37" s="105">
        <v>1</v>
      </c>
      <c r="S37" s="110">
        <f>IFERROR(_xll.qlRateHelperEarliestDate(M37,Trigger),"--")</f>
        <v>42450</v>
      </c>
      <c r="T37" s="110">
        <f>IFERROR(_xll.qlRateHelperPillarDate(M37,Trigger),"--")</f>
        <v>45006</v>
      </c>
      <c r="V37" s="4" t="str">
        <f t="shared" si="3"/>
        <v>BasSw</v>
      </c>
      <c r="W37" s="4" t="str">
        <v>obj_002b2</v>
      </c>
      <c r="X37" s="4" t="str">
        <f>IFERROR(_xll.qlRateHelperQuoteName(W37,Trigger),"")</f>
        <v>USDAM3L50Y_S6L3L_Quote</v>
      </c>
      <c r="Y37" s="75">
        <f>IFERROR(_xll.qlRateHelperRate(W37,Trigger),"")</f>
        <v>2.3030193733194846E-2</v>
      </c>
      <c r="Z37" s="115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42450</v>
      </c>
      <c r="AB37" s="5">
        <f>IFERROR(_xll.qlRateHelperPillarDate(W37,Trigger),"")</f>
        <v>60713</v>
      </c>
      <c r="AC37" s="83">
        <v>0.31013916132556346</v>
      </c>
    </row>
    <row r="38" spans="1:29" ht="11.25" customHeight="1" x14ac:dyDescent="0.2">
      <c r="A38" s="63" t="s">
        <v>160</v>
      </c>
      <c r="B38" s="64" t="s">
        <v>80</v>
      </c>
      <c r="C38" s="65" t="s">
        <v>6</v>
      </c>
      <c r="D38" s="65" t="s">
        <v>8</v>
      </c>
      <c r="E38" s="65" t="s">
        <v>7</v>
      </c>
      <c r="F38" s="65" t="s">
        <v>28</v>
      </c>
      <c r="G38" s="65" t="str">
        <f t="shared" si="18"/>
        <v>UsdLibor6M</v>
      </c>
      <c r="H38" s="63" t="str">
        <f t="shared" si="19"/>
        <v>USDAM3L4Y_S6L3L_Quote</v>
      </c>
      <c r="I38" s="140">
        <v>0</v>
      </c>
      <c r="J38" s="69" t="str">
        <f>_xll.qlSwapRateHelper2(,H38,,B38,JoinCalendar,USD6M!D38,USD6M!E38,USD6M!F38,USD6M!G38,USD6M!I38,USD6M!C38,Discounting,PillarDate,,Permanent,Trigger,ObjectOverwrite)</f>
        <v>obj_00284#0312</v>
      </c>
      <c r="K38" s="52"/>
      <c r="L38" s="11" t="str">
        <f t="shared" si="16"/>
        <v>BasSw</v>
      </c>
      <c r="M38" s="105" t="str">
        <f t="shared" si="17"/>
        <v>obj_0029b#0311</v>
      </c>
      <c r="N38" s="159" t="str">
        <f>IFERROR(_xll.qlRateHelperQuoteName(M38,Trigger),"--")</f>
        <v>USDAM3L8Y_S6L3L_Quote</v>
      </c>
      <c r="O38" s="109">
        <f>IFERROR(_xll.qlRateHelperQuoteValue($M38,Trigger),"--")</f>
        <v>1.7006747144634567E-2</v>
      </c>
      <c r="P38" s="108" t="b">
        <v>1</v>
      </c>
      <c r="Q38" s="105">
        <v>40</v>
      </c>
      <c r="R38" s="105">
        <v>1</v>
      </c>
      <c r="S38" s="110">
        <f>IFERROR(_xll.qlRateHelperEarliestDate(M38,Trigger),"--")</f>
        <v>42450</v>
      </c>
      <c r="T38" s="110">
        <f>IFERROR(_xll.qlRateHelperPillarDate(M38,Trigger),"--")</f>
        <v>45372</v>
      </c>
      <c r="V38" s="4" t="str">
        <f t="shared" si="3"/>
        <v>BasSw</v>
      </c>
      <c r="W38" s="4" t="str">
        <v>obj_00291</v>
      </c>
      <c r="X38" s="4" t="str">
        <f>IFERROR(_xll.qlRateHelperQuoteName(W38,Trigger),"")</f>
        <v>USDAM3L60Y_S6L3L_Quote</v>
      </c>
      <c r="Y38" s="75">
        <f>IFERROR(_xll.qlRateHelperRate(W38,Trigger),"")</f>
        <v>2.2875546373814313E-2</v>
      </c>
      <c r="Z38" s="115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42450</v>
      </c>
      <c r="AB38" s="5">
        <f>IFERROR(_xll.qlRateHelperPillarDate(W38,Trigger),"")</f>
        <v>64367</v>
      </c>
      <c r="AC38" s="83">
        <v>0.24991192573870086</v>
      </c>
    </row>
    <row r="39" spans="1:29" ht="11.25" customHeight="1" x14ac:dyDescent="0.2">
      <c r="A39" s="63" t="s">
        <v>160</v>
      </c>
      <c r="B39" s="64" t="s">
        <v>84</v>
      </c>
      <c r="C39" s="65" t="s">
        <v>6</v>
      </c>
      <c r="D39" s="65" t="s">
        <v>8</v>
      </c>
      <c r="E39" s="65" t="s">
        <v>7</v>
      </c>
      <c r="F39" s="65" t="s">
        <v>28</v>
      </c>
      <c r="G39" s="65" t="str">
        <f t="shared" si="18"/>
        <v>UsdLibor6M</v>
      </c>
      <c r="H39" s="63" t="str">
        <f t="shared" si="19"/>
        <v>USDAM3L5Y_S6L3L_Quote</v>
      </c>
      <c r="I39" s="140">
        <v>0</v>
      </c>
      <c r="J39" s="69" t="str">
        <f>_xll.qlSwapRateHelper2(,H39,,B39,JoinCalendar,USD6M!D39,USD6M!E39,USD6M!F39,USD6M!G39,USD6M!I39,USD6M!C39,Discounting,PillarDate,,Permanent,Trigger,ObjectOverwrite)</f>
        <v>obj_00292#0311</v>
      </c>
      <c r="K39" s="52"/>
      <c r="L39" s="11" t="str">
        <f t="shared" si="16"/>
        <v>BasSw</v>
      </c>
      <c r="M39" s="105" t="str">
        <f t="shared" si="17"/>
        <v>obj_0028f#0311</v>
      </c>
      <c r="N39" s="159" t="str">
        <f>IFERROR(_xll.qlRateHelperQuoteName(M39,Trigger),"--")</f>
        <v>USDAM3L9Y_S6L3L_Quote</v>
      </c>
      <c r="O39" s="109">
        <f>IFERROR(_xll.qlRateHelperQuoteValue($M39,Trigger),"--")</f>
        <v>1.775716287351382E-2</v>
      </c>
      <c r="P39" s="108" t="b">
        <v>1</v>
      </c>
      <c r="Q39" s="105">
        <v>40</v>
      </c>
      <c r="R39" s="105">
        <v>1</v>
      </c>
      <c r="S39" s="110">
        <f>IFERROR(_xll.qlRateHelperEarliestDate(M39,Trigger),"--")</f>
        <v>42450</v>
      </c>
      <c r="T39" s="110">
        <f>IFERROR(_xll.qlRateHelperPillarDate(M39,Trigger),"--")</f>
        <v>45737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5" t="str">
        <f>IFERROR(_xll.qlRateHelperRate(W39,Trigger),"")</f>
        <v/>
      </c>
      <c r="Z39" s="115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3" t="e">
        <v>#N/A</v>
      </c>
    </row>
    <row r="40" spans="1:29" ht="11.25" customHeight="1" x14ac:dyDescent="0.2">
      <c r="A40" s="63" t="s">
        <v>160</v>
      </c>
      <c r="B40" s="64" t="s">
        <v>85</v>
      </c>
      <c r="C40" s="65" t="s">
        <v>6</v>
      </c>
      <c r="D40" s="65" t="s">
        <v>8</v>
      </c>
      <c r="E40" s="65" t="s">
        <v>7</v>
      </c>
      <c r="F40" s="65" t="s">
        <v>28</v>
      </c>
      <c r="G40" s="65" t="str">
        <f t="shared" si="18"/>
        <v>UsdLibor6M</v>
      </c>
      <c r="H40" s="63" t="str">
        <f t="shared" si="19"/>
        <v>USDAM3L6Y_S6L3L_Quote</v>
      </c>
      <c r="I40" s="140">
        <v>0</v>
      </c>
      <c r="J40" s="69" t="str">
        <f>_xll.qlSwapRateHelper2(,H40,,B40,JoinCalendar,USD6M!D40,USD6M!E40,USD6M!F40,USD6M!G40,USD6M!I40,USD6M!C40,Discounting,PillarDate,,Permanent,Trigger,ObjectOverwrite)</f>
        <v>obj_002be#0311</v>
      </c>
      <c r="K40" s="52"/>
      <c r="L40" s="11" t="str">
        <f t="shared" si="16"/>
        <v>BasSw</v>
      </c>
      <c r="M40" s="105" t="str">
        <f t="shared" si="17"/>
        <v>obj_002d6#0311</v>
      </c>
      <c r="N40" s="159" t="str">
        <f>IFERROR(_xll.qlRateHelperQuoteName(M40,Trigger),"--")</f>
        <v>USDAM3L10Y_S6L3L_Quote</v>
      </c>
      <c r="O40" s="109">
        <f>IFERROR(_xll.qlRateHelperQuoteValue($M40,Trigger),"--")</f>
        <v>1.8447616288730376E-2</v>
      </c>
      <c r="P40" s="108" t="b">
        <v>1</v>
      </c>
      <c r="Q40" s="105">
        <v>40</v>
      </c>
      <c r="R40" s="105">
        <v>1</v>
      </c>
      <c r="S40" s="110">
        <f>IFERROR(_xll.qlRateHelperEarliestDate(M40,Trigger),"--")</f>
        <v>42450</v>
      </c>
      <c r="T40" s="110">
        <f>IFERROR(_xll.qlRateHelperPillarDate(M40,Trigger),"--")</f>
        <v>46104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5" t="str">
        <f>IFERROR(_xll.qlRateHelperRate(W40,Trigger),"")</f>
        <v/>
      </c>
      <c r="Z40" s="115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3" t="e">
        <v>#N/A</v>
      </c>
    </row>
    <row r="41" spans="1:29" ht="11.25" customHeight="1" x14ac:dyDescent="0.2">
      <c r="A41" s="63" t="s">
        <v>160</v>
      </c>
      <c r="B41" s="64" t="s">
        <v>86</v>
      </c>
      <c r="C41" s="65" t="s">
        <v>6</v>
      </c>
      <c r="D41" s="65" t="s">
        <v>8</v>
      </c>
      <c r="E41" s="65" t="s">
        <v>7</v>
      </c>
      <c r="F41" s="65" t="s">
        <v>28</v>
      </c>
      <c r="G41" s="65" t="str">
        <f t="shared" si="18"/>
        <v>UsdLibor6M</v>
      </c>
      <c r="H41" s="63" t="str">
        <f t="shared" si="19"/>
        <v>USDAM3L7Y_S6L3L_Quote</v>
      </c>
      <c r="I41" s="140">
        <v>0</v>
      </c>
      <c r="J41" s="69" t="str">
        <f>_xll.qlSwapRateHelper2(,H41,,B41,JoinCalendar,USD6M!D41,USD6M!E41,USD6M!F41,USD6M!G41,USD6M!I41,USD6M!C41,Discounting,PillarDate,,Permanent,Trigger,ObjectOverwrite)</f>
        <v>obj_002bd#0311</v>
      </c>
      <c r="L41" s="11" t="str">
        <f t="shared" si="16"/>
        <v>BasSw</v>
      </c>
      <c r="M41" s="105" t="str">
        <f t="shared" si="17"/>
        <v>--</v>
      </c>
      <c r="N41" s="159" t="str">
        <f>IFERROR(_xll.qlRateHelperQuoteName(M41,Trigger),"--")</f>
        <v>--</v>
      </c>
      <c r="O41" s="109" t="str">
        <f>IFERROR(_xll.qlRateHelperQuoteValue($M41,Trigger),"--")</f>
        <v>--</v>
      </c>
      <c r="P41" s="108" t="b">
        <v>0</v>
      </c>
      <c r="Q41" s="105">
        <v>40</v>
      </c>
      <c r="R41" s="105">
        <v>1</v>
      </c>
      <c r="S41" s="110" t="str">
        <f>IFERROR(_xll.qlRateHelperEarliestDate(M41,Trigger),"--")</f>
        <v>--</v>
      </c>
      <c r="T41" s="110" t="str">
        <f>IFERROR(_xll.qlRateHelperPillarDate(M41,Trigger),"--")</f>
        <v>--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5" t="str">
        <f>IFERROR(_xll.qlRateHelperRate(W41,Trigger),"")</f>
        <v/>
      </c>
      <c r="Z41" s="115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3" t="e">
        <v>#N/A</v>
      </c>
    </row>
    <row r="42" spans="1:29" ht="11.25" customHeight="1" x14ac:dyDescent="0.2">
      <c r="A42" s="63" t="s">
        <v>160</v>
      </c>
      <c r="B42" s="64" t="s">
        <v>87</v>
      </c>
      <c r="C42" s="65" t="s">
        <v>6</v>
      </c>
      <c r="D42" s="65" t="s">
        <v>8</v>
      </c>
      <c r="E42" s="65" t="s">
        <v>7</v>
      </c>
      <c r="F42" s="65" t="s">
        <v>28</v>
      </c>
      <c r="G42" s="65" t="str">
        <f t="shared" si="18"/>
        <v>UsdLibor6M</v>
      </c>
      <c r="H42" s="63" t="str">
        <f t="shared" si="19"/>
        <v>USDAM3L8Y_S6L3L_Quote</v>
      </c>
      <c r="I42" s="140">
        <v>0</v>
      </c>
      <c r="J42" s="69" t="str">
        <f>_xll.qlSwapRateHelper2(,H42,,B42,JoinCalendar,USD6M!D42,USD6M!E42,USD6M!F42,USD6M!G42,USD6M!I42,USD6M!C42,Discounting,PillarDate,,Permanent,Trigger,ObjectOverwrite)</f>
        <v>obj_0029b#0311</v>
      </c>
      <c r="L42" s="11" t="str">
        <f t="shared" si="16"/>
        <v>BasSw</v>
      </c>
      <c r="M42" s="105" t="str">
        <f t="shared" si="17"/>
        <v>obj_002bb#0311</v>
      </c>
      <c r="N42" s="159" t="str">
        <f>IFERROR(_xll.qlRateHelperQuoteName(M42,Trigger),"--")</f>
        <v>USDAM3L12Y_S6L3L_Quote</v>
      </c>
      <c r="O42" s="109">
        <f>IFERROR(_xll.qlRateHelperQuoteValue($M42,Trigger),"--")</f>
        <v>1.9628369959558009E-2</v>
      </c>
      <c r="P42" s="108" t="b">
        <v>1</v>
      </c>
      <c r="Q42" s="105">
        <v>40</v>
      </c>
      <c r="R42" s="105">
        <v>1</v>
      </c>
      <c r="S42" s="110">
        <f>IFERROR(_xll.qlRateHelperEarliestDate(M42,Trigger),"--")</f>
        <v>42450</v>
      </c>
      <c r="T42" s="110">
        <f>IFERROR(_xll.qlRateHelperPillarDate(M42,Trigger),"--")</f>
        <v>46833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5" t="str">
        <f>IFERROR(_xll.qlRateHelperRate(W42,Trigger),"")</f>
        <v/>
      </c>
      <c r="Z42" s="115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3" t="e">
        <v>#N/A</v>
      </c>
    </row>
    <row r="43" spans="1:29" ht="11.25" customHeight="1" x14ac:dyDescent="0.2">
      <c r="A43" s="63" t="s">
        <v>160</v>
      </c>
      <c r="B43" s="64" t="s">
        <v>88</v>
      </c>
      <c r="C43" s="65" t="s">
        <v>6</v>
      </c>
      <c r="D43" s="65" t="s">
        <v>8</v>
      </c>
      <c r="E43" s="65" t="s">
        <v>7</v>
      </c>
      <c r="F43" s="65" t="s">
        <v>28</v>
      </c>
      <c r="G43" s="65" t="str">
        <f t="shared" si="18"/>
        <v>UsdLibor6M</v>
      </c>
      <c r="H43" s="63" t="str">
        <f t="shared" si="19"/>
        <v>USDAM3L9Y_S6L3L_Quote</v>
      </c>
      <c r="I43" s="140">
        <v>0</v>
      </c>
      <c r="J43" s="69" t="str">
        <f>_xll.qlSwapRateHelper2(,H43,,B43,JoinCalendar,USD6M!D43,USD6M!E43,USD6M!F43,USD6M!G43,USD6M!I43,USD6M!C43,Discounting,PillarDate,,Permanent,Trigger,ObjectOverwrite)</f>
        <v>obj_0028f#0311</v>
      </c>
      <c r="L43" s="11" t="str">
        <f t="shared" si="16"/>
        <v>BasSw</v>
      </c>
      <c r="M43" s="105" t="str">
        <f t="shared" si="17"/>
        <v>--</v>
      </c>
      <c r="N43" s="159" t="str">
        <f>IFERROR(_xll.qlRateHelperQuoteName(M43,Trigger),"--")</f>
        <v>--</v>
      </c>
      <c r="O43" s="109" t="str">
        <f>IFERROR(_xll.qlRateHelperQuoteValue($M43,Trigger),"--")</f>
        <v>--</v>
      </c>
      <c r="P43" s="108" t="b">
        <v>0</v>
      </c>
      <c r="Q43" s="105">
        <v>40</v>
      </c>
      <c r="R43" s="105">
        <v>1</v>
      </c>
      <c r="S43" s="110" t="str">
        <f>IFERROR(_xll.qlRateHelperEarliestDate(M43,Trigger),"--")</f>
        <v>--</v>
      </c>
      <c r="T43" s="110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5" t="str">
        <f>IFERROR(_xll.qlRateHelperRate(W43,Trigger),"")</f>
        <v/>
      </c>
      <c r="Z43" s="115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3" t="e">
        <v>#N/A</v>
      </c>
    </row>
    <row r="44" spans="1:29" ht="11.25" customHeight="1" x14ac:dyDescent="0.2">
      <c r="A44" s="63" t="s">
        <v>160</v>
      </c>
      <c r="B44" s="64" t="s">
        <v>89</v>
      </c>
      <c r="C44" s="65" t="s">
        <v>6</v>
      </c>
      <c r="D44" s="65" t="s">
        <v>8</v>
      </c>
      <c r="E44" s="65" t="s">
        <v>7</v>
      </c>
      <c r="F44" s="65" t="s">
        <v>28</v>
      </c>
      <c r="G44" s="65" t="str">
        <f t="shared" si="18"/>
        <v>UsdLibor6M</v>
      </c>
      <c r="H44" s="63" t="str">
        <f t="shared" si="19"/>
        <v>USDAM3L10Y_S6L3L_Quote</v>
      </c>
      <c r="I44" s="140">
        <v>0</v>
      </c>
      <c r="J44" s="69" t="str">
        <f>_xll.qlSwapRateHelper2(,H44,,B44,JoinCalendar,USD6M!D44,USD6M!E44,USD6M!F44,USD6M!G44,USD6M!I44,USD6M!C44,Discounting,PillarDate,,Permanent,Trigger,ObjectOverwrite)</f>
        <v>obj_002d6#0311</v>
      </c>
      <c r="L44" s="11" t="str">
        <f t="shared" si="16"/>
        <v>BasSw</v>
      </c>
      <c r="M44" s="105" t="str">
        <f t="shared" si="17"/>
        <v>--</v>
      </c>
      <c r="N44" s="159" t="str">
        <f>IFERROR(_xll.qlRateHelperQuoteName(M44,Trigger),"--")</f>
        <v>--</v>
      </c>
      <c r="O44" s="109" t="str">
        <f>IFERROR(_xll.qlRateHelperQuoteValue($M44,Trigger),"--")</f>
        <v>--</v>
      </c>
      <c r="P44" s="108" t="b">
        <v>0</v>
      </c>
      <c r="Q44" s="105">
        <v>40</v>
      </c>
      <c r="R44" s="105">
        <v>1</v>
      </c>
      <c r="S44" s="110" t="str">
        <f>IFERROR(_xll.qlRateHelperEarliestDate(M44,Trigger),"--")</f>
        <v>--</v>
      </c>
      <c r="T44" s="110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5" t="str">
        <f>IFERROR(_xll.qlRateHelperRate(W44,Trigger),"")</f>
        <v/>
      </c>
      <c r="Z44" s="115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3" t="e">
        <v>#N/A</v>
      </c>
    </row>
    <row r="45" spans="1:29" ht="11.25" customHeight="1" x14ac:dyDescent="0.2">
      <c r="A45" s="63" t="s">
        <v>160</v>
      </c>
      <c r="B45" s="64" t="s">
        <v>133</v>
      </c>
      <c r="C45" s="65" t="s">
        <v>6</v>
      </c>
      <c r="D45" s="65" t="s">
        <v>8</v>
      </c>
      <c r="E45" s="65" t="s">
        <v>7</v>
      </c>
      <c r="F45" s="65" t="s">
        <v>28</v>
      </c>
      <c r="G45" s="65" t="str">
        <f t="shared" si="18"/>
        <v>UsdLibor6M</v>
      </c>
      <c r="H45" s="63" t="str">
        <f t="shared" si="19"/>
        <v>USDAM3L11Y_S6L3L_Quote</v>
      </c>
      <c r="I45" s="140">
        <v>0</v>
      </c>
      <c r="J45" s="69"/>
      <c r="L45" s="11" t="str">
        <f t="shared" si="16"/>
        <v>BasSw</v>
      </c>
      <c r="M45" s="105" t="str">
        <f t="shared" si="17"/>
        <v>obj_002e7#0311</v>
      </c>
      <c r="N45" s="159" t="str">
        <f>IFERROR(_xll.qlRateHelperQuoteName(M45,Trigger),"--")</f>
        <v>USDAM3L15Y_S6L3L_Quote</v>
      </c>
      <c r="O45" s="109">
        <f>IFERROR(_xll.qlRateHelperQuoteValue($M45,Trigger),"--")</f>
        <v>2.0849090075809634E-2</v>
      </c>
      <c r="P45" s="108" t="b">
        <v>1</v>
      </c>
      <c r="Q45" s="105">
        <v>40</v>
      </c>
      <c r="R45" s="105">
        <v>1</v>
      </c>
      <c r="S45" s="110">
        <f>IFERROR(_xll.qlRateHelperEarliestDate(M45,Trigger),"--")</f>
        <v>42450</v>
      </c>
      <c r="T45" s="110">
        <f>IFERROR(_xll.qlRateHelperPillarDate(M45,Trigger),"--")</f>
        <v>47928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5" t="str">
        <f>IFERROR(_xll.qlRateHelperRate(W45,Trigger),"")</f>
        <v/>
      </c>
      <c r="Z45" s="115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3" t="e">
        <v>#N/A</v>
      </c>
    </row>
    <row r="46" spans="1:29" ht="11.25" customHeight="1" x14ac:dyDescent="0.2">
      <c r="A46" s="63" t="s">
        <v>160</v>
      </c>
      <c r="B46" s="64" t="s">
        <v>90</v>
      </c>
      <c r="C46" s="65" t="s">
        <v>6</v>
      </c>
      <c r="D46" s="65" t="s">
        <v>8</v>
      </c>
      <c r="E46" s="65" t="s">
        <v>7</v>
      </c>
      <c r="F46" s="65" t="s">
        <v>28</v>
      </c>
      <c r="G46" s="65" t="str">
        <f t="shared" si="18"/>
        <v>UsdLibor6M</v>
      </c>
      <c r="H46" s="63" t="str">
        <f t="shared" si="19"/>
        <v>USDAM3L12Y_S6L3L_Quote</v>
      </c>
      <c r="I46" s="140">
        <v>0</v>
      </c>
      <c r="J46" s="69" t="str">
        <f>_xll.qlSwapRateHelper2(,H46,,B46,JoinCalendar,USD6M!D46,USD6M!E46,USD6M!F46,USD6M!G46,USD6M!I46,USD6M!C46,Discounting,PillarDate,,Permanent,Trigger,ObjectOverwrite)</f>
        <v>obj_002bb#0311</v>
      </c>
      <c r="L46" s="11" t="str">
        <f t="shared" si="16"/>
        <v>BasSw</v>
      </c>
      <c r="M46" s="105" t="str">
        <f t="shared" si="17"/>
        <v>--</v>
      </c>
      <c r="N46" s="159" t="str">
        <f>IFERROR(_xll.qlRateHelperQuoteName(M46,Trigger),"--")</f>
        <v>--</v>
      </c>
      <c r="O46" s="109" t="str">
        <f>IFERROR(_xll.qlRateHelperQuoteValue($M46,Trigger),"--")</f>
        <v>--</v>
      </c>
      <c r="P46" s="108" t="b">
        <v>0</v>
      </c>
      <c r="Q46" s="105">
        <v>40</v>
      </c>
      <c r="R46" s="105">
        <v>1</v>
      </c>
      <c r="S46" s="110" t="str">
        <f>IFERROR(_xll.qlRateHelperEarliestDate(M46,Trigger),"--")</f>
        <v>--</v>
      </c>
      <c r="T46" s="110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5" t="str">
        <f>IFERROR(_xll.qlRateHelperRate(W46,Trigger),"")</f>
        <v/>
      </c>
      <c r="Z46" s="115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3" t="e">
        <v>#N/A</v>
      </c>
    </row>
    <row r="47" spans="1:29" ht="11.25" customHeight="1" x14ac:dyDescent="0.2">
      <c r="A47" s="63" t="s">
        <v>160</v>
      </c>
      <c r="B47" s="64" t="s">
        <v>134</v>
      </c>
      <c r="C47" s="65" t="s">
        <v>6</v>
      </c>
      <c r="D47" s="65" t="s">
        <v>8</v>
      </c>
      <c r="E47" s="65" t="s">
        <v>7</v>
      </c>
      <c r="F47" s="65" t="s">
        <v>28</v>
      </c>
      <c r="G47" s="65" t="str">
        <f t="shared" si="18"/>
        <v>UsdLibor6M</v>
      </c>
      <c r="H47" s="63" t="str">
        <f t="shared" si="19"/>
        <v>USDAM3L13Y_S6L3L_Quote</v>
      </c>
      <c r="I47" s="140">
        <v>0</v>
      </c>
      <c r="J47" s="69"/>
      <c r="L47" s="11" t="str">
        <f t="shared" si="16"/>
        <v>BasSw</v>
      </c>
      <c r="M47" s="105" t="str">
        <f t="shared" si="17"/>
        <v>--</v>
      </c>
      <c r="N47" s="159" t="str">
        <f>IFERROR(_xll.qlRateHelperQuoteName(M47,Trigger),"--")</f>
        <v>--</v>
      </c>
      <c r="O47" s="109" t="str">
        <f>IFERROR(_xll.qlRateHelperQuoteValue($M47,Trigger),"--")</f>
        <v>--</v>
      </c>
      <c r="P47" s="108" t="b">
        <v>0</v>
      </c>
      <c r="Q47" s="105">
        <v>40</v>
      </c>
      <c r="R47" s="105">
        <v>1</v>
      </c>
      <c r="S47" s="110" t="str">
        <f>IFERROR(_xll.qlRateHelperEarliestDate(M47,Trigger),"--")</f>
        <v>--</v>
      </c>
      <c r="T47" s="110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5" t="str">
        <f>IFERROR(_xll.qlRateHelperRate(W47,Trigger),"")</f>
        <v/>
      </c>
      <c r="Z47" s="115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3" t="e">
        <v>#N/A</v>
      </c>
    </row>
    <row r="48" spans="1:29" ht="11.25" customHeight="1" x14ac:dyDescent="0.2">
      <c r="A48" s="63" t="s">
        <v>160</v>
      </c>
      <c r="B48" s="64" t="s">
        <v>135</v>
      </c>
      <c r="C48" s="65" t="s">
        <v>6</v>
      </c>
      <c r="D48" s="65" t="s">
        <v>8</v>
      </c>
      <c r="E48" s="65" t="s">
        <v>7</v>
      </c>
      <c r="F48" s="65" t="s">
        <v>28</v>
      </c>
      <c r="G48" s="65" t="str">
        <f t="shared" si="18"/>
        <v>UsdLibor6M</v>
      </c>
      <c r="H48" s="63" t="str">
        <f t="shared" si="19"/>
        <v>USDAM3L14Y_S6L3L_Quote</v>
      </c>
      <c r="I48" s="140">
        <v>0</v>
      </c>
      <c r="J48" s="69"/>
      <c r="L48" s="11" t="str">
        <f t="shared" si="16"/>
        <v>BasSw</v>
      </c>
      <c r="M48" s="105" t="str">
        <f t="shared" si="17"/>
        <v>--</v>
      </c>
      <c r="N48" s="159" t="str">
        <f>IFERROR(_xll.qlRateHelperQuoteName(M48,Trigger),"--")</f>
        <v>--</v>
      </c>
      <c r="O48" s="109" t="str">
        <f>IFERROR(_xll.qlRateHelperQuoteValue($M48,Trigger),"--")</f>
        <v>--</v>
      </c>
      <c r="P48" s="108" t="b">
        <v>0</v>
      </c>
      <c r="Q48" s="105">
        <v>40</v>
      </c>
      <c r="R48" s="105">
        <v>1</v>
      </c>
      <c r="S48" s="110" t="str">
        <f>IFERROR(_xll.qlRateHelperEarliestDate(M48,Trigger),"--")</f>
        <v>--</v>
      </c>
      <c r="T48" s="110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5" t="str">
        <f>IFERROR(_xll.qlRateHelperRate(W48,Trigger),"")</f>
        <v/>
      </c>
      <c r="Z48" s="115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3" t="e">
        <v>#N/A</v>
      </c>
    </row>
    <row r="49" spans="1:29" ht="11.25" customHeight="1" x14ac:dyDescent="0.2">
      <c r="A49" s="63" t="s">
        <v>160</v>
      </c>
      <c r="B49" s="64" t="s">
        <v>91</v>
      </c>
      <c r="C49" s="65" t="s">
        <v>6</v>
      </c>
      <c r="D49" s="65" t="s">
        <v>8</v>
      </c>
      <c r="E49" s="65" t="s">
        <v>7</v>
      </c>
      <c r="F49" s="65" t="s">
        <v>28</v>
      </c>
      <c r="G49" s="65" t="str">
        <f t="shared" si="18"/>
        <v>UsdLibor6M</v>
      </c>
      <c r="H49" s="63" t="str">
        <f t="shared" si="19"/>
        <v>USDAM3L15Y_S6L3L_Quote</v>
      </c>
      <c r="I49" s="140">
        <v>0</v>
      </c>
      <c r="J49" s="69" t="str">
        <f>_xll.qlSwapRateHelper2(,H49,,B49,JoinCalendar,USD6M!D49,USD6M!E49,USD6M!F49,USD6M!G49,USD6M!I49,USD6M!C49,Discounting,PillarDate,,Permanent,Trigger,ObjectOverwrite)</f>
        <v>obj_002e7#0311</v>
      </c>
      <c r="L49" s="11" t="str">
        <f t="shared" si="16"/>
        <v>BasSw</v>
      </c>
      <c r="M49" s="105" t="str">
        <f t="shared" si="17"/>
        <v>--</v>
      </c>
      <c r="N49" s="159" t="str">
        <f>IFERROR(_xll.qlRateHelperQuoteName(M49,Trigger),"--")</f>
        <v>--</v>
      </c>
      <c r="O49" s="109" t="str">
        <f>IFERROR(_xll.qlRateHelperQuoteValue($M49,Trigger),"--")</f>
        <v>--</v>
      </c>
      <c r="P49" s="108" t="b">
        <v>0</v>
      </c>
      <c r="Q49" s="105">
        <v>40</v>
      </c>
      <c r="R49" s="105">
        <v>1</v>
      </c>
      <c r="S49" s="110" t="str">
        <f>IFERROR(_xll.qlRateHelperEarliestDate(M49,Trigger),"--")</f>
        <v>--</v>
      </c>
      <c r="T49" s="110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5" t="str">
        <f>IFERROR(_xll.qlRateHelperRate(W49,Trigger),"")</f>
        <v/>
      </c>
      <c r="Z49" s="115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3" t="e">
        <v>#N/A</v>
      </c>
    </row>
    <row r="50" spans="1:29" ht="11.25" customHeight="1" x14ac:dyDescent="0.2">
      <c r="A50" s="63" t="s">
        <v>160</v>
      </c>
      <c r="B50" s="64" t="s">
        <v>136</v>
      </c>
      <c r="C50" s="65" t="s">
        <v>6</v>
      </c>
      <c r="D50" s="65" t="s">
        <v>8</v>
      </c>
      <c r="E50" s="65" t="s">
        <v>7</v>
      </c>
      <c r="F50" s="65" t="s">
        <v>28</v>
      </c>
      <c r="G50" s="65" t="str">
        <f t="shared" si="18"/>
        <v>UsdLibor6M</v>
      </c>
      <c r="H50" s="63" t="str">
        <f t="shared" si="19"/>
        <v>USDAM3L16Y_S6L3L_Quote</v>
      </c>
      <c r="I50" s="140">
        <v>0</v>
      </c>
      <c r="J50" s="69"/>
      <c r="L50" s="11" t="str">
        <f t="shared" si="16"/>
        <v>BasSw</v>
      </c>
      <c r="M50" s="105" t="str">
        <f t="shared" si="17"/>
        <v>obj_002f4#0311</v>
      </c>
      <c r="N50" s="159" t="str">
        <f>IFERROR(_xll.qlRateHelperQuoteName(M50,Trigger),"--")</f>
        <v>USDAM3L20Y_S6L3L_Quote</v>
      </c>
      <c r="O50" s="109">
        <f>IFERROR(_xll.qlRateHelperQuoteValue($M50,Trigger),"--")</f>
        <v>2.2059778937742934E-2</v>
      </c>
      <c r="P50" s="108" t="b">
        <v>1</v>
      </c>
      <c r="Q50" s="105">
        <v>40</v>
      </c>
      <c r="R50" s="105">
        <v>1</v>
      </c>
      <c r="S50" s="110">
        <f>IFERROR(_xll.qlRateHelperEarliestDate(M50,Trigger),"--")</f>
        <v>42450</v>
      </c>
      <c r="T50" s="110">
        <f>IFERROR(_xll.qlRateHelperPillarDate(M50,Trigger),"--")</f>
        <v>49755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5" t="str">
        <f>IFERROR(_xll.qlRateHelperRate(W50,Trigger),"")</f>
        <v/>
      </c>
      <c r="Z50" s="115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3" t="e">
        <v>#N/A</v>
      </c>
    </row>
    <row r="51" spans="1:29" ht="11.25" customHeight="1" x14ac:dyDescent="0.2">
      <c r="A51" s="63" t="s">
        <v>160</v>
      </c>
      <c r="B51" s="64" t="s">
        <v>137</v>
      </c>
      <c r="C51" s="65" t="s">
        <v>6</v>
      </c>
      <c r="D51" s="65" t="s">
        <v>8</v>
      </c>
      <c r="E51" s="65" t="s">
        <v>7</v>
      </c>
      <c r="F51" s="65" t="s">
        <v>28</v>
      </c>
      <c r="G51" s="65" t="str">
        <f t="shared" si="18"/>
        <v>UsdLibor6M</v>
      </c>
      <c r="H51" s="63" t="str">
        <f t="shared" si="19"/>
        <v>USDAM3L17Y_S6L3L_Quote</v>
      </c>
      <c r="I51" s="140">
        <v>0</v>
      </c>
      <c r="J51" s="69"/>
      <c r="L51" s="11" t="str">
        <f t="shared" si="16"/>
        <v>BasSw</v>
      </c>
      <c r="M51" s="105" t="str">
        <f t="shared" si="17"/>
        <v>--</v>
      </c>
      <c r="N51" s="159" t="str">
        <f>IFERROR(_xll.qlRateHelperQuoteName(M51,Trigger),"--")</f>
        <v>--</v>
      </c>
      <c r="O51" s="109" t="str">
        <f>IFERROR(_xll.qlRateHelperQuoteValue($M51,Trigger),"--")</f>
        <v>--</v>
      </c>
      <c r="P51" s="108" t="b">
        <v>0</v>
      </c>
      <c r="Q51" s="105">
        <v>40</v>
      </c>
      <c r="R51" s="105">
        <v>1</v>
      </c>
      <c r="S51" s="110" t="str">
        <f>IFERROR(_xll.qlRateHelperEarliestDate(M51,Trigger),"--")</f>
        <v>--</v>
      </c>
      <c r="T51" s="110" t="str">
        <f>IFERROR(_xll.qlRateHelperPillarDate(M51,Trigger),"--")</f>
        <v>--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5" t="str">
        <f>IFERROR(_xll.qlRateHelperRate(W51,Trigger),"")</f>
        <v/>
      </c>
      <c r="Z51" s="115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3" t="e">
        <v>#N/A</v>
      </c>
    </row>
    <row r="52" spans="1:29" ht="11.25" customHeight="1" x14ac:dyDescent="0.2">
      <c r="A52" s="63" t="s">
        <v>160</v>
      </c>
      <c r="B52" s="64" t="s">
        <v>138</v>
      </c>
      <c r="C52" s="65" t="s">
        <v>6</v>
      </c>
      <c r="D52" s="65" t="s">
        <v>8</v>
      </c>
      <c r="E52" s="65" t="s">
        <v>7</v>
      </c>
      <c r="F52" s="65" t="s">
        <v>28</v>
      </c>
      <c r="G52" s="65" t="str">
        <f t="shared" si="18"/>
        <v>UsdLibor6M</v>
      </c>
      <c r="H52" s="63" t="str">
        <f t="shared" si="19"/>
        <v>USDAM3L18Y_S6L3L_Quote</v>
      </c>
      <c r="I52" s="140">
        <v>0</v>
      </c>
      <c r="J52" s="69"/>
      <c r="L52" s="11" t="str">
        <f t="shared" si="16"/>
        <v>BasSw</v>
      </c>
      <c r="M52" s="105" t="str">
        <f t="shared" si="17"/>
        <v>--</v>
      </c>
      <c r="N52" s="159" t="str">
        <f>IFERROR(_xll.qlRateHelperQuoteName(M52,Trigger),"--")</f>
        <v>--</v>
      </c>
      <c r="O52" s="109" t="str">
        <f>IFERROR(_xll.qlRateHelperQuoteValue($M52,Trigger),"--")</f>
        <v>--</v>
      </c>
      <c r="P52" s="108" t="b">
        <v>0</v>
      </c>
      <c r="Q52" s="105">
        <v>40</v>
      </c>
      <c r="R52" s="105">
        <v>1</v>
      </c>
      <c r="S52" s="110" t="str">
        <f>IFERROR(_xll.qlRateHelperEarliestDate(M52,Trigger),"--")</f>
        <v>--</v>
      </c>
      <c r="T52" s="110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5" t="str">
        <f>IFERROR(_xll.qlRateHelperRate(W52,Trigger),"")</f>
        <v/>
      </c>
      <c r="Z52" s="115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3" t="e">
        <v>#N/A</v>
      </c>
    </row>
    <row r="53" spans="1:29" ht="11.25" customHeight="1" x14ac:dyDescent="0.2">
      <c r="A53" s="63" t="s">
        <v>160</v>
      </c>
      <c r="B53" s="64" t="s">
        <v>139</v>
      </c>
      <c r="C53" s="65" t="s">
        <v>6</v>
      </c>
      <c r="D53" s="65" t="s">
        <v>8</v>
      </c>
      <c r="E53" s="65" t="s">
        <v>7</v>
      </c>
      <c r="F53" s="65" t="s">
        <v>28</v>
      </c>
      <c r="G53" s="65" t="str">
        <f t="shared" si="18"/>
        <v>UsdLibor6M</v>
      </c>
      <c r="H53" s="63" t="str">
        <f t="shared" si="19"/>
        <v>USDAM3L19Y_S6L3L_Quote</v>
      </c>
      <c r="I53" s="140">
        <v>0</v>
      </c>
      <c r="J53" s="69"/>
      <c r="L53" s="11" t="str">
        <f t="shared" si="16"/>
        <v>BasSw</v>
      </c>
      <c r="M53" s="105" t="str">
        <f t="shared" si="17"/>
        <v>--</v>
      </c>
      <c r="N53" s="159" t="str">
        <f>IFERROR(_xll.qlRateHelperQuoteName(M53,Trigger),"--")</f>
        <v>--</v>
      </c>
      <c r="O53" s="109" t="str">
        <f>IFERROR(_xll.qlRateHelperQuoteValue($M53,Trigger),"--")</f>
        <v>--</v>
      </c>
      <c r="P53" s="108" t="b">
        <v>0</v>
      </c>
      <c r="Q53" s="105">
        <v>40</v>
      </c>
      <c r="R53" s="105">
        <v>1</v>
      </c>
      <c r="S53" s="110" t="str">
        <f>IFERROR(_xll.qlRateHelperEarliestDate(M53,Trigger),"--")</f>
        <v>--</v>
      </c>
      <c r="T53" s="110" t="str">
        <f>IFERROR(_xll.qlRateHelperPillarDate(M53,Trigger),"--")</f>
        <v>--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5" t="str">
        <f>IFERROR(_xll.qlRateHelperRate(W53,Trigger),"")</f>
        <v/>
      </c>
      <c r="Z53" s="115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3" t="e">
        <v>#N/A</v>
      </c>
    </row>
    <row r="54" spans="1:29" ht="11.25" customHeight="1" x14ac:dyDescent="0.2">
      <c r="A54" s="63" t="s">
        <v>160</v>
      </c>
      <c r="B54" s="64" t="s">
        <v>92</v>
      </c>
      <c r="C54" s="65" t="s">
        <v>6</v>
      </c>
      <c r="D54" s="65" t="s">
        <v>8</v>
      </c>
      <c r="E54" s="65" t="s">
        <v>7</v>
      </c>
      <c r="F54" s="65" t="s">
        <v>28</v>
      </c>
      <c r="G54" s="65" t="str">
        <f t="shared" si="18"/>
        <v>UsdLibor6M</v>
      </c>
      <c r="H54" s="63" t="str">
        <f t="shared" si="19"/>
        <v>USDAM3L20Y_S6L3L_Quote</v>
      </c>
      <c r="I54" s="140">
        <v>0</v>
      </c>
      <c r="J54" s="69" t="str">
        <f>_xll.qlSwapRateHelper2(,H54,,B54,JoinCalendar,USD6M!D54,USD6M!E54,USD6M!F54,USD6M!G54,USD6M!I54,USD6M!C54,Discounting,PillarDate,,Permanent,Trigger,ObjectOverwrite)</f>
        <v>obj_002f4#0311</v>
      </c>
      <c r="L54" s="11" t="str">
        <f t="shared" si="16"/>
        <v>BasSw</v>
      </c>
      <c r="M54" s="105" t="str">
        <f t="shared" si="17"/>
        <v>--</v>
      </c>
      <c r="N54" s="159" t="str">
        <f>IFERROR(_xll.qlRateHelperQuoteName(M54,Trigger),"--")</f>
        <v>--</v>
      </c>
      <c r="O54" s="109" t="str">
        <f>IFERROR(_xll.qlRateHelperQuoteValue($M54,Trigger),"--")</f>
        <v>--</v>
      </c>
      <c r="P54" s="108" t="b">
        <v>0</v>
      </c>
      <c r="Q54" s="105">
        <v>40</v>
      </c>
      <c r="R54" s="105">
        <v>1</v>
      </c>
      <c r="S54" s="110" t="str">
        <f>IFERROR(_xll.qlRateHelperEarliestDate(M54,Trigger),"--")</f>
        <v>--</v>
      </c>
      <c r="T54" s="110" t="str">
        <f>IFERROR(_xll.qlRateHelperPillarDate(M54,Trigger),"--")</f>
        <v>--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5" t="str">
        <f>IFERROR(_xll.qlRateHelperRate(W54,Trigger),"")</f>
        <v/>
      </c>
      <c r="Z54" s="115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3" t="e">
        <v>#N/A</v>
      </c>
    </row>
    <row r="55" spans="1:29" ht="11.25" customHeight="1" x14ac:dyDescent="0.2">
      <c r="A55" s="63" t="s">
        <v>160</v>
      </c>
      <c r="B55" s="64" t="s">
        <v>140</v>
      </c>
      <c r="C55" s="65" t="s">
        <v>6</v>
      </c>
      <c r="D55" s="65" t="s">
        <v>8</v>
      </c>
      <c r="E55" s="65" t="s">
        <v>7</v>
      </c>
      <c r="F55" s="65" t="s">
        <v>28</v>
      </c>
      <c r="G55" s="65" t="str">
        <f t="shared" si="18"/>
        <v>UsdLibor6M</v>
      </c>
      <c r="H55" s="63" t="str">
        <f t="shared" si="19"/>
        <v>USDAM3L21Y_S6L3L_Quote</v>
      </c>
      <c r="I55" s="140">
        <v>0</v>
      </c>
      <c r="J55" s="69"/>
      <c r="L55" s="11" t="str">
        <f t="shared" si="16"/>
        <v>BasSw</v>
      </c>
      <c r="M55" s="105" t="str">
        <f t="shared" si="17"/>
        <v>obj_00280#0312</v>
      </c>
      <c r="N55" s="159" t="str">
        <f>IFERROR(_xll.qlRateHelperQuoteName(M55,Trigger),"--")</f>
        <v>USDAM3L25Y_S6L3L_Quote</v>
      </c>
      <c r="O55" s="109">
        <f>IFERROR(_xll.qlRateHelperQuoteValue($M55,Trigger),"--")</f>
        <v>2.2640075302924851E-2</v>
      </c>
      <c r="P55" s="108" t="b">
        <v>1</v>
      </c>
      <c r="Q55" s="105">
        <v>40</v>
      </c>
      <c r="R55" s="105">
        <v>1</v>
      </c>
      <c r="S55" s="110">
        <f>IFERROR(_xll.qlRateHelperEarliestDate(M55,Trigger),"--")</f>
        <v>42450</v>
      </c>
      <c r="T55" s="110">
        <f>IFERROR(_xll.qlRateHelperPillarDate(M55,Trigger),"--")</f>
        <v>51581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5" t="str">
        <f>IFERROR(_xll.qlRateHelperRate(W55,Trigger),"")</f>
        <v/>
      </c>
      <c r="Z55" s="115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3" t="e">
        <v>#N/A</v>
      </c>
    </row>
    <row r="56" spans="1:29" ht="11.25" customHeight="1" x14ac:dyDescent="0.2">
      <c r="A56" s="63" t="s">
        <v>160</v>
      </c>
      <c r="B56" s="64" t="s">
        <v>141</v>
      </c>
      <c r="C56" s="65" t="s">
        <v>6</v>
      </c>
      <c r="D56" s="65" t="s">
        <v>8</v>
      </c>
      <c r="E56" s="65" t="s">
        <v>7</v>
      </c>
      <c r="F56" s="65" t="s">
        <v>28</v>
      </c>
      <c r="G56" s="65" t="str">
        <f t="shared" si="18"/>
        <v>UsdLibor6M</v>
      </c>
      <c r="H56" s="63" t="str">
        <f t="shared" si="19"/>
        <v>USDAM3L22Y_S6L3L_Quote</v>
      </c>
      <c r="I56" s="140">
        <v>0</v>
      </c>
      <c r="J56" s="69"/>
      <c r="L56" s="11" t="str">
        <f t="shared" si="16"/>
        <v>BasSw</v>
      </c>
      <c r="M56" s="105" t="str">
        <f t="shared" si="17"/>
        <v>--</v>
      </c>
      <c r="N56" s="159" t="str">
        <f>IFERROR(_xll.qlRateHelperQuoteName(M56,Trigger),"--")</f>
        <v>--</v>
      </c>
      <c r="O56" s="109" t="str">
        <f>IFERROR(_xll.qlRateHelperQuoteValue($M56,Trigger),"--")</f>
        <v>--</v>
      </c>
      <c r="P56" s="108" t="b">
        <v>0</v>
      </c>
      <c r="Q56" s="105">
        <v>40</v>
      </c>
      <c r="R56" s="105">
        <v>1</v>
      </c>
      <c r="S56" s="110" t="str">
        <f>IFERROR(_xll.qlRateHelperEarliestDate(M56,Trigger),"--")</f>
        <v>--</v>
      </c>
      <c r="T56" s="110" t="str">
        <f>IFERROR(_xll.qlRateHelperPillarDate(M56,Trigger),"--")</f>
        <v>--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5" t="str">
        <f>IFERROR(_xll.qlRateHelperRate(W56,Trigger),"")</f>
        <v/>
      </c>
      <c r="Z56" s="115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3" t="e">
        <v>#N/A</v>
      </c>
    </row>
    <row r="57" spans="1:29" ht="11.25" customHeight="1" x14ac:dyDescent="0.2">
      <c r="A57" s="63" t="s">
        <v>160</v>
      </c>
      <c r="B57" s="64" t="s">
        <v>142</v>
      </c>
      <c r="C57" s="65" t="s">
        <v>6</v>
      </c>
      <c r="D57" s="65" t="s">
        <v>8</v>
      </c>
      <c r="E57" s="65" t="s">
        <v>7</v>
      </c>
      <c r="F57" s="65" t="s">
        <v>28</v>
      </c>
      <c r="G57" s="65" t="str">
        <f t="shared" si="18"/>
        <v>UsdLibor6M</v>
      </c>
      <c r="H57" s="63" t="str">
        <f t="shared" si="19"/>
        <v>USDAM3L23Y_S6L3L_Quote</v>
      </c>
      <c r="I57" s="140">
        <v>0</v>
      </c>
      <c r="J57" s="69"/>
      <c r="L57" s="11" t="str">
        <f t="shared" si="16"/>
        <v>BasSw</v>
      </c>
      <c r="M57" s="105" t="str">
        <f t="shared" si="17"/>
        <v>--</v>
      </c>
      <c r="N57" s="159" t="str">
        <f>IFERROR(_xll.qlRateHelperQuoteName(M57,Trigger),"--")</f>
        <v>--</v>
      </c>
      <c r="O57" s="109" t="str">
        <f>IFERROR(_xll.qlRateHelperQuoteValue($M57,Trigger),"--")</f>
        <v>--</v>
      </c>
      <c r="P57" s="108" t="b">
        <v>0</v>
      </c>
      <c r="Q57" s="105">
        <v>40</v>
      </c>
      <c r="R57" s="105">
        <v>1</v>
      </c>
      <c r="S57" s="110" t="str">
        <f>IFERROR(_xll.qlRateHelperEarliestDate(M57,Trigger),"--")</f>
        <v>--</v>
      </c>
      <c r="T57" s="110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5" t="str">
        <f>IFERROR(_xll.qlRateHelperRate(W57,Trigger),"")</f>
        <v/>
      </c>
      <c r="Z57" s="115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3" t="e">
        <v>#N/A</v>
      </c>
    </row>
    <row r="58" spans="1:29" ht="11.25" customHeight="1" x14ac:dyDescent="0.2">
      <c r="A58" s="63" t="s">
        <v>160</v>
      </c>
      <c r="B58" s="64" t="s">
        <v>143</v>
      </c>
      <c r="C58" s="65" t="s">
        <v>6</v>
      </c>
      <c r="D58" s="65" t="s">
        <v>8</v>
      </c>
      <c r="E58" s="65" t="s">
        <v>7</v>
      </c>
      <c r="F58" s="65" t="s">
        <v>28</v>
      </c>
      <c r="G58" s="65" t="str">
        <f t="shared" si="18"/>
        <v>UsdLibor6M</v>
      </c>
      <c r="H58" s="63" t="str">
        <f t="shared" si="19"/>
        <v>USDAM3L24Y_S6L3L_Quote</v>
      </c>
      <c r="I58" s="140">
        <v>0</v>
      </c>
      <c r="J58" s="69"/>
      <c r="L58" s="11" t="str">
        <f t="shared" si="16"/>
        <v>BasSw</v>
      </c>
      <c r="M58" s="105" t="str">
        <f t="shared" si="17"/>
        <v>--</v>
      </c>
      <c r="N58" s="159" t="str">
        <f>IFERROR(_xll.qlRateHelperQuoteName(M58,Trigger),"--")</f>
        <v>--</v>
      </c>
      <c r="O58" s="109" t="str">
        <f>IFERROR(_xll.qlRateHelperQuoteValue($M58,Trigger),"--")</f>
        <v>--</v>
      </c>
      <c r="P58" s="108" t="b">
        <v>0</v>
      </c>
      <c r="Q58" s="105">
        <v>40</v>
      </c>
      <c r="R58" s="105">
        <v>1</v>
      </c>
      <c r="S58" s="110" t="str">
        <f>IFERROR(_xll.qlRateHelperEarliestDate(M58,Trigger),"--")</f>
        <v>--</v>
      </c>
      <c r="T58" s="110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5" t="str">
        <f>IFERROR(_xll.qlRateHelperRate(W58,Trigger),"")</f>
        <v/>
      </c>
      <c r="Z58" s="115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3" t="e">
        <v>#N/A</v>
      </c>
    </row>
    <row r="59" spans="1:29" ht="11.25" customHeight="1" x14ac:dyDescent="0.2">
      <c r="A59" s="63" t="s">
        <v>160</v>
      </c>
      <c r="B59" s="64" t="s">
        <v>93</v>
      </c>
      <c r="C59" s="65" t="s">
        <v>6</v>
      </c>
      <c r="D59" s="65" t="s">
        <v>8</v>
      </c>
      <c r="E59" s="65" t="s">
        <v>7</v>
      </c>
      <c r="F59" s="65" t="s">
        <v>28</v>
      </c>
      <c r="G59" s="65" t="str">
        <f t="shared" si="18"/>
        <v>UsdLibor6M</v>
      </c>
      <c r="H59" s="63" t="str">
        <f t="shared" si="19"/>
        <v>USDAM3L25Y_S6L3L_Quote</v>
      </c>
      <c r="I59" s="140">
        <v>0</v>
      </c>
      <c r="J59" s="69" t="str">
        <f>_xll.qlSwapRateHelper2(,H59,,B59,JoinCalendar,USD6M!D59,USD6M!E59,USD6M!F59,USD6M!G59,USD6M!I59,USD6M!C59,Discounting,PillarDate,,Permanent,Trigger,ObjectOverwrite)</f>
        <v>obj_00280#0312</v>
      </c>
      <c r="L59" s="11" t="str">
        <f t="shared" si="16"/>
        <v>BasSw</v>
      </c>
      <c r="M59" s="105" t="str">
        <f t="shared" si="17"/>
        <v>--</v>
      </c>
      <c r="N59" s="159" t="str">
        <f>IFERROR(_xll.qlRateHelperQuoteName(M59,Trigger),"--")</f>
        <v>--</v>
      </c>
      <c r="O59" s="109" t="str">
        <f>IFERROR(_xll.qlRateHelperQuoteValue($M59,Trigger),"--")</f>
        <v>--</v>
      </c>
      <c r="P59" s="108" t="b">
        <v>0</v>
      </c>
      <c r="Q59" s="105">
        <v>40</v>
      </c>
      <c r="R59" s="105">
        <v>1</v>
      </c>
      <c r="S59" s="110" t="str">
        <f>IFERROR(_xll.qlRateHelperEarliestDate(M59,Trigger),"--")</f>
        <v>--</v>
      </c>
      <c r="T59" s="110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5" t="str">
        <f>IFERROR(_xll.qlRateHelperRate(W59,Trigger),"")</f>
        <v/>
      </c>
      <c r="Z59" s="115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3" t="e">
        <v>#N/A</v>
      </c>
    </row>
    <row r="60" spans="1:29" ht="11.25" customHeight="1" x14ac:dyDescent="0.2">
      <c r="A60" s="63" t="s">
        <v>160</v>
      </c>
      <c r="B60" s="64" t="s">
        <v>144</v>
      </c>
      <c r="C60" s="65" t="s">
        <v>6</v>
      </c>
      <c r="D60" s="65" t="s">
        <v>8</v>
      </c>
      <c r="E60" s="65" t="s">
        <v>7</v>
      </c>
      <c r="F60" s="65" t="s">
        <v>28</v>
      </c>
      <c r="G60" s="65" t="str">
        <f t="shared" si="18"/>
        <v>UsdLibor6M</v>
      </c>
      <c r="H60" s="63" t="str">
        <f t="shared" si="19"/>
        <v>USDAM3L26Y_S6L3L_Quote</v>
      </c>
      <c r="I60" s="140">
        <v>0</v>
      </c>
      <c r="J60" s="69"/>
      <c r="L60" s="11" t="str">
        <f t="shared" si="16"/>
        <v>BasSw</v>
      </c>
      <c r="M60" s="105" t="str">
        <f t="shared" si="17"/>
        <v>obj_002dc#0311</v>
      </c>
      <c r="N60" s="159" t="str">
        <f>IFERROR(_xll.qlRateHelperQuoteName(M60,Trigger),"--")</f>
        <v>USDAM3L30Y_S6L3L_Quote</v>
      </c>
      <c r="O60" s="109">
        <f>IFERROR(_xll.qlRateHelperQuoteValue($M60,Trigger),"--")</f>
        <v>2.2980190787643323E-2</v>
      </c>
      <c r="P60" s="108" t="b">
        <v>1</v>
      </c>
      <c r="Q60" s="105">
        <v>40</v>
      </c>
      <c r="R60" s="105">
        <v>1</v>
      </c>
      <c r="S60" s="110">
        <f>IFERROR(_xll.qlRateHelperEarliestDate(M60,Trigger),"--")</f>
        <v>42450</v>
      </c>
      <c r="T60" s="110">
        <f>IFERROR(_xll.qlRateHelperPillarDate(M60,Trigger),"--")</f>
        <v>53407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5" t="str">
        <f>IFERROR(_xll.qlRateHelperRate(W60,Trigger),"")</f>
        <v/>
      </c>
      <c r="Z60" s="115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3" t="e">
        <v>#N/A</v>
      </c>
    </row>
    <row r="61" spans="1:29" ht="11.25" customHeight="1" x14ac:dyDescent="0.2">
      <c r="A61" s="63" t="s">
        <v>160</v>
      </c>
      <c r="B61" s="64" t="s">
        <v>94</v>
      </c>
      <c r="C61" s="65" t="s">
        <v>6</v>
      </c>
      <c r="D61" s="65" t="s">
        <v>8</v>
      </c>
      <c r="E61" s="65" t="s">
        <v>7</v>
      </c>
      <c r="F61" s="65" t="s">
        <v>28</v>
      </c>
      <c r="G61" s="65" t="str">
        <f t="shared" si="18"/>
        <v>UsdLibor6M</v>
      </c>
      <c r="H61" s="63" t="str">
        <f t="shared" si="19"/>
        <v>USDAM3L27Y_S6L3L_Quote</v>
      </c>
      <c r="I61" s="140">
        <v>0</v>
      </c>
      <c r="J61" s="69"/>
      <c r="L61" s="11" t="str">
        <f t="shared" si="16"/>
        <v>BasSw</v>
      </c>
      <c r="M61" s="105" t="str">
        <f t="shared" si="17"/>
        <v>obj_002af#0311</v>
      </c>
      <c r="N61" s="159" t="str">
        <f>IFERROR(_xll.qlRateHelperQuoteName(M61,Trigger),"--")</f>
        <v>USDAM3L35Y_S6L3L_Quote</v>
      </c>
      <c r="O61" s="109">
        <f>IFERROR(_xll.qlRateHelperQuoteValue($M61,Trigger),"--")</f>
        <v>2.3155562090042079E-2</v>
      </c>
      <c r="P61" s="108" t="b">
        <v>1</v>
      </c>
      <c r="Q61" s="105">
        <v>40</v>
      </c>
      <c r="R61" s="105">
        <v>1</v>
      </c>
      <c r="S61" s="110">
        <f>IFERROR(_xll.qlRateHelperEarliestDate(M61,Trigger),"--")</f>
        <v>42450</v>
      </c>
      <c r="T61" s="110">
        <f>IFERROR(_xll.qlRateHelperPillarDate(M61,Trigger),"--")</f>
        <v>55233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5" t="str">
        <f>IFERROR(_xll.qlRateHelperRate(W61,Trigger),"")</f>
        <v/>
      </c>
      <c r="Z61" s="115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3" t="e">
        <v>#N/A</v>
      </c>
    </row>
    <row r="62" spans="1:29" ht="11.25" customHeight="1" x14ac:dyDescent="0.2">
      <c r="A62" s="63" t="s">
        <v>160</v>
      </c>
      <c r="B62" s="64" t="s">
        <v>145</v>
      </c>
      <c r="C62" s="65" t="s">
        <v>6</v>
      </c>
      <c r="D62" s="65" t="s">
        <v>8</v>
      </c>
      <c r="E62" s="65" t="s">
        <v>7</v>
      </c>
      <c r="F62" s="65" t="s">
        <v>28</v>
      </c>
      <c r="G62" s="65" t="str">
        <f t="shared" si="18"/>
        <v>UsdLibor6M</v>
      </c>
      <c r="H62" s="63" t="str">
        <f t="shared" si="19"/>
        <v>USDAM3L28Y_S6L3L_Quote</v>
      </c>
      <c r="I62" s="140">
        <v>0</v>
      </c>
      <c r="J62" s="69"/>
      <c r="L62" s="11" t="str">
        <f t="shared" si="16"/>
        <v>BasSw</v>
      </c>
      <c r="M62" s="105" t="str">
        <f t="shared" si="17"/>
        <v>obj_00287#0312</v>
      </c>
      <c r="N62" s="159" t="str">
        <f>IFERROR(_xll.qlRateHelperQuoteName(M62,Trigger),"--")</f>
        <v>USDAM3L40Y_S6L3L_Quote</v>
      </c>
      <c r="O62" s="109">
        <f>IFERROR(_xll.qlRateHelperQuoteValue($M62,Trigger),"--")</f>
        <v>2.3190272324458375E-2</v>
      </c>
      <c r="P62" s="108" t="b">
        <v>1</v>
      </c>
      <c r="Q62" s="105">
        <v>40</v>
      </c>
      <c r="R62" s="105">
        <v>1</v>
      </c>
      <c r="S62" s="110">
        <f>IFERROR(_xll.qlRateHelperEarliestDate(M62,Trigger),"--")</f>
        <v>42450</v>
      </c>
      <c r="T62" s="110">
        <f>IFERROR(_xll.qlRateHelperPillarDate(M62,Trigger),"--")</f>
        <v>57060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5" t="str">
        <f>IFERROR(_xll.qlRateHelperRate(W62,Trigger),"")</f>
        <v/>
      </c>
      <c r="Z62" s="115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3" t="e">
        <v>#N/A</v>
      </c>
    </row>
    <row r="63" spans="1:29" ht="11.25" customHeight="1" x14ac:dyDescent="0.2">
      <c r="A63" s="63" t="s">
        <v>160</v>
      </c>
      <c r="B63" s="64" t="s">
        <v>146</v>
      </c>
      <c r="C63" s="65" t="s">
        <v>6</v>
      </c>
      <c r="D63" s="65" t="s">
        <v>8</v>
      </c>
      <c r="E63" s="65" t="s">
        <v>7</v>
      </c>
      <c r="F63" s="65" t="s">
        <v>28</v>
      </c>
      <c r="G63" s="65" t="str">
        <f t="shared" si="18"/>
        <v>UsdLibor6M</v>
      </c>
      <c r="H63" s="63" t="str">
        <f t="shared" si="19"/>
        <v>USDAM3L29Y_S6L3L_Quote</v>
      </c>
      <c r="I63" s="140">
        <v>0</v>
      </c>
      <c r="J63" s="69"/>
      <c r="L63" s="11" t="str">
        <f t="shared" si="16"/>
        <v>BasSw</v>
      </c>
      <c r="M63" s="105" t="str">
        <f t="shared" si="17"/>
        <v>--</v>
      </c>
      <c r="N63" s="159" t="str">
        <f>IFERROR(_xll.qlRateHelperQuoteName(M63,Trigger),"--")</f>
        <v>--</v>
      </c>
      <c r="O63" s="109" t="str">
        <f>IFERROR(_xll.qlRateHelperQuoteValue($M63,Trigger),"--")</f>
        <v>--</v>
      </c>
      <c r="P63" s="108" t="b">
        <v>0</v>
      </c>
      <c r="Q63" s="105">
        <v>40</v>
      </c>
      <c r="R63" s="105">
        <v>1</v>
      </c>
      <c r="S63" s="110" t="str">
        <f>IFERROR(_xll.qlRateHelperEarliestDate(M63,Trigger),"--")</f>
        <v>--</v>
      </c>
      <c r="T63" s="110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5" t="str">
        <f>IFERROR(_xll.qlRateHelperRate(W63,Trigger),"")</f>
        <v/>
      </c>
      <c r="Z63" s="115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3" t="e">
        <v>#N/A</v>
      </c>
    </row>
    <row r="64" spans="1:29" ht="11.25" customHeight="1" x14ac:dyDescent="0.2">
      <c r="A64" s="63" t="s">
        <v>160</v>
      </c>
      <c r="B64" s="64" t="s">
        <v>95</v>
      </c>
      <c r="C64" s="65" t="s">
        <v>6</v>
      </c>
      <c r="D64" s="65" t="s">
        <v>8</v>
      </c>
      <c r="E64" s="65" t="s">
        <v>7</v>
      </c>
      <c r="F64" s="65" t="s">
        <v>28</v>
      </c>
      <c r="G64" s="65" t="str">
        <f t="shared" si="18"/>
        <v>UsdLibor6M</v>
      </c>
      <c r="H64" s="63" t="str">
        <f t="shared" si="19"/>
        <v>USDAM3L30Y_S6L3L_Quote</v>
      </c>
      <c r="I64" s="140">
        <v>0</v>
      </c>
      <c r="J64" s="69" t="str">
        <f>_xll.qlSwapRateHelper2(,H64,,B64,JoinCalendar,USD6M!D64,USD6M!E64,USD6M!F64,USD6M!G64,USD6M!I64,USD6M!C64,Discounting,PillarDate,,Permanent,Trigger,ObjectOverwrite)</f>
        <v>obj_002dc#0311</v>
      </c>
      <c r="L64" s="11" t="str">
        <f t="shared" si="16"/>
        <v>BasSw</v>
      </c>
      <c r="M64" s="105" t="str">
        <f t="shared" si="17"/>
        <v>obj_002b2#0311</v>
      </c>
      <c r="N64" s="159" t="str">
        <f>IFERROR(_xll.qlRateHelperQuoteName(M64,Trigger),"--")</f>
        <v>USDAM3L50Y_S6L3L_Quote</v>
      </c>
      <c r="O64" s="109">
        <f>IFERROR(_xll.qlRateHelperQuoteValue($M64,Trigger),"--")</f>
        <v>2.3030193733194846E-2</v>
      </c>
      <c r="P64" s="108" t="b">
        <v>1</v>
      </c>
      <c r="Q64" s="105">
        <v>40</v>
      </c>
      <c r="R64" s="105">
        <v>1</v>
      </c>
      <c r="S64" s="110">
        <f>IFERROR(_xll.qlRateHelperEarliestDate(M64,Trigger),"--")</f>
        <v>42450</v>
      </c>
      <c r="T64" s="110">
        <f>IFERROR(_xll.qlRateHelperPillarDate(M64,Trigger),"--")</f>
        <v>60713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5" t="str">
        <f>IFERROR(_xll.qlRateHelperRate(W64,Trigger),"")</f>
        <v/>
      </c>
      <c r="Z64" s="115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3" t="e">
        <v>#N/A</v>
      </c>
    </row>
    <row r="65" spans="1:29" ht="11.25" customHeight="1" x14ac:dyDescent="0.2">
      <c r="A65" s="63" t="s">
        <v>160</v>
      </c>
      <c r="B65" s="64" t="s">
        <v>96</v>
      </c>
      <c r="C65" s="65" t="s">
        <v>6</v>
      </c>
      <c r="D65" s="65" t="s">
        <v>8</v>
      </c>
      <c r="E65" s="65" t="s">
        <v>7</v>
      </c>
      <c r="F65" s="65" t="s">
        <v>28</v>
      </c>
      <c r="G65" s="65" t="str">
        <f t="shared" si="18"/>
        <v>UsdLibor6M</v>
      </c>
      <c r="H65" s="63" t="str">
        <f t="shared" si="19"/>
        <v>USDAM3L35Y_S6L3L_Quote</v>
      </c>
      <c r="I65" s="140">
        <v>0</v>
      </c>
      <c r="J65" s="69" t="str">
        <f>_xll.qlSwapRateHelper2(,H65,,B65,JoinCalendar,USD6M!D65,USD6M!E65,USD6M!F65,USD6M!G65,USD6M!I65,USD6M!C65,Discounting,PillarDate,,Permanent,Trigger,ObjectOverwrite)</f>
        <v>obj_002af#0311</v>
      </c>
      <c r="L65" s="11" t="str">
        <f t="shared" si="16"/>
        <v>BasSw</v>
      </c>
      <c r="M65" s="105" t="str">
        <f t="shared" si="17"/>
        <v>--</v>
      </c>
      <c r="N65" s="159" t="str">
        <f>IFERROR(_xll.qlRateHelperQuoteName(M65,Trigger),"--")</f>
        <v>--</v>
      </c>
      <c r="O65" s="109" t="str">
        <f>IFERROR(_xll.qlRateHelperQuoteValue($M65,Trigger),"--")</f>
        <v>--</v>
      </c>
      <c r="P65" s="108" t="b">
        <v>0</v>
      </c>
      <c r="Q65" s="105">
        <v>40</v>
      </c>
      <c r="R65" s="105">
        <v>1</v>
      </c>
      <c r="S65" s="110" t="str">
        <f>IFERROR(_xll.qlRateHelperEarliestDate(M65,Trigger),"--")</f>
        <v>--</v>
      </c>
      <c r="T65" s="110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5" t="str">
        <f>IFERROR(_xll.qlRateHelperRate(W65,Trigger),"")</f>
        <v/>
      </c>
      <c r="Z65" s="115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3" t="e">
        <v>#N/A</v>
      </c>
    </row>
    <row r="66" spans="1:29" ht="11.25" customHeight="1" x14ac:dyDescent="0.2">
      <c r="A66" s="63" t="s">
        <v>160</v>
      </c>
      <c r="B66" s="64" t="s">
        <v>97</v>
      </c>
      <c r="C66" s="65" t="s">
        <v>6</v>
      </c>
      <c r="D66" s="65" t="s">
        <v>8</v>
      </c>
      <c r="E66" s="65" t="s">
        <v>7</v>
      </c>
      <c r="F66" s="65" t="s">
        <v>28</v>
      </c>
      <c r="G66" s="65" t="str">
        <f t="shared" si="18"/>
        <v>UsdLibor6M</v>
      </c>
      <c r="H66" s="63" t="str">
        <f t="shared" si="19"/>
        <v>USDAM3L40Y_S6L3L_Quote</v>
      </c>
      <c r="I66" s="140">
        <v>0</v>
      </c>
      <c r="J66" s="69" t="str">
        <f>_xll.qlSwapRateHelper2(,H66,,B66,JoinCalendar,USD6M!D66,USD6M!E66,USD6M!F66,USD6M!G66,USD6M!I66,USD6M!C66,Discounting,PillarDate,,Permanent,Trigger,ObjectOverwrite)</f>
        <v>obj_00287#0312</v>
      </c>
      <c r="L66" s="12" t="str">
        <f t="shared" si="16"/>
        <v>BasSw</v>
      </c>
      <c r="M66" s="106" t="str">
        <f t="shared" si="17"/>
        <v>obj_00291#0311</v>
      </c>
      <c r="N66" s="160" t="str">
        <f>IFERROR(_xll.qlRateHelperQuoteName(M66,Trigger),"--")</f>
        <v>USDAM3L60Y_S6L3L_Quote</v>
      </c>
      <c r="O66" s="112">
        <f>IFERROR(_xll.qlRateHelperQuoteValue($M66,Trigger),"--")</f>
        <v>2.2875546373814313E-2</v>
      </c>
      <c r="P66" s="111" t="b">
        <v>1</v>
      </c>
      <c r="Q66" s="106">
        <v>40</v>
      </c>
      <c r="R66" s="106">
        <v>1</v>
      </c>
      <c r="S66" s="113">
        <f>IFERROR(_xll.qlRateHelperEarliestDate(M66,Trigger),"--")</f>
        <v>42450</v>
      </c>
      <c r="T66" s="113">
        <f>IFERROR(_xll.qlRateHelperPillarDate(M66,Trigger),"--")</f>
        <v>64367</v>
      </c>
      <c r="V66" s="6" t="str">
        <f t="shared" si="3"/>
        <v/>
      </c>
      <c r="W66" s="6" t="e">
        <v>#N/A</v>
      </c>
      <c r="X66" s="6" t="str">
        <f>IFERROR(_xll.qlRateHelperQuoteName(W66,Trigger),"")</f>
        <v/>
      </c>
      <c r="Y66" s="85" t="str">
        <f>IFERROR(_xll.qlRateHelperRate(W66,Trigger),"")</f>
        <v/>
      </c>
      <c r="Z66" s="116" t="str">
        <f>IF(ISERROR(_xll.qlSwapRateHelperSpread($W66)),IF(ISERROR(_xll.qlFuturesRateHelperConvexityAdjustment($W66)),"",_xll.qlFuturesRateHelperConvexityAdjustment($W66)),_xll.qlSwapRateHelperSpread($W66))</f>
        <v/>
      </c>
      <c r="AA66" s="13" t="str">
        <f>IFERROR(_xll.qlRateHelperEarliestDate(W66,Trigger),"")</f>
        <v/>
      </c>
      <c r="AB66" s="13" t="str">
        <f>IFERROR(_xll.qlRateHelperPillarDate(W66,Trigger),"")</f>
        <v/>
      </c>
      <c r="AC66" s="84" t="e">
        <v>#N/A</v>
      </c>
    </row>
    <row r="67" spans="1:29" ht="11.25" customHeight="1" x14ac:dyDescent="0.2">
      <c r="A67" s="63" t="s">
        <v>160</v>
      </c>
      <c r="B67" s="64" t="s">
        <v>98</v>
      </c>
      <c r="C67" s="65" t="s">
        <v>6</v>
      </c>
      <c r="D67" s="65" t="s">
        <v>8</v>
      </c>
      <c r="E67" s="65" t="s">
        <v>7</v>
      </c>
      <c r="F67" s="65" t="s">
        <v>28</v>
      </c>
      <c r="G67" s="65" t="str">
        <f t="shared" si="18"/>
        <v>UsdLibor6M</v>
      </c>
      <c r="H67" s="63" t="str">
        <f t="shared" si="19"/>
        <v>USDAM3L45Y_S6L3L_Quote</v>
      </c>
      <c r="I67" s="140">
        <v>0</v>
      </c>
      <c r="J67" s="69"/>
    </row>
    <row r="68" spans="1:29" ht="11.25" customHeight="1" x14ac:dyDescent="0.2">
      <c r="A68" s="63" t="s">
        <v>160</v>
      </c>
      <c r="B68" s="64" t="s">
        <v>99</v>
      </c>
      <c r="C68" s="65" t="s">
        <v>6</v>
      </c>
      <c r="D68" s="65" t="s">
        <v>8</v>
      </c>
      <c r="E68" s="65" t="s">
        <v>7</v>
      </c>
      <c r="F68" s="65" t="s">
        <v>28</v>
      </c>
      <c r="G68" s="65" t="str">
        <f t="shared" si="18"/>
        <v>UsdLibor6M</v>
      </c>
      <c r="H68" s="63" t="str">
        <f t="shared" si="19"/>
        <v>USDAM3L50Y_S6L3L_Quote</v>
      </c>
      <c r="I68" s="140">
        <v>0</v>
      </c>
      <c r="J68" s="69" t="str">
        <f>_xll.qlSwapRateHelper2(,H68,,B68,JoinCalendar,USD6M!D68,USD6M!E68,USD6M!F68,USD6M!G68,USD6M!I68,USD6M!C68,Discounting,PillarDate,,Permanent,Trigger,ObjectOverwrite)</f>
        <v>obj_002b2#0311</v>
      </c>
    </row>
    <row r="69" spans="1:29" ht="11.25" customHeight="1" x14ac:dyDescent="0.2">
      <c r="A69" s="63" t="s">
        <v>160</v>
      </c>
      <c r="B69" s="64" t="s">
        <v>155</v>
      </c>
      <c r="C69" s="65" t="s">
        <v>6</v>
      </c>
      <c r="D69" s="65" t="s">
        <v>8</v>
      </c>
      <c r="E69" s="65" t="s">
        <v>7</v>
      </c>
      <c r="F69" s="65" t="s">
        <v>28</v>
      </c>
      <c r="G69" s="65" t="str">
        <f t="shared" si="18"/>
        <v>UsdLibor6M</v>
      </c>
      <c r="H69" s="63" t="str">
        <f t="shared" si="19"/>
        <v>USDAM3L55Y_S6L3L_Quote</v>
      </c>
      <c r="I69" s="138">
        <v>0</v>
      </c>
      <c r="J69" s="69"/>
    </row>
    <row r="70" spans="1:29" ht="11.25" customHeight="1" x14ac:dyDescent="0.2">
      <c r="A70" s="1" t="s">
        <v>160</v>
      </c>
      <c r="B70" s="9" t="s">
        <v>147</v>
      </c>
      <c r="C70" s="7" t="s">
        <v>6</v>
      </c>
      <c r="D70" s="7" t="s">
        <v>8</v>
      </c>
      <c r="E70" s="7" t="s">
        <v>7</v>
      </c>
      <c r="F70" s="7" t="s">
        <v>28</v>
      </c>
      <c r="G70" s="7" t="str">
        <f t="shared" si="18"/>
        <v>UsdLibor6M</v>
      </c>
      <c r="H70" s="1" t="str">
        <f t="shared" si="19"/>
        <v>USDAM3L60Y_S6L3L_Quote</v>
      </c>
      <c r="I70" s="141">
        <v>0</v>
      </c>
      <c r="J70" s="3" t="str">
        <f>_xll.qlSwapRateHelper2(,H70,,B70,JoinCalendar,USD6M!D70,USD6M!E70,USD6M!F70,USD6M!G70,USD6M!I70,USD6M!C70,Discounting,PillarDate,,Permanent,Trigger,ObjectOverwrite)</f>
        <v>obj_00291#0311</v>
      </c>
    </row>
    <row r="71" spans="1:29" ht="11.25" customHeight="1" x14ac:dyDescent="0.2"/>
    <row r="72" spans="1:29" ht="11.25" customHeight="1" x14ac:dyDescent="0.2"/>
    <row r="73" spans="1:29" ht="11.25" customHeight="1" x14ac:dyDescent="0.2"/>
    <row r="74" spans="1:29" ht="11.25" customHeight="1" x14ac:dyDescent="0.2"/>
    <row r="75" spans="1:29" ht="11.25" customHeight="1" x14ac:dyDescent="0.2"/>
    <row r="76" spans="1:29" ht="11.25" customHeight="1" x14ac:dyDescent="0.2"/>
    <row r="77" spans="1:29" ht="11.25" customHeight="1" x14ac:dyDescent="0.2"/>
    <row r="78" spans="1:29" ht="11.25" customHeight="1" x14ac:dyDescent="0.2"/>
    <row r="79" spans="1:29" ht="11.25" customHeight="1" x14ac:dyDescent="0.2"/>
    <row r="80" spans="1:29" ht="11.25" customHeight="1" x14ac:dyDescent="0.2"/>
    <row r="90" spans="11:11" x14ac:dyDescent="0.2">
      <c r="K90" s="50" t="s">
        <v>47</v>
      </c>
    </row>
  </sheetData>
  <mergeCells count="1">
    <mergeCell ref="AE2:AF2"/>
  </mergeCells>
  <dataValidations count="4">
    <dataValidation type="list" allowBlank="1" showInputMessage="1" showErrorMessage="1" sqref="AF6">
      <formula1>"AllDepos,DeposBeforeFirstFuturesStartDate,DeposBeforeFirstFuturesStartDatePlusOne,DeposBeforeFirstFuturesExpiryDate"</formula1>
    </dataValidation>
    <dataValidation type="list" allowBlank="1" showInputMessage="1" showErrorMessage="1" sqref="F35:F7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5:E70">
      <formula1>"Following,Modified Following,Preceding,Modified Preceding,Unadjusted,Half-Month Modified Following"</formula1>
    </dataValidation>
    <dataValidation type="list" allowBlank="1" showInputMessage="1" showErrorMessage="1" sqref="D35:D70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50" hidden="1" customWidth="1" outlineLevel="1"/>
    <col min="2" max="2" width="6" style="55" hidden="1" customWidth="1" outlineLevel="1"/>
    <col min="3" max="3" width="6.7109375" style="54" hidden="1" customWidth="1" outlineLevel="1"/>
    <col min="4" max="4" width="7" style="54" hidden="1" customWidth="1" outlineLevel="1"/>
    <col min="5" max="5" width="19.28515625" style="54" hidden="1" customWidth="1" outlineLevel="1"/>
    <col min="6" max="6" width="11" style="54" hidden="1" customWidth="1" outlineLevel="1"/>
    <col min="7" max="7" width="15.140625" style="54" hidden="1" customWidth="1" outlineLevel="1"/>
    <col min="8" max="8" width="23.42578125" style="56" hidden="1" customWidth="1" outlineLevel="1"/>
    <col min="9" max="9" width="17.28515625" style="50" hidden="1" customWidth="1" outlineLevel="1"/>
    <col min="10" max="10" width="15.140625" style="50" hidden="1" customWidth="1" outlineLevel="1"/>
    <col min="11" max="11" width="2.7109375" style="50" customWidth="1" collapsed="1"/>
    <col min="12" max="12" width="6" style="50" hidden="1" customWidth="1" outlineLevel="1"/>
    <col min="13" max="13" width="15.140625" style="114" hidden="1" customWidth="1" outlineLevel="1"/>
    <col min="14" max="14" width="22.42578125" style="114" hidden="1" customWidth="1" outlineLevel="1"/>
    <col min="15" max="15" width="9.7109375" style="114" hidden="1" customWidth="1" outlineLevel="1"/>
    <col min="16" max="16" width="7.85546875" style="114" hidden="1" customWidth="1" outlineLevel="1"/>
    <col min="17" max="17" width="9" style="114" hidden="1" customWidth="1" outlineLevel="1"/>
    <col min="18" max="18" width="5.85546875" style="114" hidden="1" customWidth="1" outlineLevel="1"/>
    <col min="19" max="20" width="10.7109375" style="114" hidden="1" customWidth="1" outlineLevel="1"/>
    <col min="21" max="21" width="2.7109375" style="52" hidden="1" customWidth="1" outlineLevel="1"/>
    <col min="22" max="22" width="6" style="50" bestFit="1" customWidth="1" collapsed="1"/>
    <col min="23" max="23" width="10.140625" style="50" hidden="1" customWidth="1" outlineLevel="1"/>
    <col min="24" max="24" width="24.7109375" style="50" customWidth="1" collapsed="1"/>
    <col min="25" max="26" width="9.7109375" style="50" customWidth="1"/>
    <col min="27" max="28" width="17.28515625" style="50" bestFit="1" customWidth="1"/>
    <col min="29" max="29" width="12" style="50" bestFit="1" customWidth="1"/>
    <col min="30" max="30" width="2.7109375" style="50" customWidth="1"/>
    <col min="31" max="31" width="24.42578125" style="50" bestFit="1" customWidth="1"/>
    <col min="32" max="32" width="9" style="50" bestFit="1" customWidth="1"/>
    <col min="33" max="16384" width="9.140625" style="50"/>
  </cols>
  <sheetData>
    <row r="1" spans="1:32" ht="18" customHeight="1" x14ac:dyDescent="0.2">
      <c r="G1" s="54" t="s">
        <v>2</v>
      </c>
      <c r="H1" s="54" t="str">
        <f>"_SYNTH"&amp;Tenor</f>
        <v>_SYNTH1M</v>
      </c>
      <c r="L1" s="72" t="s">
        <v>25</v>
      </c>
      <c r="M1" s="117"/>
      <c r="N1" s="117"/>
      <c r="O1" s="117"/>
      <c r="P1" s="117"/>
      <c r="Q1" s="117"/>
      <c r="R1" s="117"/>
      <c r="S1" s="117"/>
      <c r="T1" s="107"/>
      <c r="U1" s="104"/>
      <c r="V1" s="80" t="str">
        <f>Currency&amp;Tenor</f>
        <v>USD1M</v>
      </c>
      <c r="W1" s="189"/>
      <c r="X1" s="71"/>
      <c r="Y1" s="74"/>
      <c r="Z1" s="74"/>
      <c r="AA1" s="71"/>
      <c r="AB1" s="189"/>
      <c r="AC1" s="78" t="s">
        <v>33</v>
      </c>
    </row>
    <row r="2" spans="1:32" ht="21.75" customHeight="1" x14ac:dyDescent="0.2">
      <c r="A2" s="70" t="s">
        <v>9</v>
      </c>
      <c r="B2" s="70" t="s">
        <v>30</v>
      </c>
      <c r="C2" s="70" t="s">
        <v>125</v>
      </c>
      <c r="D2" s="70"/>
      <c r="E2" s="70"/>
      <c r="F2" s="70"/>
      <c r="G2" s="70" t="s">
        <v>4</v>
      </c>
      <c r="H2" s="70" t="s">
        <v>1</v>
      </c>
      <c r="I2" s="70"/>
      <c r="J2" s="70" t="s">
        <v>25</v>
      </c>
      <c r="L2" s="79" t="s">
        <v>9</v>
      </c>
      <c r="M2" s="79" t="s">
        <v>25</v>
      </c>
      <c r="N2" s="79" t="s">
        <v>112</v>
      </c>
      <c r="O2" s="79" t="s">
        <v>115</v>
      </c>
      <c r="P2" s="79" t="s">
        <v>113</v>
      </c>
      <c r="Q2" s="79" t="s">
        <v>114</v>
      </c>
      <c r="R2" s="79" t="s">
        <v>116</v>
      </c>
      <c r="S2" s="79" t="s">
        <v>23</v>
      </c>
      <c r="T2" s="79" t="s">
        <v>109</v>
      </c>
      <c r="U2" s="104"/>
      <c r="V2" s="79" t="s">
        <v>9</v>
      </c>
      <c r="W2" s="79" t="s">
        <v>25</v>
      </c>
      <c r="X2" s="79" t="s">
        <v>112</v>
      </c>
      <c r="Y2" s="81" t="s">
        <v>24</v>
      </c>
      <c r="Z2" s="81" t="s">
        <v>117</v>
      </c>
      <c r="AA2" s="79" t="s">
        <v>23</v>
      </c>
      <c r="AB2" s="79" t="s">
        <v>109</v>
      </c>
      <c r="AC2" s="82">
        <f t="array" ref="AC2:AC55">_xll.qlPiecewiseYieldCurveData(YieldCurve_1M,Trigger)</f>
        <v>1</v>
      </c>
      <c r="AE2" s="250" t="s">
        <v>118</v>
      </c>
      <c r="AF2" s="251"/>
    </row>
    <row r="3" spans="1:32" ht="11.25" customHeight="1" x14ac:dyDescent="0.2">
      <c r="A3" s="121" t="s">
        <v>27</v>
      </c>
      <c r="B3" s="122" t="s">
        <v>104</v>
      </c>
      <c r="C3" s="123" t="s">
        <v>49</v>
      </c>
      <c r="D3" s="135"/>
      <c r="E3" s="135"/>
      <c r="F3" s="135"/>
      <c r="G3" s="124" t="str">
        <f>PROPER(Currency)&amp;"FedFunds"</f>
        <v>UsdFedFunds</v>
      </c>
      <c r="H3" s="132" t="str">
        <f t="shared" ref="H3:H7" si="0">Currency&amp;$B3&amp;"D"&amp;$H$1&amp;QuoteSuffix</f>
        <v>USDSND_SYNTH1M_Quote</v>
      </c>
      <c r="I3" s="135"/>
      <c r="J3" s="125"/>
      <c r="K3" s="53"/>
      <c r="L3" s="73" t="str">
        <f>A3</f>
        <v>Dp</v>
      </c>
      <c r="M3" s="144" t="str">
        <f>IF(ISBLANK(J3),"--",J3)</f>
        <v>--</v>
      </c>
      <c r="N3" s="158" t="str">
        <f>IFERROR(_xll.qlRateHelperQuoteName(M3,Trigger),"--")</f>
        <v>--</v>
      </c>
      <c r="O3" s="146" t="str">
        <f>IFERROR(_xll.qlRateHelperQuoteValue($M3,Trigger),"--")</f>
        <v>--</v>
      </c>
      <c r="P3" s="145" t="b">
        <v>0</v>
      </c>
      <c r="Q3" s="144">
        <v>10</v>
      </c>
      <c r="R3" s="144">
        <v>1</v>
      </c>
      <c r="S3" s="147" t="str">
        <f>IFERROR(_xll.qlRateHelperEarliestDate(M3,Trigger),"--")</f>
        <v>--</v>
      </c>
      <c r="T3" s="147" t="str">
        <f>IFERROR(_xll.qlRateHelperPillarDate(M3,Trigger),"--")</f>
        <v>--</v>
      </c>
      <c r="V3" s="4" t="str">
        <f>IFERROR(INDEX($L$3:$L$55,MATCH(X3,$N$3:$N$55,0),1),"")</f>
        <v>Dp</v>
      </c>
      <c r="W3" s="4" t="str">
        <f t="array" ref="W3:W55">_xll.qlRateHelperSelection(_xll.ohFilter(RateHelpers,IncludeFlag),_xll.ohFilter(Priority,IncludeFlag),$AF$3,$AF$4,$AF$5,$AF$6,_xll.ohFilter(MinDistance,IncludeFlag),Trigger)</f>
        <v>obj_002f7</v>
      </c>
      <c r="X3" s="4" t="str">
        <f>IFERROR(_xll.qlRateHelperQuoteName(W3,Trigger),"")</f>
        <v>USDSWD_SYNTH1M_Quote</v>
      </c>
      <c r="Y3" s="75">
        <f>IFERROR(_xll.qlRateHelperRate(W3,Trigger),"")</f>
        <v>4.4409999999999996E-3</v>
      </c>
      <c r="Z3" s="115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42450</v>
      </c>
      <c r="AB3" s="5">
        <f>IFERROR(_xll.qlRateHelperPillarDate(W3,Trigger),"")</f>
        <v>42458</v>
      </c>
      <c r="AC3" s="83">
        <v>0.99990132084964634</v>
      </c>
      <c r="AE3" s="118" t="s">
        <v>119</v>
      </c>
      <c r="AF3" s="119">
        <v>0</v>
      </c>
    </row>
    <row r="4" spans="1:32" ht="11.25" customHeight="1" x14ac:dyDescent="0.2">
      <c r="A4" s="57" t="s">
        <v>27</v>
      </c>
      <c r="B4" s="58" t="s">
        <v>124</v>
      </c>
      <c r="C4" s="60" t="s">
        <v>50</v>
      </c>
      <c r="D4" s="142"/>
      <c r="E4" s="142"/>
      <c r="F4" s="142"/>
      <c r="G4" s="59" t="str">
        <f>PROPER(Currency)&amp;FamilyName&amp;B4</f>
        <v>UsdLiborSW</v>
      </c>
      <c r="H4" s="169" t="str">
        <f t="shared" si="0"/>
        <v>USDSWD_SYNTH1M_Quote</v>
      </c>
      <c r="I4" s="142"/>
      <c r="J4" s="69" t="str">
        <f>_xll.qlDepositRateHelper(,H4,G4,Permanent,Trigger,ObjectOverwrite)</f>
        <v>obj_002f7#0311</v>
      </c>
      <c r="K4" s="52"/>
      <c r="L4" s="11" t="str">
        <f t="shared" ref="L4:L7" si="1">A4</f>
        <v>Dp</v>
      </c>
      <c r="M4" s="105" t="str">
        <f t="shared" ref="M4:M7" si="2">IF(ISBLANK(J4),"--",J4)</f>
        <v>obj_002f7#0311</v>
      </c>
      <c r="N4" s="159" t="str">
        <f>IFERROR(_xll.qlRateHelperQuoteName(M4,Trigger),"--")</f>
        <v>USDSWD_SYNTH1M_Quote</v>
      </c>
      <c r="O4" s="109">
        <f>IFERROR(_xll.qlRateHelperQuoteValue($M4,Trigger),"--")</f>
        <v>4.4409999999999996E-3</v>
      </c>
      <c r="P4" s="108" t="b">
        <v>1</v>
      </c>
      <c r="Q4" s="105">
        <v>10</v>
      </c>
      <c r="R4" s="105">
        <v>1</v>
      </c>
      <c r="S4" s="110">
        <f>IFERROR(_xll.qlRateHelperEarliestDate(M4,Trigger),"--")</f>
        <v>42450</v>
      </c>
      <c r="T4" s="110">
        <f>IFERROR(_xll.qlRateHelperPillarDate(M4,Trigger),"--")</f>
        <v>42458</v>
      </c>
      <c r="V4" s="4" t="str">
        <f t="shared" ref="V4:V55" si="3">IFERROR(INDEX($L$3:$L$55,MATCH(X4,$N$3:$N$55,0),1),"")</f>
        <v>Dp</v>
      </c>
      <c r="W4" s="4" t="str">
        <v>obj_002ed</v>
      </c>
      <c r="X4" s="4" t="str">
        <f>IFERROR(_xll.qlRateHelperQuoteName(W4,Trigger),"")</f>
        <v>USD1MD_SYNTH1M_Quote</v>
      </c>
      <c r="Y4" s="75">
        <f>IFERROR(_xll.qlRateHelperRate(W4,Trigger),"")</f>
        <v>4.3210000000000002E-3</v>
      </c>
      <c r="Z4" s="115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42450</v>
      </c>
      <c r="AB4" s="5">
        <f>IFERROR(_xll.qlRateHelperPillarDate(W4,Trigger),"")</f>
        <v>42481</v>
      </c>
      <c r="AC4" s="83">
        <v>0.99962805228546747</v>
      </c>
      <c r="AE4" s="118" t="s">
        <v>120</v>
      </c>
      <c r="AF4" s="119">
        <v>0</v>
      </c>
    </row>
    <row r="5" spans="1:32" ht="11.25" customHeight="1" x14ac:dyDescent="0.2">
      <c r="A5" s="175" t="s">
        <v>27</v>
      </c>
      <c r="B5" s="176" t="s">
        <v>51</v>
      </c>
      <c r="C5" s="177" t="str">
        <f>B5</f>
        <v>2W</v>
      </c>
      <c r="D5" s="178"/>
      <c r="E5" s="178"/>
      <c r="F5" s="178"/>
      <c r="G5" s="179" t="str">
        <f>_xll.qlLibor(,Currency,C5,,Permanent,Trigger,ObjectOverwrite)</f>
        <v>obj_002aa#0311</v>
      </c>
      <c r="H5" s="180" t="str">
        <f t="shared" si="0"/>
        <v>USD2WD_SYNTH1M_Quote</v>
      </c>
      <c r="I5" s="178"/>
      <c r="J5" s="181"/>
      <c r="K5" s="52"/>
      <c r="L5" s="11" t="str">
        <f t="shared" si="1"/>
        <v>Dp</v>
      </c>
      <c r="M5" s="105" t="str">
        <f t="shared" si="2"/>
        <v>--</v>
      </c>
      <c r="N5" s="159" t="str">
        <f>IFERROR(_xll.qlRateHelperQuoteName(M5,Trigger),"--")</f>
        <v>--</v>
      </c>
      <c r="O5" s="109" t="str">
        <f>IFERROR(_xll.qlRateHelperQuoteValue($M5,Trigger),"--")</f>
        <v>--</v>
      </c>
      <c r="P5" s="108" t="b">
        <v>0</v>
      </c>
      <c r="Q5" s="105">
        <v>10</v>
      </c>
      <c r="R5" s="105">
        <v>1</v>
      </c>
      <c r="S5" s="110" t="str">
        <f>IFERROR(_xll.qlRateHelperEarliestDate(M5,Trigger),"--")</f>
        <v>--</v>
      </c>
      <c r="T5" s="110" t="str">
        <f>IFERROR(_xll.qlRateHelperPillarDate(M5,Trigger),"--")</f>
        <v>--</v>
      </c>
      <c r="V5" s="4" t="str">
        <f t="shared" si="3"/>
        <v>Sw</v>
      </c>
      <c r="W5" s="4" t="str">
        <v>obj_002a5</v>
      </c>
      <c r="X5" s="4" t="str">
        <f>IFERROR(_xll.qlRateHelperQuoteName(W5,Trigger),"")</f>
        <v>USD3X1S_Quote</v>
      </c>
      <c r="Y5" s="75">
        <f>IFERROR(_xll.qlRateHelperRate(W5,Trigger),"")</f>
        <v>4.4299999999999999E-3</v>
      </c>
      <c r="Z5" s="115">
        <f>IF(ISERROR(_xll.qlSwapRateHelperSpread($W5)),IF(ISERROR(_xll.qlFuturesRateHelperConvexityAdjustment($W5)),"",_xll.qlFuturesRateHelperConvexityAdjustment($W5)),_xll.qlSwapRateHelperSpread($W5))</f>
        <v>0</v>
      </c>
      <c r="AA5" s="5">
        <f>IFERROR(_xll.qlRateHelperEarliestDate(W5,Trigger),"")</f>
        <v>42450</v>
      </c>
      <c r="AB5" s="5">
        <f>IFERROR(_xll.qlRateHelperPillarDate(W5,Trigger),"")</f>
        <v>42542</v>
      </c>
      <c r="AC5" s="83">
        <v>0.99886910797976514</v>
      </c>
      <c r="AD5" s="86"/>
      <c r="AE5" s="118" t="s">
        <v>121</v>
      </c>
      <c r="AF5" s="119">
        <v>0</v>
      </c>
    </row>
    <row r="6" spans="1:32" ht="11.25" customHeight="1" x14ac:dyDescent="0.2">
      <c r="A6" s="182" t="s">
        <v>27</v>
      </c>
      <c r="B6" s="183" t="s">
        <v>52</v>
      </c>
      <c r="C6" s="184" t="str">
        <f t="shared" ref="C6:C7" si="4">B6</f>
        <v>3W</v>
      </c>
      <c r="D6" s="185"/>
      <c r="E6" s="185"/>
      <c r="F6" s="185"/>
      <c r="G6" s="186" t="str">
        <f>_xll.qlLibor(,Currency,C6,,Permanent,Trigger,ObjectOverwrite)</f>
        <v>obj_002a3#0311</v>
      </c>
      <c r="H6" s="187" t="str">
        <f t="shared" si="0"/>
        <v>USD3WD_SYNTH1M_Quote</v>
      </c>
      <c r="I6" s="185"/>
      <c r="J6" s="188"/>
      <c r="K6" s="52"/>
      <c r="L6" s="11" t="str">
        <f t="shared" si="1"/>
        <v>Dp</v>
      </c>
      <c r="M6" s="105" t="str">
        <f t="shared" si="2"/>
        <v>--</v>
      </c>
      <c r="N6" s="159" t="str">
        <f>IFERROR(_xll.qlRateHelperQuoteName(M6,Trigger),"--")</f>
        <v>--</v>
      </c>
      <c r="O6" s="109" t="str">
        <f>IFERROR(_xll.qlRateHelperQuoteValue($M6,Trigger),"--")</f>
        <v>--</v>
      </c>
      <c r="P6" s="108" t="b">
        <v>0</v>
      </c>
      <c r="Q6" s="105">
        <v>10</v>
      </c>
      <c r="R6" s="105">
        <v>1</v>
      </c>
      <c r="S6" s="110" t="str">
        <f>IFERROR(_xll.qlRateHelperEarliestDate(M6,Trigger),"--")</f>
        <v>--</v>
      </c>
      <c r="T6" s="110" t="str">
        <f>IFERROR(_xll.qlRateHelperPillarDate(M6,Trigger),"--")</f>
        <v>--</v>
      </c>
      <c r="V6" s="4" t="str">
        <f t="shared" si="3"/>
        <v>Sw</v>
      </c>
      <c r="W6" s="4" t="str">
        <v>obj_002a6</v>
      </c>
      <c r="X6" s="4" t="str">
        <f>IFERROR(_xll.qlRateHelperQuoteName(W6,Trigger),"")</f>
        <v>USD6X1S_Quote</v>
      </c>
      <c r="Y6" s="75">
        <f>IFERROR(_xll.qlRateHelperRate(W6,Trigger),"")</f>
        <v>5.0600000000000003E-3</v>
      </c>
      <c r="Z6" s="115">
        <f>IF(ISERROR(_xll.qlSwapRateHelperSpread($W6)),IF(ISERROR(_xll.qlFuturesRateHelperConvexityAdjustment($W6)),"",_xll.qlFuturesRateHelperConvexityAdjustment($W6)),_xll.qlSwapRateHelperSpread($W6))</f>
        <v>0</v>
      </c>
      <c r="AA6" s="5">
        <f>IFERROR(_xll.qlRateHelperEarliestDate(W6,Trigger),"")</f>
        <v>42450</v>
      </c>
      <c r="AB6" s="5">
        <f>IFERROR(_xll.qlRateHelperPillarDate(W6,Trigger),"")</f>
        <v>42634</v>
      </c>
      <c r="AC6" s="83">
        <v>0.99741998387662356</v>
      </c>
      <c r="AE6" s="118" t="s">
        <v>122</v>
      </c>
      <c r="AF6" s="120" t="s">
        <v>123</v>
      </c>
    </row>
    <row r="7" spans="1:32" ht="11.25" customHeight="1" x14ac:dyDescent="0.2">
      <c r="A7" s="1" t="s">
        <v>27</v>
      </c>
      <c r="B7" s="9" t="s">
        <v>2</v>
      </c>
      <c r="C7" s="10" t="str">
        <f t="shared" si="4"/>
        <v>1M</v>
      </c>
      <c r="D7" s="137"/>
      <c r="E7" s="137"/>
      <c r="F7" s="137"/>
      <c r="G7" s="7" t="str">
        <f>PROPER(Currency)&amp;FamilyName&amp;B7</f>
        <v>UsdLibor1M</v>
      </c>
      <c r="H7" s="134" t="str">
        <f t="shared" si="0"/>
        <v>USD1MD_SYNTH1M_Quote</v>
      </c>
      <c r="I7" s="137"/>
      <c r="J7" s="3" t="str">
        <f>_xll.qlDepositRateHelper(,H7,G7,Permanent,Trigger,ObjectOverwrite)</f>
        <v>obj_002ed#0311</v>
      </c>
      <c r="K7" s="52"/>
      <c r="L7" s="11" t="str">
        <f t="shared" si="1"/>
        <v>Dp</v>
      </c>
      <c r="M7" s="105" t="str">
        <f t="shared" si="2"/>
        <v>obj_002ed#0311</v>
      </c>
      <c r="N7" s="159" t="str">
        <f>IFERROR(_xll.qlRateHelperQuoteName(M7,Trigger),"--")</f>
        <v>USD1MD_SYNTH1M_Quote</v>
      </c>
      <c r="O7" s="109">
        <f>IFERROR(_xll.qlRateHelperQuoteValue($M7,Trigger),"--")</f>
        <v>4.3210000000000002E-3</v>
      </c>
      <c r="P7" s="108" t="b">
        <v>1</v>
      </c>
      <c r="Q7" s="105">
        <v>10</v>
      </c>
      <c r="R7" s="105">
        <v>1</v>
      </c>
      <c r="S7" s="110">
        <f>IFERROR(_xll.qlRateHelperEarliestDate(M7,Trigger),"--")</f>
        <v>42450</v>
      </c>
      <c r="T7" s="110">
        <f>IFERROR(_xll.qlRateHelperPillarDate(M7,Trigger),"--")</f>
        <v>42481</v>
      </c>
      <c r="V7" s="4" t="str">
        <f t="shared" si="3"/>
        <v>Sw</v>
      </c>
      <c r="W7" s="4" t="str">
        <v>obj_0028c</v>
      </c>
      <c r="X7" s="4" t="str">
        <f>IFERROR(_xll.qlRateHelperQuoteName(W7,Trigger),"")</f>
        <v>USD9X1S_Quote</v>
      </c>
      <c r="Y7" s="75">
        <f>IFERROR(_xll.qlRateHelperRate(W7,Trigger),"")</f>
        <v>5.5099999999999993E-3</v>
      </c>
      <c r="Z7" s="115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42450</v>
      </c>
      <c r="AB7" s="5">
        <f>IFERROR(_xll.qlRateHelperPillarDate(W7,Trigger),"")</f>
        <v>42725</v>
      </c>
      <c r="AC7" s="83">
        <v>0.99580749230231513</v>
      </c>
    </row>
    <row r="8" spans="1:32" ht="11.25" customHeight="1" x14ac:dyDescent="0.2">
      <c r="B8" s="50"/>
      <c r="C8" s="50"/>
      <c r="D8" s="50"/>
      <c r="E8" s="50"/>
      <c r="F8" s="50"/>
      <c r="G8" s="50" t="s">
        <v>158</v>
      </c>
      <c r="H8" s="50"/>
      <c r="K8" s="52"/>
      <c r="L8" s="73" t="str">
        <f>A10</f>
        <v>Sw</v>
      </c>
      <c r="M8" s="144" t="str">
        <f>IF(ISBLANK(J10),"--",J10)</f>
        <v>--</v>
      </c>
      <c r="N8" s="158" t="str">
        <f>IFERROR(_xll.qlRateHelperQuoteName(M8,Trigger),"--")</f>
        <v>--</v>
      </c>
      <c r="O8" s="146" t="str">
        <f>IFERROR(_xll.qlRateHelperQuoteValue($M8,Trigger),"--")</f>
        <v>--</v>
      </c>
      <c r="P8" s="145" t="b">
        <v>0</v>
      </c>
      <c r="Q8" s="144">
        <v>10</v>
      </c>
      <c r="R8" s="144">
        <v>1</v>
      </c>
      <c r="S8" s="147" t="str">
        <f>IFERROR(_xll.qlRateHelperEarliestDate(M8,Trigger),"--")</f>
        <v>--</v>
      </c>
      <c r="T8" s="147" t="str">
        <f>IFERROR(_xll.qlRateHelperPillarDate(M8,Trigger),"--")</f>
        <v>--</v>
      </c>
      <c r="V8" s="4" t="str">
        <f t="shared" si="3"/>
        <v>Sw</v>
      </c>
      <c r="W8" s="4" t="str">
        <v>obj_002ca</v>
      </c>
      <c r="X8" s="4" t="str">
        <f>IFERROR(_xll.qlRateHelperQuoteName(W8,Trigger),"")</f>
        <v>USD12X1S_Quote</v>
      </c>
      <c r="Y8" s="75">
        <f>IFERROR(_xll.qlRateHelperRate(W8,Trigger),"")</f>
        <v>5.9400000000000008E-3</v>
      </c>
      <c r="Z8" s="115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42450</v>
      </c>
      <c r="AB8" s="5">
        <f>IFERROR(_xll.qlRateHelperPillarDate(W8,Trigger),"")</f>
        <v>42815</v>
      </c>
      <c r="AC8" s="83">
        <v>0.9940095003327879</v>
      </c>
    </row>
    <row r="9" spans="1:32" ht="11.25" customHeight="1" x14ac:dyDescent="0.2">
      <c r="A9" s="70" t="s">
        <v>9</v>
      </c>
      <c r="B9" s="70" t="s">
        <v>30</v>
      </c>
      <c r="C9" s="70" t="s">
        <v>151</v>
      </c>
      <c r="D9" s="70" t="s">
        <v>5</v>
      </c>
      <c r="E9" s="70" t="s">
        <v>35</v>
      </c>
      <c r="F9" s="70" t="s">
        <v>152</v>
      </c>
      <c r="G9" s="70" t="s">
        <v>4</v>
      </c>
      <c r="H9" s="70" t="s">
        <v>1</v>
      </c>
      <c r="I9" s="70" t="s">
        <v>148</v>
      </c>
      <c r="J9" s="70" t="s">
        <v>25</v>
      </c>
      <c r="K9" s="52"/>
      <c r="L9" s="11" t="str">
        <f t="shared" ref="L9:L18" si="5">A11</f>
        <v>Sw</v>
      </c>
      <c r="M9" s="105" t="str">
        <f t="shared" ref="M9:M18" si="6">IF(ISBLANK(J11),"--",J11)</f>
        <v>obj_002a5#0311</v>
      </c>
      <c r="N9" s="159" t="str">
        <f>IFERROR(_xll.qlRateHelperQuoteName(M9,Trigger),"--")</f>
        <v>USD3X1S_Quote</v>
      </c>
      <c r="O9" s="109">
        <f>IFERROR(_xll.qlRateHelperQuoteValue($M9,Trigger),"--")</f>
        <v>4.4299999999999999E-3</v>
      </c>
      <c r="P9" s="108" t="b">
        <v>1</v>
      </c>
      <c r="Q9" s="105">
        <v>10</v>
      </c>
      <c r="R9" s="105">
        <v>1</v>
      </c>
      <c r="S9" s="110">
        <f>IFERROR(_xll.qlRateHelperEarliestDate(M9,Trigger),"--")</f>
        <v>42450</v>
      </c>
      <c r="T9" s="110">
        <f>IFERROR(_xll.qlRateHelperPillarDate(M9,Trigger),"--")</f>
        <v>42542</v>
      </c>
      <c r="V9" s="4" t="str">
        <f t="shared" si="3"/>
        <v>BasSw</v>
      </c>
      <c r="W9" s="4" t="str">
        <v>obj_002e0</v>
      </c>
      <c r="X9" s="4" t="str">
        <f>IFERROR(_xll.qlRateHelperQuoteName(W9,Trigger),"")</f>
        <v>USDAM3L2Y_Quote</v>
      </c>
      <c r="Y9" s="75">
        <f>IFERROR(_xll.qlRateHelperRate(W9,Trigger),"")</f>
        <v>9.0200000000000002E-3</v>
      </c>
      <c r="Z9" s="115">
        <f>IF(ISERROR(_xll.qlSwapRateHelperSpread($W9)),IF(ISERROR(_xll.qlFuturesRateHelperConvexityAdjustment($W9)),"",_xll.qlFuturesRateHelperConvexityAdjustment($W9)),_xll.qlSwapRateHelperSpread($W9))</f>
        <v>1.5400000000000001E-3</v>
      </c>
      <c r="AA9" s="5">
        <f>IFERROR(_xll.qlRateHelperEarliestDate(W9,Trigger),"")</f>
        <v>42450</v>
      </c>
      <c r="AB9" s="5">
        <f>IFERROR(_xll.qlRateHelperPillarDate(W9,Trigger),"")</f>
        <v>43180</v>
      </c>
      <c r="AC9" s="83">
        <v>0.98499703172563646</v>
      </c>
    </row>
    <row r="10" spans="1:32" ht="11.25" customHeight="1" x14ac:dyDescent="0.2">
      <c r="A10" s="57" t="s">
        <v>26</v>
      </c>
      <c r="B10" s="58" t="s">
        <v>53</v>
      </c>
      <c r="C10" s="59" t="s">
        <v>6</v>
      </c>
      <c r="D10" s="59" t="s">
        <v>8</v>
      </c>
      <c r="E10" s="59" t="s">
        <v>7</v>
      </c>
      <c r="F10" s="59" t="s">
        <v>28</v>
      </c>
      <c r="G10" s="59" t="str">
        <f t="shared" ref="G10:G20" si="7">PROPER(Currency)&amp;FamilyName&amp;Tenor</f>
        <v>UsdLibor1M</v>
      </c>
      <c r="H10" s="57" t="str">
        <f t="shared" ref="H10:H20" si="8">Currency&amp;SUBSTITUTE($B10,"M","")&amp;$G$8&amp;QuoteSuffix</f>
        <v>USD2X1S_Quote</v>
      </c>
      <c r="I10" s="139">
        <v>0</v>
      </c>
      <c r="J10" s="69"/>
      <c r="K10" s="52"/>
      <c r="L10" s="11" t="str">
        <f t="shared" si="5"/>
        <v>Sw</v>
      </c>
      <c r="M10" s="105" t="str">
        <f t="shared" si="6"/>
        <v>--</v>
      </c>
      <c r="N10" s="159" t="str">
        <f>IFERROR(_xll.qlRateHelperQuoteName(M10,Trigger),"--")</f>
        <v>--</v>
      </c>
      <c r="O10" s="109" t="str">
        <f>IFERROR(_xll.qlRateHelperQuoteValue($M10,Trigger),"--")</f>
        <v>--</v>
      </c>
      <c r="P10" s="108" t="b">
        <v>0</v>
      </c>
      <c r="Q10" s="105">
        <v>10</v>
      </c>
      <c r="R10" s="105">
        <v>1</v>
      </c>
      <c r="S10" s="110" t="str">
        <f>IFERROR(_xll.qlRateHelperEarliestDate(M10,Trigger),"--")</f>
        <v>--</v>
      </c>
      <c r="T10" s="110" t="str">
        <f>IFERROR(_xll.qlRateHelperPillarDate(M10,Trigger),"--")</f>
        <v>--</v>
      </c>
      <c r="V10" s="4" t="str">
        <f t="shared" si="3"/>
        <v>BasSw</v>
      </c>
      <c r="W10" s="4" t="str">
        <v>obj_002b9</v>
      </c>
      <c r="X10" s="4" t="str">
        <f>IFERROR(_xll.qlRateHelperQuoteName(W10,Trigger),"")</f>
        <v>USDAM3L3Y_Quote</v>
      </c>
      <c r="Y10" s="75">
        <f>IFERROR(_xll.qlRateHelperRate(W10,Trigger),"")</f>
        <v>1.0369999999999999E-2</v>
      </c>
      <c r="Z10" s="115">
        <f>IF(ISERROR(_xll.qlSwapRateHelperSpread($W10)),IF(ISERROR(_xll.qlFuturesRateHelperConvexityAdjustment($W10)),"",_xll.qlFuturesRateHelperConvexityAdjustment($W10)),_xll.qlSwapRateHelperSpread($W10))</f>
        <v>1.4400000000000001E-3</v>
      </c>
      <c r="AA10" s="5">
        <f>IFERROR(_xll.qlRateHelperEarliestDate(W10,Trigger),"")</f>
        <v>42450</v>
      </c>
      <c r="AB10" s="5">
        <f>IFERROR(_xll.qlRateHelperPillarDate(W10,Trigger),"")</f>
        <v>43545</v>
      </c>
      <c r="AC10" s="83">
        <v>0.97327750747958841</v>
      </c>
    </row>
    <row r="11" spans="1:32" ht="11.25" customHeight="1" x14ac:dyDescent="0.2">
      <c r="A11" s="63" t="s">
        <v>26</v>
      </c>
      <c r="B11" s="64" t="s">
        <v>0</v>
      </c>
      <c r="C11" s="65" t="s">
        <v>6</v>
      </c>
      <c r="D11" s="65" t="s">
        <v>8</v>
      </c>
      <c r="E11" s="65" t="s">
        <v>7</v>
      </c>
      <c r="F11" s="65" t="s">
        <v>28</v>
      </c>
      <c r="G11" s="65" t="str">
        <f t="shared" si="7"/>
        <v>UsdLibor1M</v>
      </c>
      <c r="H11" s="63" t="str">
        <f t="shared" si="8"/>
        <v>USD3X1S_Quote</v>
      </c>
      <c r="I11" s="140">
        <v>0</v>
      </c>
      <c r="J11" s="69" t="str">
        <f>_xll.qlSwapRateHelper2(,H11,,B11,JoinCalendar,USD1M!D11,USD1M!E11,USD1M!F11,USD1M!G11,USD1M!I11,USD1M!C11,Discounting,PillarDate,,Permanent,Trigger,ObjectOverwrite)</f>
        <v>obj_002a5#0311</v>
      </c>
      <c r="K11" s="52"/>
      <c r="L11" s="11" t="str">
        <f t="shared" si="5"/>
        <v>Sw</v>
      </c>
      <c r="M11" s="105" t="str">
        <f t="shared" si="6"/>
        <v>--</v>
      </c>
      <c r="N11" s="159" t="str">
        <f>IFERROR(_xll.qlRateHelperQuoteName(M11,Trigger),"--")</f>
        <v>--</v>
      </c>
      <c r="O11" s="109" t="str">
        <f>IFERROR(_xll.qlRateHelperQuoteValue($M11,Trigger),"--")</f>
        <v>--</v>
      </c>
      <c r="P11" s="108" t="b">
        <v>0</v>
      </c>
      <c r="Q11" s="105">
        <v>10</v>
      </c>
      <c r="R11" s="105">
        <v>1</v>
      </c>
      <c r="S11" s="110" t="str">
        <f>IFERROR(_xll.qlRateHelperEarliestDate(M11,Trigger),"--")</f>
        <v>--</v>
      </c>
      <c r="T11" s="110" t="str">
        <f>IFERROR(_xll.qlRateHelperPillarDate(M11,Trigger),"--")</f>
        <v>--</v>
      </c>
      <c r="V11" s="4" t="str">
        <f t="shared" si="3"/>
        <v>BasSw</v>
      </c>
      <c r="W11" s="4" t="str">
        <v>obj_002ae</v>
      </c>
      <c r="X11" s="4" t="str">
        <f>IFERROR(_xll.qlRateHelperQuoteName(W11,Trigger),"")</f>
        <v>USDAM3L4Y_Quote</v>
      </c>
      <c r="Y11" s="75">
        <f>IFERROR(_xll.qlRateHelperRate(W11,Trigger),"")</f>
        <v>1.1599999999999999E-2</v>
      </c>
      <c r="Z11" s="115">
        <f>IF(ISERROR(_xll.qlSwapRateHelperSpread($W11)),IF(ISERROR(_xll.qlFuturesRateHelperConvexityAdjustment($W11)),"",_xll.qlFuturesRateHelperConvexityAdjustment($W11)),_xll.qlSwapRateHelperSpread($W11))</f>
        <v>1.34E-3</v>
      </c>
      <c r="AA11" s="5">
        <f>IFERROR(_xll.qlRateHelperEarliestDate(W11,Trigger),"")</f>
        <v>42450</v>
      </c>
      <c r="AB11" s="5">
        <f>IFERROR(_xll.qlRateHelperPillarDate(W11,Trigger),"")</f>
        <v>43913</v>
      </c>
      <c r="AC11" s="83">
        <v>0.95924526521728692</v>
      </c>
    </row>
    <row r="12" spans="1:32" ht="11.25" customHeight="1" x14ac:dyDescent="0.2">
      <c r="A12" s="63" t="s">
        <v>26</v>
      </c>
      <c r="B12" s="64" t="s">
        <v>54</v>
      </c>
      <c r="C12" s="65" t="s">
        <v>6</v>
      </c>
      <c r="D12" s="65" t="s">
        <v>8</v>
      </c>
      <c r="E12" s="65" t="s">
        <v>7</v>
      </c>
      <c r="F12" s="65" t="s">
        <v>28</v>
      </c>
      <c r="G12" s="65" t="str">
        <f t="shared" si="7"/>
        <v>UsdLibor1M</v>
      </c>
      <c r="H12" s="63" t="str">
        <f t="shared" si="8"/>
        <v>USD4X1S_Quote</v>
      </c>
      <c r="I12" s="140">
        <v>0</v>
      </c>
      <c r="J12" s="69"/>
      <c r="K12" s="52" t="s">
        <v>47</v>
      </c>
      <c r="L12" s="11" t="str">
        <f t="shared" si="5"/>
        <v>Sw</v>
      </c>
      <c r="M12" s="105" t="str">
        <f t="shared" si="6"/>
        <v>obj_002a6#0311</v>
      </c>
      <c r="N12" s="159" t="str">
        <f>IFERROR(_xll.qlRateHelperQuoteName(M12,Trigger),"--")</f>
        <v>USD6X1S_Quote</v>
      </c>
      <c r="O12" s="109">
        <f>IFERROR(_xll.qlRateHelperQuoteValue($M12,Trigger),"--")</f>
        <v>5.0600000000000003E-3</v>
      </c>
      <c r="P12" s="108" t="b">
        <v>1</v>
      </c>
      <c r="Q12" s="105">
        <v>70</v>
      </c>
      <c r="R12" s="105">
        <v>1</v>
      </c>
      <c r="S12" s="110">
        <f>IFERROR(_xll.qlRateHelperEarliestDate(M12,Trigger),"--")</f>
        <v>42450</v>
      </c>
      <c r="T12" s="110">
        <f>IFERROR(_xll.qlRateHelperPillarDate(M12,Trigger),"--")</f>
        <v>42634</v>
      </c>
      <c r="V12" s="4" t="str">
        <f t="shared" si="3"/>
        <v>BasSw</v>
      </c>
      <c r="W12" s="4" t="str">
        <v>obj_002f6</v>
      </c>
      <c r="X12" s="4" t="str">
        <f>IFERROR(_xll.qlRateHelperQuoteName(W12,Trigger),"")</f>
        <v>USDAM3L5Y_Quote</v>
      </c>
      <c r="Y12" s="75">
        <f>IFERROR(_xll.qlRateHelperRate(W12,Trigger),"")</f>
        <v>1.272E-2</v>
      </c>
      <c r="Z12" s="115">
        <f>IF(ISERROR(_xll.qlSwapRateHelperSpread($W12)),IF(ISERROR(_xll.qlFuturesRateHelperConvexityAdjustment($W12)),"",_xll.qlFuturesRateHelperConvexityAdjustment($W12)),_xll.qlSwapRateHelperSpread($W12))</f>
        <v>1.25E-3</v>
      </c>
      <c r="AA12" s="5">
        <f>IFERROR(_xll.qlRateHelperEarliestDate(W12,Trigger),"")</f>
        <v>42450</v>
      </c>
      <c r="AB12" s="5">
        <f>IFERROR(_xll.qlRateHelperPillarDate(W12,Trigger),"")</f>
        <v>44277</v>
      </c>
      <c r="AC12" s="83">
        <v>0.94350959132584522</v>
      </c>
    </row>
    <row r="13" spans="1:32" ht="11.25" customHeight="1" x14ac:dyDescent="0.2">
      <c r="A13" s="63" t="s">
        <v>26</v>
      </c>
      <c r="B13" s="64" t="s">
        <v>55</v>
      </c>
      <c r="C13" s="65" t="s">
        <v>6</v>
      </c>
      <c r="D13" s="65" t="s">
        <v>8</v>
      </c>
      <c r="E13" s="65" t="s">
        <v>7</v>
      </c>
      <c r="F13" s="65" t="s">
        <v>28</v>
      </c>
      <c r="G13" s="65" t="str">
        <f t="shared" si="7"/>
        <v>UsdLibor1M</v>
      </c>
      <c r="H13" s="63" t="str">
        <f t="shared" si="8"/>
        <v>USD5X1S_Quote</v>
      </c>
      <c r="I13" s="140">
        <v>0</v>
      </c>
      <c r="J13" s="69"/>
      <c r="K13" s="52"/>
      <c r="L13" s="11" t="str">
        <f t="shared" si="5"/>
        <v>Sw</v>
      </c>
      <c r="M13" s="105" t="str">
        <f t="shared" si="6"/>
        <v>--</v>
      </c>
      <c r="N13" s="159" t="str">
        <f>IFERROR(_xll.qlRateHelperQuoteName(M13,Trigger),"--")</f>
        <v>--</v>
      </c>
      <c r="O13" s="109" t="str">
        <f>IFERROR(_xll.qlRateHelperQuoteValue($M13,Trigger),"--")</f>
        <v>--</v>
      </c>
      <c r="P13" s="108" t="b">
        <v>0</v>
      </c>
      <c r="Q13" s="105">
        <v>20</v>
      </c>
      <c r="R13" s="105">
        <v>1</v>
      </c>
      <c r="S13" s="110" t="str">
        <f>IFERROR(_xll.qlRateHelperEarliestDate(M13,Trigger),"--")</f>
        <v>--</v>
      </c>
      <c r="T13" s="110" t="str">
        <f>IFERROR(_xll.qlRateHelperPillarDate(M13,Trigger),"--")</f>
        <v>--</v>
      </c>
      <c r="V13" s="4" t="str">
        <f t="shared" si="3"/>
        <v>BasSw</v>
      </c>
      <c r="W13" s="4" t="str">
        <v>obj_002ab</v>
      </c>
      <c r="X13" s="4" t="str">
        <f>IFERROR(_xll.qlRateHelperQuoteName(W13,Trigger),"")</f>
        <v>USDAM3L6Y_Quote</v>
      </c>
      <c r="Y13" s="75">
        <f>IFERROR(_xll.qlRateHelperRate(W13,Trigger),"")</f>
        <v>1.3780000000000001E-2</v>
      </c>
      <c r="Z13" s="115">
        <f>IF(ISERROR(_xll.qlSwapRateHelperSpread($W13)),IF(ISERROR(_xll.qlFuturesRateHelperConvexityAdjustment($W13)),"",_xll.qlFuturesRateHelperConvexityAdjustment($W13)),_xll.qlSwapRateHelperSpread($W13))</f>
        <v>1.17E-3</v>
      </c>
      <c r="AA13" s="5">
        <f>IFERROR(_xll.qlRateHelperEarliestDate(W13,Trigger),"")</f>
        <v>42450</v>
      </c>
      <c r="AB13" s="5">
        <f>IFERROR(_xll.qlRateHelperPillarDate(W13,Trigger),"")</f>
        <v>44641</v>
      </c>
      <c r="AC13" s="83">
        <v>0.9261086573361863</v>
      </c>
    </row>
    <row r="14" spans="1:32" ht="11.25" customHeight="1" x14ac:dyDescent="0.2">
      <c r="A14" s="63" t="s">
        <v>26</v>
      </c>
      <c r="B14" s="64" t="s">
        <v>3</v>
      </c>
      <c r="C14" s="65" t="s">
        <v>6</v>
      </c>
      <c r="D14" s="65" t="s">
        <v>8</v>
      </c>
      <c r="E14" s="65" t="s">
        <v>7</v>
      </c>
      <c r="F14" s="65" t="s">
        <v>28</v>
      </c>
      <c r="G14" s="65" t="str">
        <f t="shared" si="7"/>
        <v>UsdLibor1M</v>
      </c>
      <c r="H14" s="63" t="str">
        <f t="shared" si="8"/>
        <v>USD6X1S_Quote</v>
      </c>
      <c r="I14" s="140">
        <v>0</v>
      </c>
      <c r="J14" s="69" t="str">
        <f>_xll.qlSwapRateHelper2(,H14,,B14,JoinCalendar,USD1M!D14,USD1M!E14,USD1M!F14,USD1M!G14,USD1M!I14,USD1M!C14,Discounting,PillarDate,,Permanent,Trigger,ObjectOverwrite)</f>
        <v>obj_002a6#0311</v>
      </c>
      <c r="K14" s="52"/>
      <c r="L14" s="11" t="str">
        <f t="shared" si="5"/>
        <v>Sw</v>
      </c>
      <c r="M14" s="105" t="str">
        <f t="shared" si="6"/>
        <v>--</v>
      </c>
      <c r="N14" s="159" t="str">
        <f>IFERROR(_xll.qlRateHelperQuoteName(M14,Trigger),"--")</f>
        <v>--</v>
      </c>
      <c r="O14" s="109" t="str">
        <f>IFERROR(_xll.qlRateHelperQuoteValue($M14,Trigger),"--")</f>
        <v>--</v>
      </c>
      <c r="P14" s="108" t="b">
        <v>0</v>
      </c>
      <c r="Q14" s="105">
        <v>20</v>
      </c>
      <c r="R14" s="105">
        <v>1</v>
      </c>
      <c r="S14" s="110" t="str">
        <f>IFERROR(_xll.qlRateHelperEarliestDate(M14,Trigger),"--")</f>
        <v>--</v>
      </c>
      <c r="T14" s="110" t="str">
        <f>IFERROR(_xll.qlRateHelperPillarDate(M14,Trigger),"--")</f>
        <v>--</v>
      </c>
      <c r="V14" s="4" t="str">
        <f t="shared" si="3"/>
        <v>BasSw</v>
      </c>
      <c r="W14" s="4" t="str">
        <v>obj_0027f</v>
      </c>
      <c r="X14" s="4" t="str">
        <f>IFERROR(_xll.qlRateHelperQuoteName(W14,Trigger),"")</f>
        <v>USDAM3L7Y_Quote</v>
      </c>
      <c r="Y14" s="75">
        <f>IFERROR(_xll.qlRateHelperRate(W14,Trigger),"")</f>
        <v>1.474E-2</v>
      </c>
      <c r="Z14" s="115">
        <f>IF(ISERROR(_xll.qlSwapRateHelperSpread($W14)),IF(ISERROR(_xll.qlFuturesRateHelperConvexityAdjustment($W14)),"",_xll.qlFuturesRateHelperConvexityAdjustment($W14)),_xll.qlSwapRateHelperSpread($W14))</f>
        <v>1.09E-3</v>
      </c>
      <c r="AA14" s="5">
        <f>IFERROR(_xll.qlRateHelperEarliestDate(W14,Trigger),"")</f>
        <v>42450</v>
      </c>
      <c r="AB14" s="5">
        <f>IFERROR(_xll.qlRateHelperPillarDate(W14,Trigger),"")</f>
        <v>45006</v>
      </c>
      <c r="AC14" s="83">
        <v>0.9074876096424549</v>
      </c>
    </row>
    <row r="15" spans="1:32" ht="11.25" customHeight="1" x14ac:dyDescent="0.2">
      <c r="A15" s="63" t="s">
        <v>26</v>
      </c>
      <c r="B15" s="64" t="s">
        <v>56</v>
      </c>
      <c r="C15" s="65" t="s">
        <v>6</v>
      </c>
      <c r="D15" s="65" t="s">
        <v>8</v>
      </c>
      <c r="E15" s="65" t="s">
        <v>7</v>
      </c>
      <c r="F15" s="65" t="s">
        <v>28</v>
      </c>
      <c r="G15" s="65" t="str">
        <f t="shared" si="7"/>
        <v>UsdLibor1M</v>
      </c>
      <c r="H15" s="63" t="str">
        <f t="shared" si="8"/>
        <v>USD7X1S_Quote</v>
      </c>
      <c r="I15" s="140">
        <v>0</v>
      </c>
      <c r="J15" s="69"/>
      <c r="K15" s="52"/>
      <c r="L15" s="11" t="str">
        <f t="shared" si="5"/>
        <v>Sw</v>
      </c>
      <c r="M15" s="105" t="str">
        <f t="shared" si="6"/>
        <v>obj_0028c#0311</v>
      </c>
      <c r="N15" s="159" t="str">
        <f>IFERROR(_xll.qlRateHelperQuoteName(M15,Trigger),"--")</f>
        <v>USD9X1S_Quote</v>
      </c>
      <c r="O15" s="109">
        <f>IFERROR(_xll.qlRateHelperQuoteValue($M15,Trigger),"--")</f>
        <v>5.5099999999999993E-3</v>
      </c>
      <c r="P15" s="108" t="b">
        <v>1</v>
      </c>
      <c r="Q15" s="105">
        <v>20</v>
      </c>
      <c r="R15" s="105">
        <v>1</v>
      </c>
      <c r="S15" s="110">
        <f>IFERROR(_xll.qlRateHelperEarliestDate(M15,Trigger),"--")</f>
        <v>42450</v>
      </c>
      <c r="T15" s="110">
        <f>IFERROR(_xll.qlRateHelperPillarDate(M15,Trigger),"--")</f>
        <v>42725</v>
      </c>
      <c r="V15" s="4" t="str">
        <f t="shared" si="3"/>
        <v>BasSw</v>
      </c>
      <c r="W15" s="4" t="str">
        <v>obj_002c1</v>
      </c>
      <c r="X15" s="4" t="str">
        <f>IFERROR(_xll.qlRateHelperQuoteName(W15,Trigger),"")</f>
        <v>USDAM3L8Y_Quote</v>
      </c>
      <c r="Y15" s="75">
        <f>IFERROR(_xll.qlRateHelperRate(W15,Trigger),"")</f>
        <v>1.559E-2</v>
      </c>
      <c r="Z15" s="115">
        <f>IF(ISERROR(_xll.qlSwapRateHelperSpread($W15)),IF(ISERROR(_xll.qlFuturesRateHelperConvexityAdjustment($W15)),"",_xll.qlFuturesRateHelperConvexityAdjustment($W15)),_xll.qlSwapRateHelperSpread($W15))</f>
        <v>1.0199999999999999E-3</v>
      </c>
      <c r="AA15" s="5">
        <f>IFERROR(_xll.qlRateHelperEarliestDate(W15,Trigger),"")</f>
        <v>42450</v>
      </c>
      <c r="AB15" s="5">
        <f>IFERROR(_xll.qlRateHelperPillarDate(W15,Trigger),"")</f>
        <v>45372</v>
      </c>
      <c r="AC15" s="83">
        <v>0.88813978447232556</v>
      </c>
    </row>
    <row r="16" spans="1:32" ht="11.25" customHeight="1" x14ac:dyDescent="0.2">
      <c r="A16" s="63" t="s">
        <v>26</v>
      </c>
      <c r="B16" s="64" t="s">
        <v>57</v>
      </c>
      <c r="C16" s="65" t="s">
        <v>6</v>
      </c>
      <c r="D16" s="65" t="s">
        <v>8</v>
      </c>
      <c r="E16" s="65" t="s">
        <v>7</v>
      </c>
      <c r="F16" s="65" t="s">
        <v>28</v>
      </c>
      <c r="G16" s="65" t="str">
        <f t="shared" si="7"/>
        <v>UsdLibor1M</v>
      </c>
      <c r="H16" s="63" t="str">
        <f t="shared" si="8"/>
        <v>USD8X1S_Quote</v>
      </c>
      <c r="I16" s="140">
        <v>0</v>
      </c>
      <c r="J16" s="69"/>
      <c r="K16" s="52"/>
      <c r="L16" s="11" t="str">
        <f t="shared" si="5"/>
        <v>Sw</v>
      </c>
      <c r="M16" s="105" t="str">
        <f t="shared" si="6"/>
        <v>--</v>
      </c>
      <c r="N16" s="159" t="str">
        <f>IFERROR(_xll.qlRateHelperQuoteName(M16,Trigger),"--")</f>
        <v>--</v>
      </c>
      <c r="O16" s="109" t="str">
        <f>IFERROR(_xll.qlRateHelperQuoteValue($M16,Trigger),"--")</f>
        <v>--</v>
      </c>
      <c r="P16" s="108" t="b">
        <v>0</v>
      </c>
      <c r="Q16" s="105">
        <v>20</v>
      </c>
      <c r="R16" s="105">
        <v>1</v>
      </c>
      <c r="S16" s="110" t="str">
        <f>IFERROR(_xll.qlRateHelperEarliestDate(M16,Trigger),"--")</f>
        <v>--</v>
      </c>
      <c r="T16" s="110" t="str">
        <f>IFERROR(_xll.qlRateHelperPillarDate(M16,Trigger),"--")</f>
        <v>--</v>
      </c>
      <c r="V16" s="4" t="str">
        <f t="shared" si="3"/>
        <v>BasSw</v>
      </c>
      <c r="W16" s="4" t="str">
        <v>obj_00290</v>
      </c>
      <c r="X16" s="4" t="str">
        <f>IFERROR(_xll.qlRateHelperQuoteName(W16,Trigger),"")</f>
        <v>USDAM3L9Y_Quote</v>
      </c>
      <c r="Y16" s="75">
        <f>IFERROR(_xll.qlRateHelperRate(W16,Trigger),"")</f>
        <v>1.6330000000000001E-2</v>
      </c>
      <c r="Z16" s="115">
        <f>IF(ISERROR(_xll.qlSwapRateHelperSpread($W16)),IF(ISERROR(_xll.qlFuturesRateHelperConvexityAdjustment($W16)),"",_xll.qlFuturesRateHelperConvexityAdjustment($W16)),_xll.qlSwapRateHelperSpread($W16))</f>
        <v>9.5999999999999992E-4</v>
      </c>
      <c r="AA16" s="5">
        <f>IFERROR(_xll.qlRateHelperEarliestDate(W16,Trigger),"")</f>
        <v>42450</v>
      </c>
      <c r="AB16" s="5">
        <f>IFERROR(_xll.qlRateHelperPillarDate(W16,Trigger),"")</f>
        <v>45737</v>
      </c>
      <c r="AC16" s="83">
        <v>0.86851624112719594</v>
      </c>
    </row>
    <row r="17" spans="1:29" ht="11.25" customHeight="1" x14ac:dyDescent="0.2">
      <c r="A17" s="63" t="s">
        <v>26</v>
      </c>
      <c r="B17" s="64" t="s">
        <v>58</v>
      </c>
      <c r="C17" s="65" t="s">
        <v>6</v>
      </c>
      <c r="D17" s="65" t="s">
        <v>8</v>
      </c>
      <c r="E17" s="65" t="s">
        <v>7</v>
      </c>
      <c r="F17" s="65" t="s">
        <v>28</v>
      </c>
      <c r="G17" s="65" t="str">
        <f t="shared" si="7"/>
        <v>UsdLibor1M</v>
      </c>
      <c r="H17" s="63" t="str">
        <f t="shared" si="8"/>
        <v>USD9X1S_Quote</v>
      </c>
      <c r="I17" s="140">
        <v>0</v>
      </c>
      <c r="J17" s="69" t="str">
        <f>_xll.qlSwapRateHelper2(,H17,,B17,JoinCalendar,USD1M!D17,USD1M!E17,USD1M!F17,USD1M!G17,USD1M!I17,USD1M!C17,Discounting,PillarDate,,Permanent,Trigger,ObjectOverwrite)</f>
        <v>obj_0028c#0311</v>
      </c>
      <c r="K17" s="52"/>
      <c r="L17" s="11" t="str">
        <f t="shared" si="5"/>
        <v>Sw</v>
      </c>
      <c r="M17" s="105" t="str">
        <f t="shared" si="6"/>
        <v>--</v>
      </c>
      <c r="N17" s="159" t="str">
        <f>IFERROR(_xll.qlRateHelperQuoteName(M17,Trigger),"--")</f>
        <v>--</v>
      </c>
      <c r="O17" s="109" t="str">
        <f>IFERROR(_xll.qlRateHelperQuoteValue($M17,Trigger),"--")</f>
        <v>--</v>
      </c>
      <c r="P17" s="108" t="b">
        <v>0</v>
      </c>
      <c r="Q17" s="105">
        <v>20</v>
      </c>
      <c r="R17" s="105">
        <v>1</v>
      </c>
      <c r="S17" s="110" t="str">
        <f>IFERROR(_xll.qlRateHelperEarliestDate(M17,Trigger),"--")</f>
        <v>--</v>
      </c>
      <c r="T17" s="110" t="str">
        <f>IFERROR(_xll.qlRateHelperPillarDate(M17,Trigger),"--")</f>
        <v>--</v>
      </c>
      <c r="V17" s="4" t="str">
        <f t="shared" si="3"/>
        <v>BasSw</v>
      </c>
      <c r="W17" s="4" t="str">
        <v>obj_00299</v>
      </c>
      <c r="X17" s="4" t="str">
        <f>IFERROR(_xll.qlRateHelperQuoteName(W17,Trigger),"")</f>
        <v>USDAM3L10Y_Quote</v>
      </c>
      <c r="Y17" s="75">
        <f>IFERROR(_xll.qlRateHelperRate(W17,Trigger),"")</f>
        <v>1.7000000000000001E-2</v>
      </c>
      <c r="Z17" s="115">
        <f>IF(ISERROR(_xll.qlSwapRateHelperSpread($W17)),IF(ISERROR(_xll.qlFuturesRateHelperConvexityAdjustment($W17)),"",_xll.qlFuturesRateHelperConvexityAdjustment($W17)),_xll.qlSwapRateHelperSpread($W17))</f>
        <v>9.1999999999999992E-4</v>
      </c>
      <c r="AA17" s="5">
        <f>IFERROR(_xll.qlRateHelperEarliestDate(W17,Trigger),"")</f>
        <v>42450</v>
      </c>
      <c r="AB17" s="5">
        <f>IFERROR(_xll.qlRateHelperPillarDate(W17,Trigger),"")</f>
        <v>46104</v>
      </c>
      <c r="AC17" s="83">
        <v>0.84859374771332396</v>
      </c>
    </row>
    <row r="18" spans="1:29" ht="11.25" customHeight="1" x14ac:dyDescent="0.2">
      <c r="A18" s="63" t="s">
        <v>26</v>
      </c>
      <c r="B18" s="64" t="s">
        <v>59</v>
      </c>
      <c r="C18" s="65" t="s">
        <v>6</v>
      </c>
      <c r="D18" s="65" t="s">
        <v>8</v>
      </c>
      <c r="E18" s="65" t="s">
        <v>7</v>
      </c>
      <c r="F18" s="65" t="s">
        <v>28</v>
      </c>
      <c r="G18" s="65" t="str">
        <f t="shared" si="7"/>
        <v>UsdLibor1M</v>
      </c>
      <c r="H18" s="63" t="str">
        <f t="shared" si="8"/>
        <v>USD10X1S_Quote</v>
      </c>
      <c r="I18" s="140">
        <v>0</v>
      </c>
      <c r="J18" s="69"/>
      <c r="K18" s="52"/>
      <c r="L18" s="12" t="str">
        <f t="shared" si="5"/>
        <v>Sw</v>
      </c>
      <c r="M18" s="106" t="str">
        <f t="shared" si="6"/>
        <v>obj_002ca#0311</v>
      </c>
      <c r="N18" s="160" t="str">
        <f>IFERROR(_xll.qlRateHelperQuoteName(M18,Trigger),"--")</f>
        <v>USD12X1S_Quote</v>
      </c>
      <c r="O18" s="112">
        <f>IFERROR(_xll.qlRateHelperQuoteValue($M18,Trigger),"--")</f>
        <v>5.9400000000000008E-3</v>
      </c>
      <c r="P18" s="173" t="b">
        <f>NOT(ISERROR(_xll.qlQuoteValue(N18)))</f>
        <v>1</v>
      </c>
      <c r="Q18" s="106">
        <v>20</v>
      </c>
      <c r="R18" s="106">
        <v>1</v>
      </c>
      <c r="S18" s="113">
        <f>IFERROR(_xll.qlRateHelperEarliestDate(M18,Trigger),"--")</f>
        <v>42450</v>
      </c>
      <c r="T18" s="113">
        <f>IFERROR(_xll.qlRateHelperPillarDate(M18,Trigger),"--")</f>
        <v>42815</v>
      </c>
      <c r="V18" s="4" t="str">
        <f t="shared" si="3"/>
        <v>BasSw</v>
      </c>
      <c r="W18" s="4" t="str">
        <v>obj_002f5</v>
      </c>
      <c r="X18" s="4" t="str">
        <f>IFERROR(_xll.qlRateHelperQuoteName(W18,Trigger),"")</f>
        <v>USDAM3L12Y_Quote</v>
      </c>
      <c r="Y18" s="75">
        <f>IFERROR(_xll.qlRateHelperRate(W18,Trigger),"")</f>
        <v>1.8149999999999999E-2</v>
      </c>
      <c r="Z18" s="115">
        <f>IF(ISERROR(_xll.qlSwapRateHelperSpread($W18)),IF(ISERROR(_xll.qlFuturesRateHelperConvexityAdjustment($W18)),"",_xll.qlFuturesRateHelperConvexityAdjustment($W18)),_xll.qlSwapRateHelperSpread($W18))</f>
        <v>8.9000000000000006E-4</v>
      </c>
      <c r="AA18" s="5">
        <f>IFERROR(_xll.qlRateHelperEarliestDate(W18,Trigger),"")</f>
        <v>42450</v>
      </c>
      <c r="AB18" s="5">
        <f>IFERROR(_xll.qlRateHelperPillarDate(W18,Trigger),"")</f>
        <v>46833</v>
      </c>
      <c r="AC18" s="83">
        <v>0.80900652883548729</v>
      </c>
    </row>
    <row r="19" spans="1:29" ht="11.25" customHeight="1" x14ac:dyDescent="0.2">
      <c r="A19" s="63" t="s">
        <v>26</v>
      </c>
      <c r="B19" s="64" t="s">
        <v>60</v>
      </c>
      <c r="C19" s="65" t="s">
        <v>6</v>
      </c>
      <c r="D19" s="65" t="s">
        <v>8</v>
      </c>
      <c r="E19" s="65" t="s">
        <v>7</v>
      </c>
      <c r="F19" s="65" t="s">
        <v>28</v>
      </c>
      <c r="G19" s="65" t="str">
        <f t="shared" si="7"/>
        <v>UsdLibor1M</v>
      </c>
      <c r="H19" s="63" t="str">
        <f t="shared" si="8"/>
        <v>USD11X1S_Quote</v>
      </c>
      <c r="I19" s="140">
        <v>0</v>
      </c>
      <c r="J19" s="69"/>
      <c r="K19" s="52"/>
      <c r="L19" s="73" t="str">
        <f>A23</f>
        <v>BasSw</v>
      </c>
      <c r="M19" s="144" t="str">
        <f>IF(ISBLANK(J23),"--",J23)</f>
        <v>--</v>
      </c>
      <c r="N19" s="158" t="str">
        <f>IFERROR(_xll.qlRateHelperQuoteName(M19,Trigger),"--")</f>
        <v>--</v>
      </c>
      <c r="O19" s="146" t="str">
        <f>IFERROR(_xll.qlRateHelperQuoteValue($M19,Trigger),"--")</f>
        <v>--</v>
      </c>
      <c r="P19" s="145" t="b">
        <v>0</v>
      </c>
      <c r="Q19" s="144">
        <v>20</v>
      </c>
      <c r="R19" s="144">
        <v>1</v>
      </c>
      <c r="S19" s="147" t="str">
        <f>IFERROR(_xll.qlRateHelperEarliestDate(M19,Trigger),"--")</f>
        <v>--</v>
      </c>
      <c r="T19" s="147" t="str">
        <f>IFERROR(_xll.qlRateHelperPillarDate(M19,Trigger),"--")</f>
        <v>--</v>
      </c>
      <c r="V19" s="4" t="str">
        <f t="shared" si="3"/>
        <v>BasSw</v>
      </c>
      <c r="W19" s="4" t="str">
        <v>obj_002cf</v>
      </c>
      <c r="X19" s="4" t="str">
        <f>IFERROR(_xll.qlRateHelperQuoteName(W19,Trigger),"")</f>
        <v>USDAM3L15Y_Quote</v>
      </c>
      <c r="Y19" s="75">
        <f>IFERROR(_xll.qlRateHelperRate(W19,Trigger),"")</f>
        <v>1.9349999999999999E-2</v>
      </c>
      <c r="Z19" s="115">
        <f>IF(ISERROR(_xll.qlSwapRateHelperSpread($W19)),IF(ISERROR(_xll.qlFuturesRateHelperConvexityAdjustment($W19)),"",_xll.qlFuturesRateHelperConvexityAdjustment($W19)),_xll.qlSwapRateHelperSpread($W19))</f>
        <v>9.3000000000000005E-4</v>
      </c>
      <c r="AA19" s="5">
        <f>IFERROR(_xll.qlRateHelperEarliestDate(W19,Trigger),"")</f>
        <v>42450</v>
      </c>
      <c r="AB19" s="5">
        <f>IFERROR(_xll.qlRateHelperPillarDate(W19,Trigger),"")</f>
        <v>47928</v>
      </c>
      <c r="AC19" s="83">
        <v>0.75316023839643664</v>
      </c>
    </row>
    <row r="20" spans="1:29" ht="11.25" customHeight="1" x14ac:dyDescent="0.2">
      <c r="A20" s="1" t="s">
        <v>26</v>
      </c>
      <c r="B20" s="9" t="s">
        <v>157</v>
      </c>
      <c r="C20" s="7" t="s">
        <v>6</v>
      </c>
      <c r="D20" s="7" t="s">
        <v>8</v>
      </c>
      <c r="E20" s="7" t="s">
        <v>7</v>
      </c>
      <c r="F20" s="7" t="s">
        <v>28</v>
      </c>
      <c r="G20" s="7" t="str">
        <f t="shared" si="7"/>
        <v>UsdLibor1M</v>
      </c>
      <c r="H20" s="1" t="str">
        <f t="shared" si="8"/>
        <v>USD12X1S_Quote</v>
      </c>
      <c r="I20" s="143">
        <v>0</v>
      </c>
      <c r="J20" s="3" t="str">
        <f>_xll.qlSwapRateHelper2(,H20,,B20,JoinCalendar,USD1M!D20,USD1M!E20,USD1M!F20,USD1M!G20,USD1M!I20,USD1M!C20,Discounting,PillarDate,,Permanent,Trigger,ObjectOverwrite)</f>
        <v>obj_002ca#0311</v>
      </c>
      <c r="K20" s="52"/>
      <c r="L20" s="11" t="str">
        <f t="shared" ref="L20:L55" si="9">A24</f>
        <v>BasSw</v>
      </c>
      <c r="M20" s="105" t="str">
        <f t="shared" ref="M20:M55" si="10">IF(ISBLANK(J24),"--",J24)</f>
        <v>--</v>
      </c>
      <c r="N20" s="159" t="str">
        <f>IFERROR(_xll.qlRateHelperQuoteName(M20,Trigger),"--")</f>
        <v>--</v>
      </c>
      <c r="O20" s="109" t="str">
        <f>IFERROR(_xll.qlRateHelperQuoteValue($M20,Trigger),"--")</f>
        <v>--</v>
      </c>
      <c r="P20" s="108" t="b">
        <v>0</v>
      </c>
      <c r="Q20" s="105">
        <v>20</v>
      </c>
      <c r="R20" s="105">
        <v>1</v>
      </c>
      <c r="S20" s="110" t="str">
        <f>IFERROR(_xll.qlRateHelperEarliestDate(M20,Trigger),"--")</f>
        <v>--</v>
      </c>
      <c r="T20" s="110" t="str">
        <f>IFERROR(_xll.qlRateHelperPillarDate(M20,Trigger),"--")</f>
        <v>--</v>
      </c>
      <c r="V20" s="4" t="str">
        <f t="shared" si="3"/>
        <v>BasSw</v>
      </c>
      <c r="W20" s="4" t="str">
        <v>obj_002e1</v>
      </c>
      <c r="X20" s="4" t="str">
        <f>IFERROR(_xll.qlRateHelperQuoteName(W20,Trigger),"")</f>
        <v>USDAM3L20Y_Quote</v>
      </c>
      <c r="Y20" s="75">
        <f>IFERROR(_xll.qlRateHelperRate(W20,Trigger),"")</f>
        <v>2.0550000000000002E-2</v>
      </c>
      <c r="Z20" s="115">
        <f>IF(ISERROR(_xll.qlSwapRateHelperSpread($W20)),IF(ISERROR(_xll.qlFuturesRateHelperConvexityAdjustment($W20)),"",_xll.qlFuturesRateHelperConvexityAdjustment($W20)),_xll.qlSwapRateHelperSpread($W20))</f>
        <v>1.0400000000000001E-3</v>
      </c>
      <c r="AA20" s="5">
        <f>IFERROR(_xll.qlRateHelperEarliestDate(W20,Trigger),"")</f>
        <v>42450</v>
      </c>
      <c r="AB20" s="5">
        <f>IFERROR(_xll.qlRateHelperPillarDate(W20,Trigger),"")</f>
        <v>49755</v>
      </c>
      <c r="AC20" s="83">
        <v>0.66937947239680273</v>
      </c>
    </row>
    <row r="21" spans="1:29" ht="11.25" customHeight="1" x14ac:dyDescent="0.2">
      <c r="F21" s="54" t="s">
        <v>150</v>
      </c>
      <c r="G21" s="54" t="s">
        <v>149</v>
      </c>
      <c r="H21" s="54" t="s">
        <v>159</v>
      </c>
      <c r="K21" s="52"/>
      <c r="L21" s="11" t="str">
        <f t="shared" si="9"/>
        <v>BasSw</v>
      </c>
      <c r="M21" s="105" t="str">
        <f t="shared" si="10"/>
        <v>--</v>
      </c>
      <c r="N21" s="159" t="str">
        <f>IFERROR(_xll.qlRateHelperQuoteName(M21,Trigger),"--")</f>
        <v>--</v>
      </c>
      <c r="O21" s="109" t="str">
        <f>IFERROR(_xll.qlRateHelperQuoteValue($M21,Trigger),"--")</f>
        <v>--</v>
      </c>
      <c r="P21" s="108" t="b">
        <v>0</v>
      </c>
      <c r="Q21" s="105">
        <v>20</v>
      </c>
      <c r="R21" s="105">
        <v>1</v>
      </c>
      <c r="S21" s="110" t="str">
        <f>IFERROR(_xll.qlRateHelperEarliestDate(M21,Trigger),"--")</f>
        <v>--</v>
      </c>
      <c r="T21" s="110" t="str">
        <f>IFERROR(_xll.qlRateHelperPillarDate(M21,Trigger),"--")</f>
        <v>--</v>
      </c>
      <c r="V21" s="4" t="str">
        <f t="shared" si="3"/>
        <v>BasSw</v>
      </c>
      <c r="W21" s="4" t="str">
        <v>obj_00297</v>
      </c>
      <c r="X21" s="4" t="str">
        <f>IFERROR(_xll.qlRateHelperQuoteName(W21,Trigger),"")</f>
        <v>USDAM3L25Y_Quote</v>
      </c>
      <c r="Y21" s="75">
        <f>IFERROR(_xll.qlRateHelperRate(W21,Trigger),"")</f>
        <v>2.1129999999999999E-2</v>
      </c>
      <c r="Z21" s="115">
        <f>IF(ISERROR(_xll.qlSwapRateHelperSpread($W21)),IF(ISERROR(_xll.qlFuturesRateHelperConvexityAdjustment($W21)),"",_xll.qlFuturesRateHelperConvexityAdjustment($W21)),_xll.qlSwapRateHelperSpread($W21))</f>
        <v>1.14E-3</v>
      </c>
      <c r="AA21" s="5">
        <f>IFERROR(_xll.qlRateHelperEarliestDate(W21,Trigger),"")</f>
        <v>42450</v>
      </c>
      <c r="AB21" s="5">
        <f>IFERROR(_xll.qlRateHelperPillarDate(W21,Trigger),"")</f>
        <v>51581</v>
      </c>
      <c r="AC21" s="83">
        <v>0.59801248712470778</v>
      </c>
    </row>
    <row r="22" spans="1:29" ht="11.25" customHeight="1" x14ac:dyDescent="0.2">
      <c r="A22" s="70" t="s">
        <v>9</v>
      </c>
      <c r="B22" s="70" t="s">
        <v>30</v>
      </c>
      <c r="C22" s="70" t="s">
        <v>151</v>
      </c>
      <c r="D22" s="70" t="s">
        <v>5</v>
      </c>
      <c r="E22" s="70" t="s">
        <v>35</v>
      </c>
      <c r="F22" s="70" t="s">
        <v>152</v>
      </c>
      <c r="G22" s="70" t="s">
        <v>4</v>
      </c>
      <c r="H22" s="70" t="s">
        <v>1</v>
      </c>
      <c r="I22" s="70" t="s">
        <v>148</v>
      </c>
      <c r="J22" s="70" t="s">
        <v>25</v>
      </c>
      <c r="K22" s="52"/>
      <c r="L22" s="11" t="str">
        <f t="shared" si="9"/>
        <v>BasSw</v>
      </c>
      <c r="M22" s="105" t="str">
        <f t="shared" si="10"/>
        <v>--</v>
      </c>
      <c r="N22" s="159" t="str">
        <f>IFERROR(_xll.qlRateHelperQuoteName(M22,Trigger),"--")</f>
        <v>--</v>
      </c>
      <c r="O22" s="109" t="str">
        <f>IFERROR(_xll.qlRateHelperQuoteValue($M22,Trigger),"--")</f>
        <v>--</v>
      </c>
      <c r="P22" s="108" t="b">
        <v>0</v>
      </c>
      <c r="Q22" s="105">
        <v>20</v>
      </c>
      <c r="R22" s="105">
        <v>1</v>
      </c>
      <c r="S22" s="110" t="str">
        <f>IFERROR(_xll.qlRateHelperEarliestDate(M22,Trigger),"--")</f>
        <v>--</v>
      </c>
      <c r="T22" s="110" t="str">
        <f>IFERROR(_xll.qlRateHelperPillarDate(M22,Trigger),"--")</f>
        <v>--</v>
      </c>
      <c r="V22" s="4" t="str">
        <f t="shared" si="3"/>
        <v>BasSw</v>
      </c>
      <c r="W22" s="4" t="str">
        <v>obj_00285</v>
      </c>
      <c r="X22" s="4" t="str">
        <f>IFERROR(_xll.qlRateHelperQuoteName(W22,Trigger),"")</f>
        <v>USDAM3L30Y_Quote</v>
      </c>
      <c r="Y22" s="75">
        <f>IFERROR(_xll.qlRateHelperRate(W22,Trigger),"")</f>
        <v>2.1480000000000003E-2</v>
      </c>
      <c r="Z22" s="115">
        <f>IF(ISERROR(_xll.qlSwapRateHelperSpread($W22)),IF(ISERROR(_xll.qlFuturesRateHelperConvexityAdjustment($W22)),"",_xll.qlFuturesRateHelperConvexityAdjustment($W22)),_xll.qlSwapRateHelperSpread($W22))</f>
        <v>1.1900000000000001E-3</v>
      </c>
      <c r="AA22" s="5">
        <f>IFERROR(_xll.qlRateHelperEarliestDate(W22,Trigger),"")</f>
        <v>42450</v>
      </c>
      <c r="AB22" s="5">
        <f>IFERROR(_xll.qlRateHelperPillarDate(W22,Trigger),"")</f>
        <v>53407</v>
      </c>
      <c r="AC22" s="83">
        <v>0.53459231746544622</v>
      </c>
    </row>
    <row r="23" spans="1:29" ht="11.25" customHeight="1" x14ac:dyDescent="0.2">
      <c r="A23" s="63" t="s">
        <v>160</v>
      </c>
      <c r="B23" s="64" t="s">
        <v>29</v>
      </c>
      <c r="C23" s="65" t="s">
        <v>6</v>
      </c>
      <c r="D23" s="65" t="s">
        <v>8</v>
      </c>
      <c r="E23" s="65" t="s">
        <v>7</v>
      </c>
      <c r="F23" s="65" t="s">
        <v>28</v>
      </c>
      <c r="G23" s="65" t="str">
        <f t="shared" ref="G23:G59" si="11">PROPER(Currency)&amp;FamilyName&amp;Tenor</f>
        <v>UsdLibor1M</v>
      </c>
      <c r="H23" s="63" t="str">
        <f t="shared" ref="H23:H59" si="12">Currency&amp;$G$21&amp;$F$21&amp;$B23&amp;QuoteSuffix</f>
        <v>USDAM3L1Y_Quote</v>
      </c>
      <c r="I23" s="170" t="str">
        <f t="shared" ref="I23:I59" si="13">Currency&amp;$F$21&amp;$H$21&amp;$B23&amp;QuoteSuffix</f>
        <v>USD3L1L1Y_Quote</v>
      </c>
      <c r="J23" s="69"/>
      <c r="K23" s="52"/>
      <c r="L23" s="11" t="str">
        <f t="shared" si="9"/>
        <v>BasSw</v>
      </c>
      <c r="M23" s="105" t="str">
        <f t="shared" si="10"/>
        <v>obj_002e0#0311</v>
      </c>
      <c r="N23" s="159" t="str">
        <f>IFERROR(_xll.qlRateHelperQuoteName(M23,Trigger),"--")</f>
        <v>USDAM3L2Y_Quote</v>
      </c>
      <c r="O23" s="109">
        <f>IFERROR(_xll.qlRateHelperQuoteValue($M23,Trigger),"--")</f>
        <v>9.0200000000000002E-3</v>
      </c>
      <c r="P23" s="108" t="b">
        <v>1</v>
      </c>
      <c r="Q23" s="105">
        <v>20</v>
      </c>
      <c r="R23" s="105">
        <v>1</v>
      </c>
      <c r="S23" s="110">
        <f>IFERROR(_xll.qlRateHelperEarliestDate(M23,Trigger),"--")</f>
        <v>42450</v>
      </c>
      <c r="T23" s="110">
        <f>IFERROR(_xll.qlRateHelperPillarDate(M23,Trigger),"--")</f>
        <v>43180</v>
      </c>
      <c r="V23" s="4" t="str">
        <f t="shared" si="3"/>
        <v>BasSw</v>
      </c>
      <c r="W23" s="4" t="str">
        <v>obj_0027a</v>
      </c>
      <c r="X23" s="4" t="str">
        <f>IFERROR(_xll.qlRateHelperQuoteName(W23,Trigger),"")</f>
        <v>USDAM3L40Y_Quote</v>
      </c>
      <c r="Y23" s="75">
        <f>IFERROR(_xll.qlRateHelperRate(W23,Trigger),"")</f>
        <v>2.1690000000000001E-2</v>
      </c>
      <c r="Z23" s="115">
        <f>IF(ISERROR(_xll.qlSwapRateHelperSpread($W23)),IF(ISERROR(_xll.qlFuturesRateHelperConvexityAdjustment($W23)),"",_xll.qlFuturesRateHelperConvexityAdjustment($W23)),_xll.qlSwapRateHelperSpread($W23))</f>
        <v>1.1900000000000001E-3</v>
      </c>
      <c r="AA23" s="5">
        <f>IFERROR(_xll.qlRateHelperEarliestDate(W23,Trigger),"")</f>
        <v>42450</v>
      </c>
      <c r="AB23" s="5">
        <f>IFERROR(_xll.qlRateHelperPillarDate(W23,Trigger),"")</f>
        <v>57060</v>
      </c>
      <c r="AC23" s="83">
        <v>0.43108567853022911</v>
      </c>
    </row>
    <row r="24" spans="1:29" ht="11.25" customHeight="1" x14ac:dyDescent="0.2">
      <c r="A24" s="63" t="s">
        <v>160</v>
      </c>
      <c r="B24" s="64" t="s">
        <v>63</v>
      </c>
      <c r="C24" s="65" t="s">
        <v>6</v>
      </c>
      <c r="D24" s="65" t="s">
        <v>8</v>
      </c>
      <c r="E24" s="65" t="s">
        <v>7</v>
      </c>
      <c r="F24" s="65" t="s">
        <v>28</v>
      </c>
      <c r="G24" s="65" t="str">
        <f t="shared" si="11"/>
        <v>UsdLibor1M</v>
      </c>
      <c r="H24" s="63" t="str">
        <f t="shared" si="12"/>
        <v>USDAM3L15M_Quote</v>
      </c>
      <c r="I24" s="170" t="str">
        <f t="shared" si="13"/>
        <v>USD3L1L15M_Quote</v>
      </c>
      <c r="J24" s="69"/>
      <c r="K24" s="52"/>
      <c r="L24" s="11" t="str">
        <f t="shared" si="9"/>
        <v>BasSw</v>
      </c>
      <c r="M24" s="105" t="str">
        <f t="shared" si="10"/>
        <v>obj_002b9#0311</v>
      </c>
      <c r="N24" s="159" t="str">
        <f>IFERROR(_xll.qlRateHelperQuoteName(M24,Trigger),"--")</f>
        <v>USDAM3L3Y_Quote</v>
      </c>
      <c r="O24" s="109">
        <f>IFERROR(_xll.qlRateHelperQuoteValue($M24,Trigger),"--")</f>
        <v>1.0369999999999999E-2</v>
      </c>
      <c r="P24" s="108" t="b">
        <v>1</v>
      </c>
      <c r="Q24" s="105">
        <v>20</v>
      </c>
      <c r="R24" s="105">
        <v>1</v>
      </c>
      <c r="S24" s="110">
        <f>IFERROR(_xll.qlRateHelperEarliestDate(M24,Trigger),"--")</f>
        <v>42450</v>
      </c>
      <c r="T24" s="110">
        <f>IFERROR(_xll.qlRateHelperPillarDate(M24,Trigger),"--")</f>
        <v>43545</v>
      </c>
      <c r="V24" s="4" t="str">
        <f t="shared" si="3"/>
        <v>BasSw</v>
      </c>
      <c r="W24" s="4" t="str">
        <v>obj_002e2</v>
      </c>
      <c r="X24" s="4" t="str">
        <f>IFERROR(_xll.qlRateHelperQuoteName(W24,Trigger),"")</f>
        <v>USDAM3L50Y_Quote</v>
      </c>
      <c r="Y24" s="75">
        <f>IFERROR(_xll.qlRateHelperRate(W24,Trigger),"")</f>
        <v>2.1530000000000001E-2</v>
      </c>
      <c r="Z24" s="115">
        <f>IF(ISERROR(_xll.qlSwapRateHelperSpread($W24)),IF(ISERROR(_xll.qlFuturesRateHelperConvexityAdjustment($W24)),"",_xll.qlFuturesRateHelperConvexityAdjustment($W24)),_xll.qlSwapRateHelperSpread($W24))</f>
        <v>1.1900000000000001E-3</v>
      </c>
      <c r="AA24" s="5">
        <f>IFERROR(_xll.qlRateHelperEarliestDate(W24,Trigger),"")</f>
        <v>42450</v>
      </c>
      <c r="AB24" s="5">
        <f>IFERROR(_xll.qlRateHelperPillarDate(W24,Trigger),"")</f>
        <v>60713</v>
      </c>
      <c r="AC24" s="83">
        <v>0.35520029140572601</v>
      </c>
    </row>
    <row r="25" spans="1:29" ht="11.25" customHeight="1" x14ac:dyDescent="0.2">
      <c r="A25" s="63" t="s">
        <v>160</v>
      </c>
      <c r="B25" s="64" t="s">
        <v>66</v>
      </c>
      <c r="C25" s="65" t="s">
        <v>6</v>
      </c>
      <c r="D25" s="65" t="s">
        <v>8</v>
      </c>
      <c r="E25" s="65" t="s">
        <v>7</v>
      </c>
      <c r="F25" s="65" t="s">
        <v>28</v>
      </c>
      <c r="G25" s="65" t="str">
        <f t="shared" si="11"/>
        <v>UsdLibor1M</v>
      </c>
      <c r="H25" s="63" t="str">
        <f t="shared" si="12"/>
        <v>USDAM3L18M_Quote</v>
      </c>
      <c r="I25" s="170" t="str">
        <f t="shared" si="13"/>
        <v>USD3L1L18M_Quote</v>
      </c>
      <c r="J25" s="69"/>
      <c r="K25" s="52"/>
      <c r="L25" s="11" t="str">
        <f t="shared" si="9"/>
        <v>BasSw</v>
      </c>
      <c r="M25" s="105" t="str">
        <f t="shared" si="10"/>
        <v>obj_002ae#0311</v>
      </c>
      <c r="N25" s="159" t="str">
        <f>IFERROR(_xll.qlRateHelperQuoteName(M25,Trigger),"--")</f>
        <v>USDAM3L4Y_Quote</v>
      </c>
      <c r="O25" s="109">
        <f>IFERROR(_xll.qlRateHelperQuoteValue($M25,Trigger),"--")</f>
        <v>1.1599999999999999E-2</v>
      </c>
      <c r="P25" s="108" t="b">
        <v>1</v>
      </c>
      <c r="Q25" s="105">
        <v>20</v>
      </c>
      <c r="R25" s="105">
        <v>1</v>
      </c>
      <c r="S25" s="110">
        <f>IFERROR(_xll.qlRateHelperEarliestDate(M25,Trigger),"--")</f>
        <v>42450</v>
      </c>
      <c r="T25" s="110">
        <f>IFERROR(_xll.qlRateHelperPillarDate(M25,Trigger),"--")</f>
        <v>43913</v>
      </c>
      <c r="V25" s="4" t="str">
        <f t="shared" si="3"/>
        <v/>
      </c>
      <c r="W25" s="4" t="e">
        <v>#N/A</v>
      </c>
      <c r="X25" s="4" t="str">
        <f>IFERROR(_xll.qlRateHelperQuoteName(W25,Trigger),"")</f>
        <v/>
      </c>
      <c r="Y25" s="75" t="str">
        <f>IFERROR(_xll.qlRateHelperRate(W25,Trigger),"")</f>
        <v/>
      </c>
      <c r="Z25" s="115" t="str">
        <f>IF(ISERROR(_xll.qlSwapRateHelperSpread($W25)),IF(ISERROR(_xll.qlFuturesRateHelperConvexityAdjustment($W25)),"",_xll.qlFuturesRateHelperConvexityAdjustment($W25)),_xll.qlSwapRateHelperSpread($W25))</f>
        <v/>
      </c>
      <c r="AA25" s="5" t="str">
        <f>IFERROR(_xll.qlRateHelperEarliestDate(W25,Trigger),"")</f>
        <v/>
      </c>
      <c r="AB25" s="5" t="str">
        <f>IFERROR(_xll.qlRateHelperPillarDate(W25,Trigger),"")</f>
        <v/>
      </c>
      <c r="AC25" s="83" t="e">
        <v>#N/A</v>
      </c>
    </row>
    <row r="26" spans="1:29" ht="11.25" customHeight="1" x14ac:dyDescent="0.2">
      <c r="A26" s="63" t="s">
        <v>160</v>
      </c>
      <c r="B26" s="64" t="s">
        <v>69</v>
      </c>
      <c r="C26" s="65" t="s">
        <v>6</v>
      </c>
      <c r="D26" s="65" t="s">
        <v>8</v>
      </c>
      <c r="E26" s="65" t="s">
        <v>7</v>
      </c>
      <c r="F26" s="65" t="s">
        <v>28</v>
      </c>
      <c r="G26" s="65" t="str">
        <f t="shared" si="11"/>
        <v>UsdLibor1M</v>
      </c>
      <c r="H26" s="63" t="str">
        <f t="shared" si="12"/>
        <v>USDAM3L21M_Quote</v>
      </c>
      <c r="I26" s="170" t="str">
        <f t="shared" si="13"/>
        <v>USD3L1L21M_Quote</v>
      </c>
      <c r="J26" s="69"/>
      <c r="K26" s="52"/>
      <c r="L26" s="11" t="str">
        <f t="shared" si="9"/>
        <v>BasSw</v>
      </c>
      <c r="M26" s="105" t="str">
        <f t="shared" si="10"/>
        <v>obj_002f6#0311</v>
      </c>
      <c r="N26" s="159" t="str">
        <f>IFERROR(_xll.qlRateHelperQuoteName(M26,Trigger),"--")</f>
        <v>USDAM3L5Y_Quote</v>
      </c>
      <c r="O26" s="109">
        <f>IFERROR(_xll.qlRateHelperQuoteValue($M26,Trigger),"--")</f>
        <v>1.272E-2</v>
      </c>
      <c r="P26" s="108" t="b">
        <v>1</v>
      </c>
      <c r="Q26" s="105">
        <v>20</v>
      </c>
      <c r="R26" s="105">
        <v>1</v>
      </c>
      <c r="S26" s="110">
        <f>IFERROR(_xll.qlRateHelperEarliestDate(M26,Trigger),"--")</f>
        <v>42450</v>
      </c>
      <c r="T26" s="110">
        <f>IFERROR(_xll.qlRateHelperPillarDate(M26,Trigger),"--")</f>
        <v>44277</v>
      </c>
      <c r="V26" s="4" t="str">
        <f t="shared" si="3"/>
        <v/>
      </c>
      <c r="W26" s="4" t="e">
        <v>#N/A</v>
      </c>
      <c r="X26" s="4" t="str">
        <f>IFERROR(_xll.qlRateHelperQuoteName(W26,Trigger),"")</f>
        <v/>
      </c>
      <c r="Y26" s="75" t="str">
        <f>IFERROR(_xll.qlRateHelperRate(W26,Trigger),"")</f>
        <v/>
      </c>
      <c r="Z26" s="115" t="str">
        <f>IF(ISERROR(_xll.qlSwapRateHelperSpread($W26)),IF(ISERROR(_xll.qlFuturesRateHelperConvexityAdjustment($W26)),"",_xll.qlFuturesRateHelperConvexityAdjustment($W26)),_xll.qlSwapRateHelperSpread($W26))</f>
        <v/>
      </c>
      <c r="AA26" s="5" t="str">
        <f>IFERROR(_xll.qlRateHelperEarliestDate(W26,Trigger),"")</f>
        <v/>
      </c>
      <c r="AB26" s="5" t="str">
        <f>IFERROR(_xll.qlRateHelperPillarDate(W26,Trigger),"")</f>
        <v/>
      </c>
      <c r="AC26" s="83" t="e">
        <v>#N/A</v>
      </c>
    </row>
    <row r="27" spans="1:29" ht="11.25" customHeight="1" x14ac:dyDescent="0.2">
      <c r="A27" s="63" t="s">
        <v>160</v>
      </c>
      <c r="B27" s="64" t="s">
        <v>72</v>
      </c>
      <c r="C27" s="65" t="s">
        <v>6</v>
      </c>
      <c r="D27" s="65" t="s">
        <v>8</v>
      </c>
      <c r="E27" s="65" t="s">
        <v>7</v>
      </c>
      <c r="F27" s="65" t="s">
        <v>28</v>
      </c>
      <c r="G27" s="65" t="str">
        <f t="shared" si="11"/>
        <v>UsdLibor1M</v>
      </c>
      <c r="H27" s="63" t="str">
        <f t="shared" si="12"/>
        <v>USDAM3L2Y_Quote</v>
      </c>
      <c r="I27" s="170" t="str">
        <f t="shared" si="13"/>
        <v>USD3L1L2Y_Quote</v>
      </c>
      <c r="J27" s="69" t="str">
        <f>_xll.qlSwapRateHelper2(,H27,,B27,JoinCalendar,USD1M!D27,USD1M!E27,USD1M!F27,USD1M!G27,USD1M!I27,USD1M!C27,Discounting,PillarDate,,Permanent,Trigger,ObjectOverwrite)</f>
        <v>obj_002e0#0311</v>
      </c>
      <c r="K27" s="52"/>
      <c r="L27" s="11" t="str">
        <f t="shared" si="9"/>
        <v>BasSw</v>
      </c>
      <c r="M27" s="105" t="str">
        <f t="shared" si="10"/>
        <v>obj_002ab#0311</v>
      </c>
      <c r="N27" s="159" t="str">
        <f>IFERROR(_xll.qlRateHelperQuoteName(M27,Trigger),"--")</f>
        <v>USDAM3L6Y_Quote</v>
      </c>
      <c r="O27" s="109">
        <f>IFERROR(_xll.qlRateHelperQuoteValue($M27,Trigger),"--")</f>
        <v>1.3780000000000001E-2</v>
      </c>
      <c r="P27" s="108" t="b">
        <v>1</v>
      </c>
      <c r="Q27" s="105">
        <v>20</v>
      </c>
      <c r="R27" s="105">
        <v>1</v>
      </c>
      <c r="S27" s="110">
        <f>IFERROR(_xll.qlRateHelperEarliestDate(M27,Trigger),"--")</f>
        <v>42450</v>
      </c>
      <c r="T27" s="110">
        <f>IFERROR(_xll.qlRateHelperPillarDate(M27,Trigger),"--")</f>
        <v>44641</v>
      </c>
      <c r="V27" s="4" t="str">
        <f t="shared" si="3"/>
        <v/>
      </c>
      <c r="W27" s="4" t="e">
        <v>#N/A</v>
      </c>
      <c r="X27" s="4" t="str">
        <f>IFERROR(_xll.qlRateHelperQuoteName(W27,Trigger),"")</f>
        <v/>
      </c>
      <c r="Y27" s="75" t="str">
        <f>IFERROR(_xll.qlRateHelperRate(W27,Trigger),"")</f>
        <v/>
      </c>
      <c r="Z27" s="115" t="str">
        <f>IF(ISERROR(_xll.qlSwapRateHelperSpread($W27)),IF(ISERROR(_xll.qlFuturesRateHelperConvexityAdjustment($W27)),"",_xll.qlFuturesRateHelperConvexityAdjustment($W27)),_xll.qlSwapRateHelperSpread($W27))</f>
        <v/>
      </c>
      <c r="AA27" s="5" t="str">
        <f>IFERROR(_xll.qlRateHelperEarliestDate(W27,Trigger),"")</f>
        <v/>
      </c>
      <c r="AB27" s="5" t="str">
        <f>IFERROR(_xll.qlRateHelperPillarDate(W27,Trigger),"")</f>
        <v/>
      </c>
      <c r="AC27" s="83" t="e">
        <v>#N/A</v>
      </c>
    </row>
    <row r="28" spans="1:29" ht="11.25" customHeight="1" x14ac:dyDescent="0.2">
      <c r="A28" s="63" t="s">
        <v>160</v>
      </c>
      <c r="B28" s="64" t="s">
        <v>76</v>
      </c>
      <c r="C28" s="65" t="s">
        <v>6</v>
      </c>
      <c r="D28" s="65" t="s">
        <v>8</v>
      </c>
      <c r="E28" s="65" t="s">
        <v>7</v>
      </c>
      <c r="F28" s="65" t="s">
        <v>28</v>
      </c>
      <c r="G28" s="65" t="str">
        <f t="shared" si="11"/>
        <v>UsdLibor1M</v>
      </c>
      <c r="H28" s="63" t="str">
        <f t="shared" si="12"/>
        <v>USDAM3L3Y_Quote</v>
      </c>
      <c r="I28" s="170" t="str">
        <f t="shared" si="13"/>
        <v>USD3L1L3Y_Quote</v>
      </c>
      <c r="J28" s="69" t="str">
        <f>_xll.qlSwapRateHelper2(,H28,,B28,JoinCalendar,USD1M!D28,USD1M!E28,USD1M!F28,USD1M!G28,USD1M!I28,USD1M!C28,Discounting,PillarDate,,Permanent,Trigger,ObjectOverwrite)</f>
        <v>obj_002b9#0311</v>
      </c>
      <c r="K28" s="52"/>
      <c r="L28" s="11" t="str">
        <f t="shared" si="9"/>
        <v>BasSw</v>
      </c>
      <c r="M28" s="105" t="str">
        <f t="shared" si="10"/>
        <v>obj_0027f#0312</v>
      </c>
      <c r="N28" s="159" t="str">
        <f>IFERROR(_xll.qlRateHelperQuoteName(M28,Trigger),"--")</f>
        <v>USDAM3L7Y_Quote</v>
      </c>
      <c r="O28" s="109">
        <f>IFERROR(_xll.qlRateHelperQuoteValue($M28,Trigger),"--")</f>
        <v>1.474E-2</v>
      </c>
      <c r="P28" s="108" t="b">
        <v>1</v>
      </c>
      <c r="Q28" s="105">
        <v>20</v>
      </c>
      <c r="R28" s="105">
        <v>1</v>
      </c>
      <c r="S28" s="110">
        <f>IFERROR(_xll.qlRateHelperEarliestDate(M28,Trigger),"--")</f>
        <v>42450</v>
      </c>
      <c r="T28" s="110">
        <f>IFERROR(_xll.qlRateHelperPillarDate(M28,Trigger),"--")</f>
        <v>45006</v>
      </c>
      <c r="V28" s="4" t="str">
        <f t="shared" si="3"/>
        <v/>
      </c>
      <c r="W28" s="4" t="e">
        <v>#N/A</v>
      </c>
      <c r="X28" s="4" t="str">
        <f>IFERROR(_xll.qlRateHelperQuoteName(W28,Trigger),"")</f>
        <v/>
      </c>
      <c r="Y28" s="75" t="str">
        <f>IFERROR(_xll.qlRateHelperRate(W28,Trigger),"")</f>
        <v/>
      </c>
      <c r="Z28" s="115" t="str">
        <f>IF(ISERROR(_xll.qlSwapRateHelperSpread($W28)),IF(ISERROR(_xll.qlFuturesRateHelperConvexityAdjustment($W28)),"",_xll.qlFuturesRateHelperConvexityAdjustment($W28)),_xll.qlSwapRateHelperSpread($W28))</f>
        <v/>
      </c>
      <c r="AA28" s="5" t="str">
        <f>IFERROR(_xll.qlRateHelperEarliestDate(W28,Trigger),"")</f>
        <v/>
      </c>
      <c r="AB28" s="5" t="str">
        <f>IFERROR(_xll.qlRateHelperPillarDate(W28,Trigger),"")</f>
        <v/>
      </c>
      <c r="AC28" s="83" t="e">
        <v>#N/A</v>
      </c>
    </row>
    <row r="29" spans="1:29" ht="11.25" customHeight="1" x14ac:dyDescent="0.2">
      <c r="A29" s="63" t="s">
        <v>160</v>
      </c>
      <c r="B29" s="64" t="s">
        <v>80</v>
      </c>
      <c r="C29" s="65" t="s">
        <v>6</v>
      </c>
      <c r="D29" s="65" t="s">
        <v>8</v>
      </c>
      <c r="E29" s="65" t="s">
        <v>7</v>
      </c>
      <c r="F29" s="65" t="s">
        <v>28</v>
      </c>
      <c r="G29" s="65" t="str">
        <f t="shared" si="11"/>
        <v>UsdLibor1M</v>
      </c>
      <c r="H29" s="63" t="str">
        <f t="shared" si="12"/>
        <v>USDAM3L4Y_Quote</v>
      </c>
      <c r="I29" s="170" t="str">
        <f t="shared" si="13"/>
        <v>USD3L1L4Y_Quote</v>
      </c>
      <c r="J29" s="69" t="str">
        <f>_xll.qlSwapRateHelper2(,H29,,B29,JoinCalendar,USD1M!D29,USD1M!E29,USD1M!F29,USD1M!G29,USD1M!I29,USD1M!C29,Discounting,PillarDate,,Permanent,Trigger,ObjectOverwrite)</f>
        <v>obj_002ae#0311</v>
      </c>
      <c r="K29" s="52"/>
      <c r="L29" s="11" t="str">
        <f t="shared" si="9"/>
        <v>BasSw</v>
      </c>
      <c r="M29" s="105" t="str">
        <f t="shared" si="10"/>
        <v>obj_002c1#0311</v>
      </c>
      <c r="N29" s="159" t="str">
        <f>IFERROR(_xll.qlRateHelperQuoteName(M29,Trigger),"--")</f>
        <v>USDAM3L8Y_Quote</v>
      </c>
      <c r="O29" s="109">
        <f>IFERROR(_xll.qlRateHelperQuoteValue($M29,Trigger),"--")</f>
        <v>1.559E-2</v>
      </c>
      <c r="P29" s="108" t="b">
        <v>1</v>
      </c>
      <c r="Q29" s="105">
        <v>20</v>
      </c>
      <c r="R29" s="105">
        <v>1</v>
      </c>
      <c r="S29" s="110">
        <f>IFERROR(_xll.qlRateHelperEarliestDate(M29,Trigger),"--")</f>
        <v>42450</v>
      </c>
      <c r="T29" s="110">
        <f>IFERROR(_xll.qlRateHelperPillarDate(M29,Trigger),"--")</f>
        <v>45372</v>
      </c>
      <c r="V29" s="4" t="str">
        <f t="shared" si="3"/>
        <v/>
      </c>
      <c r="W29" s="4" t="e">
        <v>#N/A</v>
      </c>
      <c r="X29" s="4" t="str">
        <f>IFERROR(_xll.qlRateHelperQuoteName(W29,Trigger),"")</f>
        <v/>
      </c>
      <c r="Y29" s="75" t="str">
        <f>IFERROR(_xll.qlRateHelperRate(W29,Trigger),"")</f>
        <v/>
      </c>
      <c r="Z29" s="115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3" t="e">
        <v>#N/A</v>
      </c>
    </row>
    <row r="30" spans="1:29" ht="11.25" customHeight="1" x14ac:dyDescent="0.2">
      <c r="A30" s="63" t="s">
        <v>160</v>
      </c>
      <c r="B30" s="64" t="s">
        <v>84</v>
      </c>
      <c r="C30" s="65" t="s">
        <v>6</v>
      </c>
      <c r="D30" s="65" t="s">
        <v>8</v>
      </c>
      <c r="E30" s="65" t="s">
        <v>7</v>
      </c>
      <c r="F30" s="65" t="s">
        <v>28</v>
      </c>
      <c r="G30" s="65" t="str">
        <f t="shared" si="11"/>
        <v>UsdLibor1M</v>
      </c>
      <c r="H30" s="63" t="str">
        <f t="shared" si="12"/>
        <v>USDAM3L5Y_Quote</v>
      </c>
      <c r="I30" s="170" t="str">
        <f t="shared" si="13"/>
        <v>USD3L1L5Y_Quote</v>
      </c>
      <c r="J30" s="69" t="str">
        <f>_xll.qlSwapRateHelper2(,H30,,B30,JoinCalendar,USD1M!D30,USD1M!E30,USD1M!F30,USD1M!G30,USD1M!I30,USD1M!C30,Discounting,PillarDate,,Permanent,Trigger,ObjectOverwrite)</f>
        <v>obj_002f6#0311</v>
      </c>
      <c r="K30" s="52"/>
      <c r="L30" s="11" t="str">
        <f t="shared" si="9"/>
        <v>BasSw</v>
      </c>
      <c r="M30" s="105" t="str">
        <f t="shared" si="10"/>
        <v>obj_00290#0311</v>
      </c>
      <c r="N30" s="159" t="str">
        <f>IFERROR(_xll.qlRateHelperQuoteName(M30,Trigger),"--")</f>
        <v>USDAM3L9Y_Quote</v>
      </c>
      <c r="O30" s="109">
        <f>IFERROR(_xll.qlRateHelperQuoteValue($M30,Trigger),"--")</f>
        <v>1.6330000000000001E-2</v>
      </c>
      <c r="P30" s="108" t="b">
        <v>1</v>
      </c>
      <c r="Q30" s="105">
        <v>20</v>
      </c>
      <c r="R30" s="105">
        <v>1</v>
      </c>
      <c r="S30" s="110">
        <f>IFERROR(_xll.qlRateHelperEarliestDate(M30,Trigger),"--")</f>
        <v>42450</v>
      </c>
      <c r="T30" s="110">
        <f>IFERROR(_xll.qlRateHelperPillarDate(M30,Trigger),"--")</f>
        <v>45737</v>
      </c>
      <c r="V30" s="4" t="str">
        <f t="shared" si="3"/>
        <v/>
      </c>
      <c r="W30" s="4" t="e">
        <v>#N/A</v>
      </c>
      <c r="X30" s="4" t="str">
        <f>IFERROR(_xll.qlRateHelperQuoteName(W30,Trigger),"")</f>
        <v/>
      </c>
      <c r="Y30" s="75" t="str">
        <f>IFERROR(_xll.qlRateHelperRate(W30,Trigger),"")</f>
        <v/>
      </c>
      <c r="Z30" s="115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3" t="e">
        <v>#N/A</v>
      </c>
    </row>
    <row r="31" spans="1:29" ht="11.25" customHeight="1" x14ac:dyDescent="0.2">
      <c r="A31" s="63" t="s">
        <v>160</v>
      </c>
      <c r="B31" s="64" t="s">
        <v>85</v>
      </c>
      <c r="C31" s="65" t="s">
        <v>6</v>
      </c>
      <c r="D31" s="65" t="s">
        <v>8</v>
      </c>
      <c r="E31" s="65" t="s">
        <v>7</v>
      </c>
      <c r="F31" s="65" t="s">
        <v>28</v>
      </c>
      <c r="G31" s="65" t="str">
        <f t="shared" si="11"/>
        <v>UsdLibor1M</v>
      </c>
      <c r="H31" s="63" t="str">
        <f t="shared" si="12"/>
        <v>USDAM3L6Y_Quote</v>
      </c>
      <c r="I31" s="170" t="str">
        <f t="shared" si="13"/>
        <v>USD3L1L6Y_Quote</v>
      </c>
      <c r="J31" s="69" t="str">
        <f>_xll.qlSwapRateHelper2(,H31,,B31,JoinCalendar,USD1M!D31,USD1M!E31,USD1M!F31,USD1M!G31,USD1M!I31,USD1M!C31,Discounting,PillarDate,,Permanent,Trigger,ObjectOverwrite)</f>
        <v>obj_002ab#0311</v>
      </c>
      <c r="K31" s="52"/>
      <c r="L31" s="11" t="str">
        <f t="shared" si="9"/>
        <v>BasSw</v>
      </c>
      <c r="M31" s="105" t="str">
        <f t="shared" si="10"/>
        <v>obj_00299#0311</v>
      </c>
      <c r="N31" s="159" t="str">
        <f>IFERROR(_xll.qlRateHelperQuoteName(M31,Trigger),"--")</f>
        <v>USDAM3L10Y_Quote</v>
      </c>
      <c r="O31" s="109">
        <f>IFERROR(_xll.qlRateHelperQuoteValue($M31,Trigger),"--")</f>
        <v>1.7000000000000001E-2</v>
      </c>
      <c r="P31" s="108" t="b">
        <v>1</v>
      </c>
      <c r="Q31" s="105">
        <v>40</v>
      </c>
      <c r="R31" s="105">
        <v>1</v>
      </c>
      <c r="S31" s="110">
        <f>IFERROR(_xll.qlRateHelperEarliestDate(M31,Trigger),"--")</f>
        <v>42450</v>
      </c>
      <c r="T31" s="110">
        <f>IFERROR(_xll.qlRateHelperPillarDate(M31,Trigger),"--")</f>
        <v>46104</v>
      </c>
      <c r="V31" s="4" t="str">
        <f t="shared" si="3"/>
        <v/>
      </c>
      <c r="W31" s="4" t="e">
        <v>#N/A</v>
      </c>
      <c r="X31" s="4" t="str">
        <f>IFERROR(_xll.qlRateHelperQuoteName(W31,Trigger),"")</f>
        <v/>
      </c>
      <c r="Y31" s="75" t="str">
        <f>IFERROR(_xll.qlRateHelperRate(W31,Trigger),"")</f>
        <v/>
      </c>
      <c r="Z31" s="115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3" t="e">
        <v>#N/A</v>
      </c>
    </row>
    <row r="32" spans="1:29" ht="11.25" customHeight="1" x14ac:dyDescent="0.2">
      <c r="A32" s="63" t="s">
        <v>160</v>
      </c>
      <c r="B32" s="64" t="s">
        <v>86</v>
      </c>
      <c r="C32" s="65" t="s">
        <v>6</v>
      </c>
      <c r="D32" s="65" t="s">
        <v>8</v>
      </c>
      <c r="E32" s="65" t="s">
        <v>7</v>
      </c>
      <c r="F32" s="65" t="s">
        <v>28</v>
      </c>
      <c r="G32" s="65" t="str">
        <f t="shared" si="11"/>
        <v>UsdLibor1M</v>
      </c>
      <c r="H32" s="63" t="str">
        <f t="shared" si="12"/>
        <v>USDAM3L7Y_Quote</v>
      </c>
      <c r="I32" s="170" t="str">
        <f t="shared" si="13"/>
        <v>USD3L1L7Y_Quote</v>
      </c>
      <c r="J32" s="69" t="str">
        <f>_xll.qlSwapRateHelper2(,H32,,B32,JoinCalendar,USD1M!D32,USD1M!E32,USD1M!F32,USD1M!G32,USD1M!I32,USD1M!C32,Discounting,PillarDate,,Permanent,Trigger,ObjectOverwrite)</f>
        <v>obj_0027f#0312</v>
      </c>
      <c r="K32" s="52"/>
      <c r="L32" s="11" t="str">
        <f t="shared" si="9"/>
        <v>BasSw</v>
      </c>
      <c r="M32" s="105" t="str">
        <f t="shared" si="10"/>
        <v>--</v>
      </c>
      <c r="N32" s="159" t="str">
        <f>IFERROR(_xll.qlRateHelperQuoteName(M32,Trigger),"--")</f>
        <v>--</v>
      </c>
      <c r="O32" s="109" t="str">
        <f>IFERROR(_xll.qlRateHelperQuoteValue($M32,Trigger),"--")</f>
        <v>--</v>
      </c>
      <c r="P32" s="108" t="b">
        <v>0</v>
      </c>
      <c r="Q32" s="105">
        <v>40</v>
      </c>
      <c r="R32" s="105">
        <v>1</v>
      </c>
      <c r="S32" s="110" t="str">
        <f>IFERROR(_xll.qlRateHelperEarliestDate(M32,Trigger),"--")</f>
        <v>--</v>
      </c>
      <c r="T32" s="110" t="str">
        <f>IFERROR(_xll.qlRateHelperPillarDate(M32,Trigger),"--")</f>
        <v>--</v>
      </c>
      <c r="V32" s="4" t="str">
        <f t="shared" si="3"/>
        <v/>
      </c>
      <c r="W32" s="4" t="e">
        <v>#N/A</v>
      </c>
      <c r="X32" s="4" t="str">
        <f>IFERROR(_xll.qlRateHelperQuoteName(W32,Trigger),"")</f>
        <v/>
      </c>
      <c r="Y32" s="75" t="str">
        <f>IFERROR(_xll.qlRateHelperRate(W32,Trigger),"")</f>
        <v/>
      </c>
      <c r="Z32" s="115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3" t="e">
        <v>#N/A</v>
      </c>
    </row>
    <row r="33" spans="1:29" ht="11.25" customHeight="1" x14ac:dyDescent="0.2">
      <c r="A33" s="63" t="s">
        <v>160</v>
      </c>
      <c r="B33" s="64" t="s">
        <v>87</v>
      </c>
      <c r="C33" s="65" t="s">
        <v>6</v>
      </c>
      <c r="D33" s="65" t="s">
        <v>8</v>
      </c>
      <c r="E33" s="65" t="s">
        <v>7</v>
      </c>
      <c r="F33" s="65" t="s">
        <v>28</v>
      </c>
      <c r="G33" s="65" t="str">
        <f t="shared" si="11"/>
        <v>UsdLibor1M</v>
      </c>
      <c r="H33" s="63" t="str">
        <f t="shared" si="12"/>
        <v>USDAM3L8Y_Quote</v>
      </c>
      <c r="I33" s="170" t="str">
        <f t="shared" si="13"/>
        <v>USD3L1L8Y_Quote</v>
      </c>
      <c r="J33" s="69" t="str">
        <f>_xll.qlSwapRateHelper2(,H33,,B33,JoinCalendar,USD1M!D33,USD1M!E33,USD1M!F33,USD1M!G33,USD1M!I33,USD1M!C33,Discounting,PillarDate,,Permanent,Trigger,ObjectOverwrite)</f>
        <v>obj_002c1#0311</v>
      </c>
      <c r="K33" s="52"/>
      <c r="L33" s="11" t="str">
        <f t="shared" si="9"/>
        <v>BasSw</v>
      </c>
      <c r="M33" s="105" t="str">
        <f t="shared" si="10"/>
        <v>obj_002f5#0311</v>
      </c>
      <c r="N33" s="159" t="str">
        <f>IFERROR(_xll.qlRateHelperQuoteName(M33,Trigger),"--")</f>
        <v>USDAM3L12Y_Quote</v>
      </c>
      <c r="O33" s="109">
        <f>IFERROR(_xll.qlRateHelperQuoteValue($M33,Trigger),"--")</f>
        <v>1.8149999999999999E-2</v>
      </c>
      <c r="P33" s="108" t="b">
        <v>1</v>
      </c>
      <c r="Q33" s="105">
        <v>40</v>
      </c>
      <c r="R33" s="105">
        <v>1</v>
      </c>
      <c r="S33" s="110">
        <f>IFERROR(_xll.qlRateHelperEarliestDate(M33,Trigger),"--")</f>
        <v>42450</v>
      </c>
      <c r="T33" s="110">
        <f>IFERROR(_xll.qlRateHelperPillarDate(M33,Trigger),"--")</f>
        <v>46833</v>
      </c>
      <c r="V33" s="4" t="str">
        <f t="shared" si="3"/>
        <v/>
      </c>
      <c r="W33" s="4" t="e">
        <v>#N/A</v>
      </c>
      <c r="X33" s="4" t="str">
        <f>IFERROR(_xll.qlRateHelperQuoteName(W33,Trigger),"")</f>
        <v/>
      </c>
      <c r="Y33" s="75" t="str">
        <f>IFERROR(_xll.qlRateHelperRate(W33,Trigger),"")</f>
        <v/>
      </c>
      <c r="Z33" s="115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3" t="e">
        <v>#N/A</v>
      </c>
    </row>
    <row r="34" spans="1:29" ht="11.25" customHeight="1" x14ac:dyDescent="0.2">
      <c r="A34" s="63" t="s">
        <v>160</v>
      </c>
      <c r="B34" s="64" t="s">
        <v>88</v>
      </c>
      <c r="C34" s="65" t="s">
        <v>6</v>
      </c>
      <c r="D34" s="65" t="s">
        <v>8</v>
      </c>
      <c r="E34" s="65" t="s">
        <v>7</v>
      </c>
      <c r="F34" s="65" t="s">
        <v>28</v>
      </c>
      <c r="G34" s="65" t="str">
        <f t="shared" si="11"/>
        <v>UsdLibor1M</v>
      </c>
      <c r="H34" s="63" t="str">
        <f t="shared" si="12"/>
        <v>USDAM3L9Y_Quote</v>
      </c>
      <c r="I34" s="170" t="str">
        <f t="shared" si="13"/>
        <v>USD3L1L9Y_Quote</v>
      </c>
      <c r="J34" s="69" t="str">
        <f>_xll.qlSwapRateHelper2(,H34,,B34,JoinCalendar,USD1M!D34,USD1M!E34,USD1M!F34,USD1M!G34,USD1M!I34,USD1M!C34,Discounting,PillarDate,,Permanent,Trigger,ObjectOverwrite)</f>
        <v>obj_00290#0311</v>
      </c>
      <c r="K34" s="52"/>
      <c r="L34" s="11" t="str">
        <f t="shared" si="9"/>
        <v>BasSw</v>
      </c>
      <c r="M34" s="105" t="str">
        <f t="shared" si="10"/>
        <v>--</v>
      </c>
      <c r="N34" s="159" t="str">
        <f>IFERROR(_xll.qlRateHelperQuoteName(M34,Trigger),"--")</f>
        <v>--</v>
      </c>
      <c r="O34" s="109" t="str">
        <f>IFERROR(_xll.qlRateHelperQuoteValue($M34,Trigger),"--")</f>
        <v>--</v>
      </c>
      <c r="P34" s="108" t="b">
        <v>0</v>
      </c>
      <c r="Q34" s="105">
        <v>40</v>
      </c>
      <c r="R34" s="105">
        <v>1</v>
      </c>
      <c r="S34" s="110" t="str">
        <f>IFERROR(_xll.qlRateHelperEarliestDate(M34,Trigger),"--")</f>
        <v>--</v>
      </c>
      <c r="T34" s="110" t="str">
        <f>IFERROR(_xll.qlRateHelperPillarDate(M34,Trigger),"--")</f>
        <v>--</v>
      </c>
      <c r="V34" s="4" t="str">
        <f t="shared" si="3"/>
        <v/>
      </c>
      <c r="W34" s="4" t="e">
        <v>#N/A</v>
      </c>
      <c r="X34" s="4" t="str">
        <f>IFERROR(_xll.qlRateHelperQuoteName(W34,Trigger),"")</f>
        <v/>
      </c>
      <c r="Y34" s="75" t="str">
        <f>IFERROR(_xll.qlRateHelperRate(W34,Trigger),"")</f>
        <v/>
      </c>
      <c r="Z34" s="115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3" t="e">
        <v>#N/A</v>
      </c>
    </row>
    <row r="35" spans="1:29" ht="11.25" customHeight="1" x14ac:dyDescent="0.2">
      <c r="A35" s="63" t="s">
        <v>160</v>
      </c>
      <c r="B35" s="64" t="s">
        <v>89</v>
      </c>
      <c r="C35" s="65" t="s">
        <v>6</v>
      </c>
      <c r="D35" s="65" t="s">
        <v>8</v>
      </c>
      <c r="E35" s="65" t="s">
        <v>7</v>
      </c>
      <c r="F35" s="65" t="s">
        <v>28</v>
      </c>
      <c r="G35" s="65" t="str">
        <f t="shared" si="11"/>
        <v>UsdLibor1M</v>
      </c>
      <c r="H35" s="63" t="str">
        <f t="shared" si="12"/>
        <v>USDAM3L10Y_Quote</v>
      </c>
      <c r="I35" s="170" t="str">
        <f t="shared" si="13"/>
        <v>USD3L1L10Y_Quote</v>
      </c>
      <c r="J35" s="69" t="str">
        <f>_xll.qlSwapRateHelper2(,H35,,B35,JoinCalendar,USD1M!D35,USD1M!E35,USD1M!F35,USD1M!G35,USD1M!I35,USD1M!C35,Discounting,PillarDate,,Permanent,Trigger,ObjectOverwrite)</f>
        <v>obj_00299#0311</v>
      </c>
      <c r="K35" s="52"/>
      <c r="L35" s="11" t="str">
        <f t="shared" si="9"/>
        <v>BasSw</v>
      </c>
      <c r="M35" s="105" t="str">
        <f t="shared" si="10"/>
        <v>--</v>
      </c>
      <c r="N35" s="159" t="str">
        <f>IFERROR(_xll.qlRateHelperQuoteName(M35,Trigger),"--")</f>
        <v>--</v>
      </c>
      <c r="O35" s="109" t="str">
        <f>IFERROR(_xll.qlRateHelperQuoteValue($M35,Trigger),"--")</f>
        <v>--</v>
      </c>
      <c r="P35" s="108" t="b">
        <v>0</v>
      </c>
      <c r="Q35" s="105">
        <v>40</v>
      </c>
      <c r="R35" s="105">
        <v>1</v>
      </c>
      <c r="S35" s="110" t="str">
        <f>IFERROR(_xll.qlRateHelperEarliestDate(M35,Trigger),"--")</f>
        <v>--</v>
      </c>
      <c r="T35" s="110" t="str">
        <f>IFERROR(_xll.qlRateHelperPillarDate(M35,Trigger),"--")</f>
        <v>--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5" t="str">
        <f>IFERROR(_xll.qlRateHelperRate(W35,Trigger),"")</f>
        <v/>
      </c>
      <c r="Z35" s="115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3" t="e">
        <v>#N/A</v>
      </c>
    </row>
    <row r="36" spans="1:29" ht="11.25" customHeight="1" x14ac:dyDescent="0.2">
      <c r="A36" s="63" t="s">
        <v>160</v>
      </c>
      <c r="B36" s="64" t="s">
        <v>133</v>
      </c>
      <c r="C36" s="65" t="s">
        <v>6</v>
      </c>
      <c r="D36" s="65" t="s">
        <v>8</v>
      </c>
      <c r="E36" s="65" t="s">
        <v>7</v>
      </c>
      <c r="F36" s="65" t="s">
        <v>28</v>
      </c>
      <c r="G36" s="65" t="str">
        <f t="shared" si="11"/>
        <v>UsdLibor1M</v>
      </c>
      <c r="H36" s="63" t="str">
        <f t="shared" si="12"/>
        <v>USDAM3L11Y_Quote</v>
      </c>
      <c r="I36" s="170" t="str">
        <f t="shared" si="13"/>
        <v>USD3L1L11Y_Quote</v>
      </c>
      <c r="J36" s="69"/>
      <c r="K36" s="52"/>
      <c r="L36" s="11" t="str">
        <f t="shared" si="9"/>
        <v>BasSw</v>
      </c>
      <c r="M36" s="105" t="str">
        <f t="shared" si="10"/>
        <v>obj_002cf#0311</v>
      </c>
      <c r="N36" s="159" t="str">
        <f>IFERROR(_xll.qlRateHelperQuoteName(M36,Trigger),"--")</f>
        <v>USDAM3L15Y_Quote</v>
      </c>
      <c r="O36" s="109">
        <f>IFERROR(_xll.qlRateHelperQuoteValue($M36,Trigger),"--")</f>
        <v>1.9349999999999999E-2</v>
      </c>
      <c r="P36" s="108" t="b">
        <v>1</v>
      </c>
      <c r="Q36" s="105">
        <v>40</v>
      </c>
      <c r="R36" s="105">
        <v>1</v>
      </c>
      <c r="S36" s="110">
        <f>IFERROR(_xll.qlRateHelperEarliestDate(M36,Trigger),"--")</f>
        <v>42450</v>
      </c>
      <c r="T36" s="110">
        <f>IFERROR(_xll.qlRateHelperPillarDate(M36,Trigger),"--")</f>
        <v>47928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5" t="str">
        <f>IFERROR(_xll.qlRateHelperRate(W36,Trigger),"")</f>
        <v/>
      </c>
      <c r="Z36" s="115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3" t="e">
        <v>#N/A</v>
      </c>
    </row>
    <row r="37" spans="1:29" ht="11.25" customHeight="1" x14ac:dyDescent="0.2">
      <c r="A37" s="63" t="s">
        <v>160</v>
      </c>
      <c r="B37" s="64" t="s">
        <v>90</v>
      </c>
      <c r="C37" s="65" t="s">
        <v>6</v>
      </c>
      <c r="D37" s="65" t="s">
        <v>8</v>
      </c>
      <c r="E37" s="65" t="s">
        <v>7</v>
      </c>
      <c r="F37" s="65" t="s">
        <v>28</v>
      </c>
      <c r="G37" s="65" t="str">
        <f t="shared" si="11"/>
        <v>UsdLibor1M</v>
      </c>
      <c r="H37" s="63" t="str">
        <f t="shared" si="12"/>
        <v>USDAM3L12Y_Quote</v>
      </c>
      <c r="I37" s="170" t="str">
        <f t="shared" si="13"/>
        <v>USD3L1L12Y_Quote</v>
      </c>
      <c r="J37" s="69" t="str">
        <f>_xll.qlSwapRateHelper2(,H37,,B37,JoinCalendar,USD1M!D37,USD1M!E37,USD1M!F37,USD1M!G37,USD1M!I37,USD1M!C37,Discounting,PillarDate,,Permanent,Trigger,ObjectOverwrite)</f>
        <v>obj_002f5#0311</v>
      </c>
      <c r="K37" s="52"/>
      <c r="L37" s="11" t="str">
        <f t="shared" si="9"/>
        <v>BasSw</v>
      </c>
      <c r="M37" s="105" t="str">
        <f t="shared" si="10"/>
        <v>--</v>
      </c>
      <c r="N37" s="159" t="str">
        <f>IFERROR(_xll.qlRateHelperQuoteName(M37,Trigger),"--")</f>
        <v>--</v>
      </c>
      <c r="O37" s="109" t="str">
        <f>IFERROR(_xll.qlRateHelperQuoteValue($M37,Trigger),"--")</f>
        <v>--</v>
      </c>
      <c r="P37" s="108" t="b">
        <v>0</v>
      </c>
      <c r="Q37" s="105">
        <v>40</v>
      </c>
      <c r="R37" s="105">
        <v>1</v>
      </c>
      <c r="S37" s="110" t="str">
        <f>IFERROR(_xll.qlRateHelperEarliestDate(M37,Trigger),"--")</f>
        <v>--</v>
      </c>
      <c r="T37" s="110" t="str">
        <f>IFERROR(_xll.qlRateHelperPillarDate(M37,Trigger),"--")</f>
        <v>--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5" t="str">
        <f>IFERROR(_xll.qlRateHelperRate(W37,Trigger),"")</f>
        <v/>
      </c>
      <c r="Z37" s="115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3" t="e">
        <v>#N/A</v>
      </c>
    </row>
    <row r="38" spans="1:29" ht="11.25" customHeight="1" x14ac:dyDescent="0.2">
      <c r="A38" s="63" t="s">
        <v>160</v>
      </c>
      <c r="B38" s="64" t="s">
        <v>134</v>
      </c>
      <c r="C38" s="65" t="s">
        <v>6</v>
      </c>
      <c r="D38" s="65" t="s">
        <v>8</v>
      </c>
      <c r="E38" s="65" t="s">
        <v>7</v>
      </c>
      <c r="F38" s="65" t="s">
        <v>28</v>
      </c>
      <c r="G38" s="65" t="str">
        <f t="shared" si="11"/>
        <v>UsdLibor1M</v>
      </c>
      <c r="H38" s="63" t="str">
        <f t="shared" si="12"/>
        <v>USDAM3L13Y_Quote</v>
      </c>
      <c r="I38" s="170" t="str">
        <f t="shared" si="13"/>
        <v>USD3L1L13Y_Quote</v>
      </c>
      <c r="J38" s="69"/>
      <c r="K38" s="52"/>
      <c r="L38" s="11" t="str">
        <f t="shared" si="9"/>
        <v>BasSw</v>
      </c>
      <c r="M38" s="105" t="str">
        <f t="shared" si="10"/>
        <v>--</v>
      </c>
      <c r="N38" s="159" t="str">
        <f>IFERROR(_xll.qlRateHelperQuoteName(M38,Trigger),"--")</f>
        <v>--</v>
      </c>
      <c r="O38" s="109" t="str">
        <f>IFERROR(_xll.qlRateHelperQuoteValue($M38,Trigger),"--")</f>
        <v>--</v>
      </c>
      <c r="P38" s="108" t="b">
        <v>0</v>
      </c>
      <c r="Q38" s="105">
        <v>40</v>
      </c>
      <c r="R38" s="105">
        <v>1</v>
      </c>
      <c r="S38" s="110" t="str">
        <f>IFERROR(_xll.qlRateHelperEarliestDate(M38,Trigger),"--")</f>
        <v>--</v>
      </c>
      <c r="T38" s="110" t="str">
        <f>IFERROR(_xll.qlRateHelperPillarDate(M38,Trigger),"--")</f>
        <v>--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5" t="str">
        <f>IFERROR(_xll.qlRateHelperRate(W38,Trigger),"")</f>
        <v/>
      </c>
      <c r="Z38" s="115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3" t="e">
        <v>#N/A</v>
      </c>
    </row>
    <row r="39" spans="1:29" ht="11.25" customHeight="1" x14ac:dyDescent="0.2">
      <c r="A39" s="63" t="s">
        <v>160</v>
      </c>
      <c r="B39" s="64" t="s">
        <v>135</v>
      </c>
      <c r="C39" s="65" t="s">
        <v>6</v>
      </c>
      <c r="D39" s="65" t="s">
        <v>8</v>
      </c>
      <c r="E39" s="65" t="s">
        <v>7</v>
      </c>
      <c r="F39" s="65" t="s">
        <v>28</v>
      </c>
      <c r="G39" s="65" t="str">
        <f t="shared" si="11"/>
        <v>UsdLibor1M</v>
      </c>
      <c r="H39" s="63" t="str">
        <f t="shared" si="12"/>
        <v>USDAM3L14Y_Quote</v>
      </c>
      <c r="I39" s="170" t="str">
        <f t="shared" si="13"/>
        <v>USD3L1L14Y_Quote</v>
      </c>
      <c r="J39" s="69"/>
      <c r="K39" s="52"/>
      <c r="L39" s="11" t="str">
        <f t="shared" si="9"/>
        <v>BasSw</v>
      </c>
      <c r="M39" s="105" t="str">
        <f t="shared" si="10"/>
        <v>--</v>
      </c>
      <c r="N39" s="159" t="str">
        <f>IFERROR(_xll.qlRateHelperQuoteName(M39,Trigger),"--")</f>
        <v>--</v>
      </c>
      <c r="O39" s="109" t="str">
        <f>IFERROR(_xll.qlRateHelperQuoteValue($M39,Trigger),"--")</f>
        <v>--</v>
      </c>
      <c r="P39" s="108" t="b">
        <v>0</v>
      </c>
      <c r="Q39" s="105">
        <v>40</v>
      </c>
      <c r="R39" s="105">
        <v>1</v>
      </c>
      <c r="S39" s="110" t="str">
        <f>IFERROR(_xll.qlRateHelperEarliestDate(M39,Trigger),"--")</f>
        <v>--</v>
      </c>
      <c r="T39" s="110" t="str">
        <f>IFERROR(_xll.qlRateHelperPillarDate(M39,Trigger),"--")</f>
        <v>--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5" t="str">
        <f>IFERROR(_xll.qlRateHelperRate(W39,Trigger),"")</f>
        <v/>
      </c>
      <c r="Z39" s="115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3" t="e">
        <v>#N/A</v>
      </c>
    </row>
    <row r="40" spans="1:29" ht="11.25" customHeight="1" x14ac:dyDescent="0.2">
      <c r="A40" s="63" t="s">
        <v>160</v>
      </c>
      <c r="B40" s="64" t="s">
        <v>91</v>
      </c>
      <c r="C40" s="65" t="s">
        <v>6</v>
      </c>
      <c r="D40" s="65" t="s">
        <v>8</v>
      </c>
      <c r="E40" s="65" t="s">
        <v>7</v>
      </c>
      <c r="F40" s="65" t="s">
        <v>28</v>
      </c>
      <c r="G40" s="65" t="str">
        <f t="shared" si="11"/>
        <v>UsdLibor1M</v>
      </c>
      <c r="H40" s="63" t="str">
        <f t="shared" si="12"/>
        <v>USDAM3L15Y_Quote</v>
      </c>
      <c r="I40" s="170" t="str">
        <f t="shared" si="13"/>
        <v>USD3L1L15Y_Quote</v>
      </c>
      <c r="J40" s="69" t="str">
        <f>_xll.qlSwapRateHelper2(,H40,,B40,JoinCalendar,USD1M!D40,USD1M!E40,USD1M!F40,USD1M!G40,USD1M!I40,USD1M!C40,Discounting,PillarDate,,Permanent,Trigger,ObjectOverwrite)</f>
        <v>obj_002cf#0311</v>
      </c>
      <c r="K40" s="52"/>
      <c r="L40" s="11" t="str">
        <f t="shared" si="9"/>
        <v>BasSw</v>
      </c>
      <c r="M40" s="105" t="str">
        <f t="shared" si="10"/>
        <v>--</v>
      </c>
      <c r="N40" s="159" t="str">
        <f>IFERROR(_xll.qlRateHelperQuoteName(M40,Trigger),"--")</f>
        <v>--</v>
      </c>
      <c r="O40" s="109" t="str">
        <f>IFERROR(_xll.qlRateHelperQuoteValue($M40,Trigger),"--")</f>
        <v>--</v>
      </c>
      <c r="P40" s="108" t="b">
        <v>0</v>
      </c>
      <c r="Q40" s="105">
        <v>40</v>
      </c>
      <c r="R40" s="105">
        <v>1</v>
      </c>
      <c r="S40" s="110" t="str">
        <f>IFERROR(_xll.qlRateHelperEarliestDate(M40,Trigger),"--")</f>
        <v>--</v>
      </c>
      <c r="T40" s="110" t="str">
        <f>IFERROR(_xll.qlRateHelperPillarDate(M40,Trigger),"--")</f>
        <v>--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5" t="str">
        <f>IFERROR(_xll.qlRateHelperRate(W40,Trigger),"")</f>
        <v/>
      </c>
      <c r="Z40" s="115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3" t="e">
        <v>#N/A</v>
      </c>
    </row>
    <row r="41" spans="1:29" ht="11.25" customHeight="1" x14ac:dyDescent="0.2">
      <c r="A41" s="63" t="s">
        <v>160</v>
      </c>
      <c r="B41" s="64" t="s">
        <v>136</v>
      </c>
      <c r="C41" s="65" t="s">
        <v>6</v>
      </c>
      <c r="D41" s="65" t="s">
        <v>8</v>
      </c>
      <c r="E41" s="65" t="s">
        <v>7</v>
      </c>
      <c r="F41" s="65" t="s">
        <v>28</v>
      </c>
      <c r="G41" s="65" t="str">
        <f t="shared" si="11"/>
        <v>UsdLibor1M</v>
      </c>
      <c r="H41" s="63" t="str">
        <f t="shared" si="12"/>
        <v>USDAM3L16Y_Quote</v>
      </c>
      <c r="I41" s="170" t="str">
        <f t="shared" si="13"/>
        <v>USD3L1L16Y_Quote</v>
      </c>
      <c r="J41" s="69"/>
      <c r="L41" s="11" t="str">
        <f t="shared" si="9"/>
        <v>BasSw</v>
      </c>
      <c r="M41" s="105" t="str">
        <f t="shared" si="10"/>
        <v>obj_002e1#0311</v>
      </c>
      <c r="N41" s="159" t="str">
        <f>IFERROR(_xll.qlRateHelperQuoteName(M41,Trigger),"--")</f>
        <v>USDAM3L20Y_Quote</v>
      </c>
      <c r="O41" s="109">
        <f>IFERROR(_xll.qlRateHelperQuoteValue($M41,Trigger),"--")</f>
        <v>2.0550000000000002E-2</v>
      </c>
      <c r="P41" s="108" t="b">
        <v>1</v>
      </c>
      <c r="Q41" s="105">
        <v>40</v>
      </c>
      <c r="R41" s="105">
        <v>1</v>
      </c>
      <c r="S41" s="110">
        <f>IFERROR(_xll.qlRateHelperEarliestDate(M41,Trigger),"--")</f>
        <v>42450</v>
      </c>
      <c r="T41" s="110">
        <f>IFERROR(_xll.qlRateHelperPillarDate(M41,Trigger),"--")</f>
        <v>49755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5" t="str">
        <f>IFERROR(_xll.qlRateHelperRate(W41,Trigger),"")</f>
        <v/>
      </c>
      <c r="Z41" s="115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3" t="e">
        <v>#N/A</v>
      </c>
    </row>
    <row r="42" spans="1:29" ht="11.25" customHeight="1" x14ac:dyDescent="0.2">
      <c r="A42" s="63" t="s">
        <v>160</v>
      </c>
      <c r="B42" s="64" t="s">
        <v>137</v>
      </c>
      <c r="C42" s="65" t="s">
        <v>6</v>
      </c>
      <c r="D42" s="65" t="s">
        <v>8</v>
      </c>
      <c r="E42" s="65" t="s">
        <v>7</v>
      </c>
      <c r="F42" s="65" t="s">
        <v>28</v>
      </c>
      <c r="G42" s="65" t="str">
        <f t="shared" si="11"/>
        <v>UsdLibor1M</v>
      </c>
      <c r="H42" s="63" t="str">
        <f t="shared" si="12"/>
        <v>USDAM3L17Y_Quote</v>
      </c>
      <c r="I42" s="170" t="str">
        <f t="shared" si="13"/>
        <v>USD3L1L17Y_Quote</v>
      </c>
      <c r="J42" s="69"/>
      <c r="L42" s="11" t="str">
        <f t="shared" si="9"/>
        <v>BasSw</v>
      </c>
      <c r="M42" s="105" t="str">
        <f t="shared" si="10"/>
        <v>--</v>
      </c>
      <c r="N42" s="159" t="str">
        <f>IFERROR(_xll.qlRateHelperQuoteName(M42,Trigger),"--")</f>
        <v>--</v>
      </c>
      <c r="O42" s="109" t="str">
        <f>IFERROR(_xll.qlRateHelperQuoteValue($M42,Trigger),"--")</f>
        <v>--</v>
      </c>
      <c r="P42" s="108" t="b">
        <v>0</v>
      </c>
      <c r="Q42" s="105">
        <v>40</v>
      </c>
      <c r="R42" s="105">
        <v>1</v>
      </c>
      <c r="S42" s="110" t="str">
        <f>IFERROR(_xll.qlRateHelperEarliestDate(M42,Trigger),"--")</f>
        <v>--</v>
      </c>
      <c r="T42" s="110" t="str">
        <f>IFERROR(_xll.qlRateHelperPillarDate(M42,Trigger),"--")</f>
        <v>--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5" t="str">
        <f>IFERROR(_xll.qlRateHelperRate(W42,Trigger),"")</f>
        <v/>
      </c>
      <c r="Z42" s="115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3" t="e">
        <v>#N/A</v>
      </c>
    </row>
    <row r="43" spans="1:29" ht="11.25" customHeight="1" x14ac:dyDescent="0.2">
      <c r="A43" s="63" t="s">
        <v>160</v>
      </c>
      <c r="B43" s="64" t="s">
        <v>138</v>
      </c>
      <c r="C43" s="65" t="s">
        <v>6</v>
      </c>
      <c r="D43" s="65" t="s">
        <v>8</v>
      </c>
      <c r="E43" s="65" t="s">
        <v>7</v>
      </c>
      <c r="F43" s="65" t="s">
        <v>28</v>
      </c>
      <c r="G43" s="65" t="str">
        <f t="shared" si="11"/>
        <v>UsdLibor1M</v>
      </c>
      <c r="H43" s="63" t="str">
        <f t="shared" si="12"/>
        <v>USDAM3L18Y_Quote</v>
      </c>
      <c r="I43" s="170" t="str">
        <f t="shared" si="13"/>
        <v>USD3L1L18Y_Quote</v>
      </c>
      <c r="J43" s="69"/>
      <c r="L43" s="11" t="str">
        <f t="shared" si="9"/>
        <v>BasSw</v>
      </c>
      <c r="M43" s="105" t="str">
        <f t="shared" si="10"/>
        <v>--</v>
      </c>
      <c r="N43" s="159" t="str">
        <f>IFERROR(_xll.qlRateHelperQuoteName(M43,Trigger),"--")</f>
        <v>--</v>
      </c>
      <c r="O43" s="109" t="str">
        <f>IFERROR(_xll.qlRateHelperQuoteValue($M43,Trigger),"--")</f>
        <v>--</v>
      </c>
      <c r="P43" s="108" t="b">
        <v>0</v>
      </c>
      <c r="Q43" s="105">
        <v>40</v>
      </c>
      <c r="R43" s="105">
        <v>1</v>
      </c>
      <c r="S43" s="110" t="str">
        <f>IFERROR(_xll.qlRateHelperEarliestDate(M43,Trigger),"--")</f>
        <v>--</v>
      </c>
      <c r="T43" s="110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5" t="str">
        <f>IFERROR(_xll.qlRateHelperRate(W43,Trigger),"")</f>
        <v/>
      </c>
      <c r="Z43" s="115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3" t="e">
        <v>#N/A</v>
      </c>
    </row>
    <row r="44" spans="1:29" ht="11.25" customHeight="1" x14ac:dyDescent="0.2">
      <c r="A44" s="63" t="s">
        <v>160</v>
      </c>
      <c r="B44" s="64" t="s">
        <v>139</v>
      </c>
      <c r="C44" s="65" t="s">
        <v>6</v>
      </c>
      <c r="D44" s="65" t="s">
        <v>8</v>
      </c>
      <c r="E44" s="65" t="s">
        <v>7</v>
      </c>
      <c r="F44" s="65" t="s">
        <v>28</v>
      </c>
      <c r="G44" s="65" t="str">
        <f t="shared" si="11"/>
        <v>UsdLibor1M</v>
      </c>
      <c r="H44" s="63" t="str">
        <f t="shared" si="12"/>
        <v>USDAM3L19Y_Quote</v>
      </c>
      <c r="I44" s="170" t="str">
        <f t="shared" si="13"/>
        <v>USD3L1L19Y_Quote</v>
      </c>
      <c r="J44" s="69"/>
      <c r="L44" s="11" t="str">
        <f t="shared" si="9"/>
        <v>BasSw</v>
      </c>
      <c r="M44" s="105" t="str">
        <f t="shared" si="10"/>
        <v>--</v>
      </c>
      <c r="N44" s="159" t="str">
        <f>IFERROR(_xll.qlRateHelperQuoteName(M44,Trigger),"--")</f>
        <v>--</v>
      </c>
      <c r="O44" s="109" t="str">
        <f>IFERROR(_xll.qlRateHelperQuoteValue($M44,Trigger),"--")</f>
        <v>--</v>
      </c>
      <c r="P44" s="108" t="b">
        <v>0</v>
      </c>
      <c r="Q44" s="105">
        <v>40</v>
      </c>
      <c r="R44" s="105">
        <v>1</v>
      </c>
      <c r="S44" s="110" t="str">
        <f>IFERROR(_xll.qlRateHelperEarliestDate(M44,Trigger),"--")</f>
        <v>--</v>
      </c>
      <c r="T44" s="110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5" t="str">
        <f>IFERROR(_xll.qlRateHelperRate(W44,Trigger),"")</f>
        <v/>
      </c>
      <c r="Z44" s="115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3" t="e">
        <v>#N/A</v>
      </c>
    </row>
    <row r="45" spans="1:29" ht="11.25" customHeight="1" x14ac:dyDescent="0.2">
      <c r="A45" s="63" t="s">
        <v>160</v>
      </c>
      <c r="B45" s="64" t="s">
        <v>92</v>
      </c>
      <c r="C45" s="65" t="s">
        <v>6</v>
      </c>
      <c r="D45" s="65" t="s">
        <v>8</v>
      </c>
      <c r="E45" s="65" t="s">
        <v>7</v>
      </c>
      <c r="F45" s="65" t="s">
        <v>28</v>
      </c>
      <c r="G45" s="65" t="str">
        <f t="shared" si="11"/>
        <v>UsdLibor1M</v>
      </c>
      <c r="H45" s="63" t="str">
        <f t="shared" si="12"/>
        <v>USDAM3L20Y_Quote</v>
      </c>
      <c r="I45" s="170" t="str">
        <f t="shared" si="13"/>
        <v>USD3L1L20Y_Quote</v>
      </c>
      <c r="J45" s="69" t="str">
        <f>_xll.qlSwapRateHelper2(,H45,,B45,JoinCalendar,USD1M!D45,USD1M!E45,USD1M!F45,USD1M!G45,USD1M!I45,USD1M!C45,Discounting,PillarDate,,Permanent,Trigger,ObjectOverwrite)</f>
        <v>obj_002e1#0311</v>
      </c>
      <c r="L45" s="11" t="str">
        <f t="shared" si="9"/>
        <v>BasSw</v>
      </c>
      <c r="M45" s="105" t="str">
        <f t="shared" si="10"/>
        <v>--</v>
      </c>
      <c r="N45" s="159" t="str">
        <f>IFERROR(_xll.qlRateHelperQuoteName(M45,Trigger),"--")</f>
        <v>--</v>
      </c>
      <c r="O45" s="109" t="str">
        <f>IFERROR(_xll.qlRateHelperQuoteValue($M45,Trigger),"--")</f>
        <v>--</v>
      </c>
      <c r="P45" s="108" t="b">
        <v>0</v>
      </c>
      <c r="Q45" s="105">
        <v>40</v>
      </c>
      <c r="R45" s="105">
        <v>1</v>
      </c>
      <c r="S45" s="110" t="str">
        <f>IFERROR(_xll.qlRateHelperEarliestDate(M45,Trigger),"--")</f>
        <v>--</v>
      </c>
      <c r="T45" s="110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5" t="str">
        <f>IFERROR(_xll.qlRateHelperRate(W45,Trigger),"")</f>
        <v/>
      </c>
      <c r="Z45" s="115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3" t="e">
        <v>#N/A</v>
      </c>
    </row>
    <row r="46" spans="1:29" ht="11.25" customHeight="1" x14ac:dyDescent="0.2">
      <c r="A46" s="63" t="s">
        <v>160</v>
      </c>
      <c r="B46" s="64" t="s">
        <v>140</v>
      </c>
      <c r="C46" s="65" t="s">
        <v>6</v>
      </c>
      <c r="D46" s="65" t="s">
        <v>8</v>
      </c>
      <c r="E46" s="65" t="s">
        <v>7</v>
      </c>
      <c r="F46" s="65" t="s">
        <v>28</v>
      </c>
      <c r="G46" s="65" t="str">
        <f t="shared" si="11"/>
        <v>UsdLibor1M</v>
      </c>
      <c r="H46" s="63" t="str">
        <f t="shared" si="12"/>
        <v>USDAM3L21Y_Quote</v>
      </c>
      <c r="I46" s="170" t="str">
        <f t="shared" si="13"/>
        <v>USD3L1L21Y_Quote</v>
      </c>
      <c r="J46" s="69"/>
      <c r="L46" s="11" t="str">
        <f t="shared" si="9"/>
        <v>BasSw</v>
      </c>
      <c r="M46" s="105" t="str">
        <f t="shared" si="10"/>
        <v>obj_00297#0311</v>
      </c>
      <c r="N46" s="159" t="str">
        <f>IFERROR(_xll.qlRateHelperQuoteName(M46,Trigger),"--")</f>
        <v>USDAM3L25Y_Quote</v>
      </c>
      <c r="O46" s="109">
        <f>IFERROR(_xll.qlRateHelperQuoteValue($M46,Trigger),"--")</f>
        <v>2.1129999999999999E-2</v>
      </c>
      <c r="P46" s="108" t="b">
        <v>1</v>
      </c>
      <c r="Q46" s="105">
        <v>40</v>
      </c>
      <c r="R46" s="105">
        <v>1</v>
      </c>
      <c r="S46" s="110">
        <f>IFERROR(_xll.qlRateHelperEarliestDate(M46,Trigger),"--")</f>
        <v>42450</v>
      </c>
      <c r="T46" s="110">
        <f>IFERROR(_xll.qlRateHelperPillarDate(M46,Trigger),"--")</f>
        <v>51581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5" t="str">
        <f>IFERROR(_xll.qlRateHelperRate(W46,Trigger),"")</f>
        <v/>
      </c>
      <c r="Z46" s="115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3" t="e">
        <v>#N/A</v>
      </c>
    </row>
    <row r="47" spans="1:29" ht="11.25" customHeight="1" x14ac:dyDescent="0.2">
      <c r="A47" s="63" t="s">
        <v>160</v>
      </c>
      <c r="B47" s="64" t="s">
        <v>141</v>
      </c>
      <c r="C47" s="65" t="s">
        <v>6</v>
      </c>
      <c r="D47" s="65" t="s">
        <v>8</v>
      </c>
      <c r="E47" s="65" t="s">
        <v>7</v>
      </c>
      <c r="F47" s="65" t="s">
        <v>28</v>
      </c>
      <c r="G47" s="65" t="str">
        <f t="shared" si="11"/>
        <v>UsdLibor1M</v>
      </c>
      <c r="H47" s="63" t="str">
        <f t="shared" si="12"/>
        <v>USDAM3L22Y_Quote</v>
      </c>
      <c r="I47" s="170" t="str">
        <f t="shared" si="13"/>
        <v>USD3L1L22Y_Quote</v>
      </c>
      <c r="J47" s="69"/>
      <c r="L47" s="11" t="str">
        <f t="shared" si="9"/>
        <v>BasSw</v>
      </c>
      <c r="M47" s="105" t="str">
        <f t="shared" si="10"/>
        <v>--</v>
      </c>
      <c r="N47" s="159" t="str">
        <f>IFERROR(_xll.qlRateHelperQuoteName(M47,Trigger),"--")</f>
        <v>--</v>
      </c>
      <c r="O47" s="109" t="str">
        <f>IFERROR(_xll.qlRateHelperQuoteValue($M47,Trigger),"--")</f>
        <v>--</v>
      </c>
      <c r="P47" s="108" t="b">
        <v>0</v>
      </c>
      <c r="Q47" s="105">
        <v>40</v>
      </c>
      <c r="R47" s="105">
        <v>1</v>
      </c>
      <c r="S47" s="110" t="str">
        <f>IFERROR(_xll.qlRateHelperEarliestDate(M47,Trigger),"--")</f>
        <v>--</v>
      </c>
      <c r="T47" s="110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5" t="str">
        <f>IFERROR(_xll.qlRateHelperRate(W47,Trigger),"")</f>
        <v/>
      </c>
      <c r="Z47" s="115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3" t="e">
        <v>#N/A</v>
      </c>
    </row>
    <row r="48" spans="1:29" ht="11.25" customHeight="1" x14ac:dyDescent="0.2">
      <c r="A48" s="63" t="s">
        <v>160</v>
      </c>
      <c r="B48" s="64" t="s">
        <v>142</v>
      </c>
      <c r="C48" s="65" t="s">
        <v>6</v>
      </c>
      <c r="D48" s="65" t="s">
        <v>8</v>
      </c>
      <c r="E48" s="65" t="s">
        <v>7</v>
      </c>
      <c r="F48" s="65" t="s">
        <v>28</v>
      </c>
      <c r="G48" s="65" t="str">
        <f t="shared" si="11"/>
        <v>UsdLibor1M</v>
      </c>
      <c r="H48" s="63" t="str">
        <f t="shared" si="12"/>
        <v>USDAM3L23Y_Quote</v>
      </c>
      <c r="I48" s="170" t="str">
        <f t="shared" si="13"/>
        <v>USD3L1L23Y_Quote</v>
      </c>
      <c r="J48" s="69"/>
      <c r="L48" s="11" t="str">
        <f t="shared" si="9"/>
        <v>BasSw</v>
      </c>
      <c r="M48" s="105" t="str">
        <f t="shared" si="10"/>
        <v>--</v>
      </c>
      <c r="N48" s="159" t="str">
        <f>IFERROR(_xll.qlRateHelperQuoteName(M48,Trigger),"--")</f>
        <v>--</v>
      </c>
      <c r="O48" s="109" t="str">
        <f>IFERROR(_xll.qlRateHelperQuoteValue($M48,Trigger),"--")</f>
        <v>--</v>
      </c>
      <c r="P48" s="108" t="b">
        <v>0</v>
      </c>
      <c r="Q48" s="105">
        <v>40</v>
      </c>
      <c r="R48" s="105">
        <v>1</v>
      </c>
      <c r="S48" s="110" t="str">
        <f>IFERROR(_xll.qlRateHelperEarliestDate(M48,Trigger),"--")</f>
        <v>--</v>
      </c>
      <c r="T48" s="110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5" t="str">
        <f>IFERROR(_xll.qlRateHelperRate(W48,Trigger),"")</f>
        <v/>
      </c>
      <c r="Z48" s="115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3" t="e">
        <v>#N/A</v>
      </c>
    </row>
    <row r="49" spans="1:29" ht="11.25" customHeight="1" x14ac:dyDescent="0.2">
      <c r="A49" s="63" t="s">
        <v>160</v>
      </c>
      <c r="B49" s="64" t="s">
        <v>143</v>
      </c>
      <c r="C49" s="65" t="s">
        <v>6</v>
      </c>
      <c r="D49" s="65" t="s">
        <v>8</v>
      </c>
      <c r="E49" s="65" t="s">
        <v>7</v>
      </c>
      <c r="F49" s="65" t="s">
        <v>28</v>
      </c>
      <c r="G49" s="65" t="str">
        <f t="shared" si="11"/>
        <v>UsdLibor1M</v>
      </c>
      <c r="H49" s="63" t="str">
        <f t="shared" si="12"/>
        <v>USDAM3L24Y_Quote</v>
      </c>
      <c r="I49" s="170" t="str">
        <f t="shared" si="13"/>
        <v>USD3L1L24Y_Quote</v>
      </c>
      <c r="J49" s="69"/>
      <c r="L49" s="11" t="str">
        <f t="shared" si="9"/>
        <v>BasSw</v>
      </c>
      <c r="M49" s="105" t="str">
        <f t="shared" si="10"/>
        <v>--</v>
      </c>
      <c r="N49" s="159" t="str">
        <f>IFERROR(_xll.qlRateHelperQuoteName(M49,Trigger),"--")</f>
        <v>--</v>
      </c>
      <c r="O49" s="109" t="str">
        <f>IFERROR(_xll.qlRateHelperQuoteValue($M49,Trigger),"--")</f>
        <v>--</v>
      </c>
      <c r="P49" s="108" t="b">
        <v>0</v>
      </c>
      <c r="Q49" s="105">
        <v>40</v>
      </c>
      <c r="R49" s="105">
        <v>1</v>
      </c>
      <c r="S49" s="110" t="str">
        <f>IFERROR(_xll.qlRateHelperEarliestDate(M49,Trigger),"--")</f>
        <v>--</v>
      </c>
      <c r="T49" s="110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5" t="str">
        <f>IFERROR(_xll.qlRateHelperRate(W49,Trigger),"")</f>
        <v/>
      </c>
      <c r="Z49" s="115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3" t="e">
        <v>#N/A</v>
      </c>
    </row>
    <row r="50" spans="1:29" ht="11.25" customHeight="1" x14ac:dyDescent="0.2">
      <c r="A50" s="63" t="s">
        <v>160</v>
      </c>
      <c r="B50" s="64" t="s">
        <v>93</v>
      </c>
      <c r="C50" s="65" t="s">
        <v>6</v>
      </c>
      <c r="D50" s="65" t="s">
        <v>8</v>
      </c>
      <c r="E50" s="65" t="s">
        <v>7</v>
      </c>
      <c r="F50" s="65" t="s">
        <v>28</v>
      </c>
      <c r="G50" s="65" t="str">
        <f t="shared" si="11"/>
        <v>UsdLibor1M</v>
      </c>
      <c r="H50" s="63" t="str">
        <f t="shared" si="12"/>
        <v>USDAM3L25Y_Quote</v>
      </c>
      <c r="I50" s="170" t="str">
        <f t="shared" si="13"/>
        <v>USD3L1L25Y_Quote</v>
      </c>
      <c r="J50" s="69" t="str">
        <f>_xll.qlSwapRateHelper2(,H50,,B50,JoinCalendar,USD1M!D50,USD1M!E50,USD1M!F50,USD1M!G50,USD1M!I50,USD1M!C50,Discounting,PillarDate,,Permanent,Trigger,ObjectOverwrite)</f>
        <v>obj_00297#0311</v>
      </c>
      <c r="L50" s="11" t="str">
        <f t="shared" si="9"/>
        <v>BasSw</v>
      </c>
      <c r="M50" s="105" t="str">
        <f t="shared" si="10"/>
        <v>--</v>
      </c>
      <c r="N50" s="159" t="str">
        <f>IFERROR(_xll.qlRateHelperQuoteName(M50,Trigger),"--")</f>
        <v>--</v>
      </c>
      <c r="O50" s="109" t="str">
        <f>IFERROR(_xll.qlRateHelperQuoteValue($M50,Trigger),"--")</f>
        <v>--</v>
      </c>
      <c r="P50" s="108" t="b">
        <v>0</v>
      </c>
      <c r="Q50" s="105">
        <v>40</v>
      </c>
      <c r="R50" s="105">
        <v>1</v>
      </c>
      <c r="S50" s="110" t="str">
        <f>IFERROR(_xll.qlRateHelperEarliestDate(M50,Trigger),"--")</f>
        <v>--</v>
      </c>
      <c r="T50" s="110" t="str">
        <f>IFERROR(_xll.qlRateHelperPillarDate(M50,Trigger),"--")</f>
        <v>--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5" t="str">
        <f>IFERROR(_xll.qlRateHelperRate(W50,Trigger),"")</f>
        <v/>
      </c>
      <c r="Z50" s="115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3" t="e">
        <v>#N/A</v>
      </c>
    </row>
    <row r="51" spans="1:29" ht="11.25" customHeight="1" x14ac:dyDescent="0.2">
      <c r="A51" s="63" t="s">
        <v>160</v>
      </c>
      <c r="B51" s="64" t="s">
        <v>144</v>
      </c>
      <c r="C51" s="65" t="s">
        <v>6</v>
      </c>
      <c r="D51" s="65" t="s">
        <v>8</v>
      </c>
      <c r="E51" s="65" t="s">
        <v>7</v>
      </c>
      <c r="F51" s="65" t="s">
        <v>28</v>
      </c>
      <c r="G51" s="65" t="str">
        <f t="shared" si="11"/>
        <v>UsdLibor1M</v>
      </c>
      <c r="H51" s="63" t="str">
        <f t="shared" si="12"/>
        <v>USDAM3L26Y_Quote</v>
      </c>
      <c r="I51" s="170" t="str">
        <f t="shared" si="13"/>
        <v>USD3L1L26Y_Quote</v>
      </c>
      <c r="J51" s="69"/>
      <c r="L51" s="11" t="str">
        <f t="shared" si="9"/>
        <v>BasSw</v>
      </c>
      <c r="M51" s="105" t="str">
        <f t="shared" si="10"/>
        <v>obj_00285#0312</v>
      </c>
      <c r="N51" s="159" t="str">
        <f>IFERROR(_xll.qlRateHelperQuoteName(M51,Trigger),"--")</f>
        <v>USDAM3L30Y_Quote</v>
      </c>
      <c r="O51" s="109">
        <f>IFERROR(_xll.qlRateHelperQuoteValue($M51,Trigger),"--")</f>
        <v>2.1480000000000003E-2</v>
      </c>
      <c r="P51" s="108" t="b">
        <v>1</v>
      </c>
      <c r="Q51" s="105">
        <v>40</v>
      </c>
      <c r="R51" s="105">
        <v>1</v>
      </c>
      <c r="S51" s="110">
        <f>IFERROR(_xll.qlRateHelperEarliestDate(M51,Trigger),"--")</f>
        <v>42450</v>
      </c>
      <c r="T51" s="110">
        <f>IFERROR(_xll.qlRateHelperPillarDate(M51,Trigger),"--")</f>
        <v>53407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5" t="str">
        <f>IFERROR(_xll.qlRateHelperRate(W51,Trigger),"")</f>
        <v/>
      </c>
      <c r="Z51" s="115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3" t="e">
        <v>#N/A</v>
      </c>
    </row>
    <row r="52" spans="1:29" ht="11.25" customHeight="1" x14ac:dyDescent="0.2">
      <c r="A52" s="63" t="s">
        <v>160</v>
      </c>
      <c r="B52" s="64" t="s">
        <v>94</v>
      </c>
      <c r="C52" s="65" t="s">
        <v>6</v>
      </c>
      <c r="D52" s="65" t="s">
        <v>8</v>
      </c>
      <c r="E52" s="65" t="s">
        <v>7</v>
      </c>
      <c r="F52" s="65" t="s">
        <v>28</v>
      </c>
      <c r="G52" s="65" t="str">
        <f t="shared" si="11"/>
        <v>UsdLibor1M</v>
      </c>
      <c r="H52" s="63" t="str">
        <f t="shared" si="12"/>
        <v>USDAM3L27Y_Quote</v>
      </c>
      <c r="I52" s="170" t="str">
        <f t="shared" si="13"/>
        <v>USD3L1L27Y_Quote</v>
      </c>
      <c r="J52" s="69"/>
      <c r="L52" s="11" t="str">
        <f t="shared" si="9"/>
        <v>BasSw</v>
      </c>
      <c r="M52" s="105" t="str">
        <f t="shared" si="10"/>
        <v>--</v>
      </c>
      <c r="N52" s="159" t="str">
        <f>IFERROR(_xll.qlRateHelperQuoteName(M52,Trigger),"--")</f>
        <v>--</v>
      </c>
      <c r="O52" s="109" t="str">
        <f>IFERROR(_xll.qlRateHelperQuoteValue($M52,Trigger),"--")</f>
        <v>--</v>
      </c>
      <c r="P52" s="108" t="b">
        <v>0</v>
      </c>
      <c r="Q52" s="105">
        <v>40</v>
      </c>
      <c r="R52" s="105">
        <v>1</v>
      </c>
      <c r="S52" s="110" t="str">
        <f>IFERROR(_xll.qlRateHelperEarliestDate(M52,Trigger),"--")</f>
        <v>--</v>
      </c>
      <c r="T52" s="110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5" t="str">
        <f>IFERROR(_xll.qlRateHelperRate(W52,Trigger),"")</f>
        <v/>
      </c>
      <c r="Z52" s="115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3" t="e">
        <v>#N/A</v>
      </c>
    </row>
    <row r="53" spans="1:29" ht="11.25" customHeight="1" x14ac:dyDescent="0.2">
      <c r="A53" s="63" t="s">
        <v>160</v>
      </c>
      <c r="B53" s="64" t="s">
        <v>145</v>
      </c>
      <c r="C53" s="65" t="s">
        <v>6</v>
      </c>
      <c r="D53" s="65" t="s">
        <v>8</v>
      </c>
      <c r="E53" s="65" t="s">
        <v>7</v>
      </c>
      <c r="F53" s="65" t="s">
        <v>28</v>
      </c>
      <c r="G53" s="65" t="str">
        <f t="shared" si="11"/>
        <v>UsdLibor1M</v>
      </c>
      <c r="H53" s="63" t="str">
        <f t="shared" si="12"/>
        <v>USDAM3L28Y_Quote</v>
      </c>
      <c r="I53" s="170" t="str">
        <f t="shared" si="13"/>
        <v>USD3L1L28Y_Quote</v>
      </c>
      <c r="J53" s="69"/>
      <c r="L53" s="11" t="str">
        <f t="shared" si="9"/>
        <v>BasSw</v>
      </c>
      <c r="M53" s="105" t="str">
        <f t="shared" si="10"/>
        <v>obj_0027a#0312</v>
      </c>
      <c r="N53" s="159" t="str">
        <f>IFERROR(_xll.qlRateHelperQuoteName(M53,Trigger),"--")</f>
        <v>USDAM3L40Y_Quote</v>
      </c>
      <c r="O53" s="109">
        <f>IFERROR(_xll.qlRateHelperQuoteValue($M53,Trigger),"--")</f>
        <v>2.1690000000000001E-2</v>
      </c>
      <c r="P53" s="174" t="b">
        <f>NOT(ISERROR(_xll.qlQuoteValue(N53)))</f>
        <v>1</v>
      </c>
      <c r="Q53" s="105">
        <v>40</v>
      </c>
      <c r="R53" s="105">
        <v>1</v>
      </c>
      <c r="S53" s="110">
        <f>IFERROR(_xll.qlRateHelperEarliestDate(M53,Trigger),"--")</f>
        <v>42450</v>
      </c>
      <c r="T53" s="110">
        <f>IFERROR(_xll.qlRateHelperPillarDate(M53,Trigger),"--")</f>
        <v>57060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5" t="str">
        <f>IFERROR(_xll.qlRateHelperRate(W53,Trigger),"")</f>
        <v/>
      </c>
      <c r="Z53" s="115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3" t="e">
        <v>#N/A</v>
      </c>
    </row>
    <row r="54" spans="1:29" ht="11.25" customHeight="1" x14ac:dyDescent="0.2">
      <c r="A54" s="63" t="s">
        <v>160</v>
      </c>
      <c r="B54" s="64" t="s">
        <v>146</v>
      </c>
      <c r="C54" s="65" t="s">
        <v>6</v>
      </c>
      <c r="D54" s="65" t="s">
        <v>8</v>
      </c>
      <c r="E54" s="65" t="s">
        <v>7</v>
      </c>
      <c r="F54" s="65" t="s">
        <v>28</v>
      </c>
      <c r="G54" s="65" t="str">
        <f t="shared" si="11"/>
        <v>UsdLibor1M</v>
      </c>
      <c r="H54" s="63" t="str">
        <f t="shared" si="12"/>
        <v>USDAM3L29Y_Quote</v>
      </c>
      <c r="I54" s="170" t="str">
        <f t="shared" si="13"/>
        <v>USD3L1L29Y_Quote</v>
      </c>
      <c r="J54" s="69"/>
      <c r="L54" s="11" t="str">
        <f t="shared" si="9"/>
        <v>BasSw</v>
      </c>
      <c r="M54" s="105" t="str">
        <f t="shared" si="10"/>
        <v>obj_002e2#0311</v>
      </c>
      <c r="N54" s="159" t="str">
        <f>IFERROR(_xll.qlRateHelperQuoteName(M54,Trigger),"--")</f>
        <v>USDAM3L50Y_Quote</v>
      </c>
      <c r="O54" s="109">
        <f>IFERROR(_xll.qlRateHelperQuoteValue($M54,Trigger),"--")</f>
        <v>2.1530000000000001E-2</v>
      </c>
      <c r="P54" s="174" t="b">
        <f>NOT(ISERROR(_xll.qlQuoteValue(N54)))</f>
        <v>1</v>
      </c>
      <c r="Q54" s="105">
        <v>40</v>
      </c>
      <c r="R54" s="105">
        <v>1</v>
      </c>
      <c r="S54" s="110">
        <f>IFERROR(_xll.qlRateHelperEarliestDate(M54,Trigger),"--")</f>
        <v>42450</v>
      </c>
      <c r="T54" s="110">
        <f>IFERROR(_xll.qlRateHelperPillarDate(M54,Trigger),"--")</f>
        <v>60713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5" t="str">
        <f>IFERROR(_xll.qlRateHelperRate(W54,Trigger),"")</f>
        <v/>
      </c>
      <c r="Z54" s="115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3" t="e">
        <v>#N/A</v>
      </c>
    </row>
    <row r="55" spans="1:29" ht="11.25" customHeight="1" x14ac:dyDescent="0.2">
      <c r="A55" s="63" t="s">
        <v>160</v>
      </c>
      <c r="B55" s="64" t="s">
        <v>95</v>
      </c>
      <c r="C55" s="65" t="s">
        <v>6</v>
      </c>
      <c r="D55" s="65" t="s">
        <v>8</v>
      </c>
      <c r="E55" s="65" t="s">
        <v>7</v>
      </c>
      <c r="F55" s="65" t="s">
        <v>28</v>
      </c>
      <c r="G55" s="65" t="str">
        <f t="shared" si="11"/>
        <v>UsdLibor1M</v>
      </c>
      <c r="H55" s="63" t="str">
        <f t="shared" si="12"/>
        <v>USDAM3L30Y_Quote</v>
      </c>
      <c r="I55" s="170" t="str">
        <f t="shared" si="13"/>
        <v>USD3L1L30Y_Quote</v>
      </c>
      <c r="J55" s="69" t="str">
        <f>_xll.qlSwapRateHelper2(,H55,,B55,JoinCalendar,USD1M!D55,USD1M!E55,USD1M!F55,USD1M!G55,USD1M!I55,USD1M!C55,Discounting,PillarDate,,Permanent,Trigger,ObjectOverwrite)</f>
        <v>obj_00285#0312</v>
      </c>
      <c r="L55" s="12" t="str">
        <f t="shared" si="9"/>
        <v>BasSw</v>
      </c>
      <c r="M55" s="106" t="str">
        <f t="shared" si="10"/>
        <v>--</v>
      </c>
      <c r="N55" s="160" t="str">
        <f>IFERROR(_xll.qlRateHelperQuoteName(M55,Trigger),"--")</f>
        <v>--</v>
      </c>
      <c r="O55" s="112" t="str">
        <f>IFERROR(_xll.qlRateHelperQuoteValue($M55,Trigger),"--")</f>
        <v>--</v>
      </c>
      <c r="P55" s="111" t="b">
        <v>0</v>
      </c>
      <c r="Q55" s="106">
        <v>40</v>
      </c>
      <c r="R55" s="106">
        <v>1</v>
      </c>
      <c r="S55" s="113" t="str">
        <f>IFERROR(_xll.qlRateHelperEarliestDate(M55,Trigger),"--")</f>
        <v>--</v>
      </c>
      <c r="T55" s="113" t="str">
        <f>IFERROR(_xll.qlRateHelperPillarDate(M55,Trigger),"--")</f>
        <v>--</v>
      </c>
      <c r="V55" s="6" t="str">
        <f t="shared" si="3"/>
        <v/>
      </c>
      <c r="W55" s="6" t="e">
        <v>#N/A</v>
      </c>
      <c r="X55" s="6" t="str">
        <f>IFERROR(_xll.qlRateHelperQuoteName(W55,Trigger),"")</f>
        <v/>
      </c>
      <c r="Y55" s="85" t="str">
        <f>IFERROR(_xll.qlRateHelperRate(W55,Trigger),"")</f>
        <v/>
      </c>
      <c r="Z55" s="116" t="str">
        <f>IF(ISERROR(_xll.qlSwapRateHelperSpread($W55)),IF(ISERROR(_xll.qlFuturesRateHelperConvexityAdjustment($W55)),"",_xll.qlFuturesRateHelperConvexityAdjustment($W55)),_xll.qlSwapRateHelperSpread($W55))</f>
        <v/>
      </c>
      <c r="AA55" s="13" t="str">
        <f>IFERROR(_xll.qlRateHelperEarliestDate(W55,Trigger),"")</f>
        <v/>
      </c>
      <c r="AB55" s="13" t="str">
        <f>IFERROR(_xll.qlRateHelperPillarDate(W55,Trigger),"")</f>
        <v/>
      </c>
      <c r="AC55" s="84" t="e">
        <v>#N/A</v>
      </c>
    </row>
    <row r="56" spans="1:29" ht="11.25" customHeight="1" x14ac:dyDescent="0.2">
      <c r="A56" s="63" t="s">
        <v>160</v>
      </c>
      <c r="B56" s="64" t="s">
        <v>96</v>
      </c>
      <c r="C56" s="65" t="s">
        <v>6</v>
      </c>
      <c r="D56" s="65" t="s">
        <v>8</v>
      </c>
      <c r="E56" s="65" t="s">
        <v>7</v>
      </c>
      <c r="F56" s="65" t="s">
        <v>28</v>
      </c>
      <c r="G56" s="65" t="str">
        <f t="shared" si="11"/>
        <v>UsdLibor1M</v>
      </c>
      <c r="H56" s="63" t="str">
        <f t="shared" si="12"/>
        <v>USDAM3L35Y_Quote</v>
      </c>
      <c r="I56" s="170" t="str">
        <f t="shared" si="13"/>
        <v>USD3L1L35Y_Quote</v>
      </c>
      <c r="J56" s="69"/>
    </row>
    <row r="57" spans="1:29" ht="11.25" customHeight="1" x14ac:dyDescent="0.2">
      <c r="A57" s="63" t="s">
        <v>160</v>
      </c>
      <c r="B57" s="64" t="s">
        <v>97</v>
      </c>
      <c r="C57" s="65" t="s">
        <v>6</v>
      </c>
      <c r="D57" s="65" t="s">
        <v>8</v>
      </c>
      <c r="E57" s="65" t="s">
        <v>7</v>
      </c>
      <c r="F57" s="65" t="s">
        <v>28</v>
      </c>
      <c r="G57" s="65" t="str">
        <f t="shared" si="11"/>
        <v>UsdLibor1M</v>
      </c>
      <c r="H57" s="63" t="str">
        <f t="shared" si="12"/>
        <v>USDAM3L40Y_Quote</v>
      </c>
      <c r="I57" s="170" t="str">
        <f t="shared" si="13"/>
        <v>USD3L1L40Y_Quote</v>
      </c>
      <c r="J57" s="69" t="str">
        <f>_xll.qlSwapRateHelper2(,H57,,B57,JoinCalendar,USD1M!D57,USD1M!E57,USD1M!F57,USD1M!G57,USD1M!I57,USD1M!C57,Discounting,PillarDate,,Permanent,Trigger,ObjectOverwrite)</f>
        <v>obj_0027a#0312</v>
      </c>
    </row>
    <row r="58" spans="1:29" ht="11.25" customHeight="1" x14ac:dyDescent="0.2">
      <c r="A58" s="63" t="s">
        <v>160</v>
      </c>
      <c r="B58" s="64" t="s">
        <v>99</v>
      </c>
      <c r="C58" s="65" t="s">
        <v>6</v>
      </c>
      <c r="D58" s="65" t="s">
        <v>8</v>
      </c>
      <c r="E58" s="65" t="s">
        <v>7</v>
      </c>
      <c r="F58" s="65" t="s">
        <v>28</v>
      </c>
      <c r="G58" s="65" t="str">
        <f t="shared" si="11"/>
        <v>UsdLibor1M</v>
      </c>
      <c r="H58" s="63" t="str">
        <f t="shared" si="12"/>
        <v>USDAM3L50Y_Quote</v>
      </c>
      <c r="I58" s="170" t="str">
        <f t="shared" si="13"/>
        <v>USD3L1L50Y_Quote</v>
      </c>
      <c r="J58" s="69" t="str">
        <f>_xll.qlSwapRateHelper2(,H58,,B58,JoinCalendar,USD1M!D58,USD1M!E58,USD1M!F58,USD1M!G58,USD1M!I58,USD1M!C58,Discounting,PillarDate,,Permanent,Trigger,ObjectOverwrite)</f>
        <v>obj_002e2#0311</v>
      </c>
    </row>
    <row r="59" spans="1:29" ht="11.25" customHeight="1" x14ac:dyDescent="0.2">
      <c r="A59" s="1" t="s">
        <v>160</v>
      </c>
      <c r="B59" s="9" t="s">
        <v>147</v>
      </c>
      <c r="C59" s="7" t="s">
        <v>6</v>
      </c>
      <c r="D59" s="7" t="s">
        <v>8</v>
      </c>
      <c r="E59" s="7" t="s">
        <v>7</v>
      </c>
      <c r="F59" s="7" t="s">
        <v>28</v>
      </c>
      <c r="G59" s="7" t="str">
        <f t="shared" si="11"/>
        <v>UsdLibor1M</v>
      </c>
      <c r="H59" s="1" t="str">
        <f t="shared" si="12"/>
        <v>USDAM3L60Y_Quote</v>
      </c>
      <c r="I59" s="171" t="str">
        <f t="shared" si="13"/>
        <v>USD3L1L60Y_Quote</v>
      </c>
      <c r="J59" s="3"/>
    </row>
    <row r="60" spans="1:29" ht="11.25" customHeight="1" x14ac:dyDescent="0.2"/>
    <row r="61" spans="1:29" ht="11.25" customHeight="1" x14ac:dyDescent="0.2"/>
    <row r="62" spans="1:29" ht="11.25" customHeight="1" x14ac:dyDescent="0.2"/>
    <row r="63" spans="1:29" ht="11.25" customHeight="1" x14ac:dyDescent="0.2"/>
    <row r="64" spans="1:29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90" spans="11:11" x14ac:dyDescent="0.2">
      <c r="K90" s="50" t="s">
        <v>47</v>
      </c>
    </row>
  </sheetData>
  <mergeCells count="1">
    <mergeCell ref="AE2:AF2"/>
  </mergeCells>
  <dataValidations count="4">
    <dataValidation type="list" allowBlank="1" showInputMessage="1" showErrorMessage="1" sqref="AF6">
      <formula1>"AllDepos,DeposBeforeFirstFuturesStartDate,DeposBeforeFirstFuturesStartDatePlusOne,DeposBeforeFirstFuturesExpiryDate"</formula1>
    </dataValidation>
    <dataValidation type="list" allowBlank="1" showInputMessage="1" showErrorMessage="1" sqref="D10:D20 D23:D59">
      <formula1>"Annual,Semiannual,EveryFourthMonth,Quarterly,Bimonthly,Monthly,Biweekly,Weekly,Daily,Once,NoFrequency"</formula1>
    </dataValidation>
    <dataValidation type="list" allowBlank="1" showInputMessage="1" showErrorMessage="1" sqref="E10:E20 E23:E59">
      <formula1>"Following,Modified Following,Preceding,Modified Preceding,Unadjusted,Half-Month Modified Following"</formula1>
    </dataValidation>
    <dataValidation type="list" allowBlank="1" showInputMessage="1" showErrorMessage="1" sqref="F10:F20 F23:F59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50" hidden="1" customWidth="1" outlineLevel="1"/>
    <col min="2" max="2" width="6" style="55" hidden="1" customWidth="1" outlineLevel="1"/>
    <col min="3" max="3" width="6.7109375" style="54" hidden="1" customWidth="1" outlineLevel="1"/>
    <col min="4" max="4" width="7" style="54" hidden="1" customWidth="1" outlineLevel="1"/>
    <col min="5" max="5" width="19.28515625" style="54" hidden="1" customWidth="1" outlineLevel="1"/>
    <col min="6" max="6" width="11" style="54" hidden="1" customWidth="1" outlineLevel="1"/>
    <col min="7" max="7" width="15.140625" style="54" hidden="1" customWidth="1" outlineLevel="1"/>
    <col min="8" max="8" width="24.42578125" style="56" hidden="1" customWidth="1" outlineLevel="1"/>
    <col min="9" max="9" width="9" style="50" hidden="1" customWidth="1" outlineLevel="1"/>
    <col min="10" max="10" width="15.140625" style="50" hidden="1" customWidth="1" outlineLevel="1"/>
    <col min="11" max="11" width="2.7109375" style="50" customWidth="1" collapsed="1"/>
    <col min="12" max="12" width="6" style="50" hidden="1" customWidth="1" outlineLevel="1"/>
    <col min="13" max="13" width="15.140625" style="114" hidden="1" customWidth="1" outlineLevel="1"/>
    <col min="14" max="14" width="22.42578125" style="114" hidden="1" customWidth="1" outlineLevel="1"/>
    <col min="15" max="15" width="9.7109375" style="114" hidden="1" customWidth="1" outlineLevel="1"/>
    <col min="16" max="16" width="7.85546875" style="114" hidden="1" customWidth="1" outlineLevel="1"/>
    <col min="17" max="17" width="9" style="114" hidden="1" customWidth="1" outlineLevel="1"/>
    <col min="18" max="18" width="5.85546875" style="114" hidden="1" customWidth="1" outlineLevel="1"/>
    <col min="19" max="20" width="10.7109375" style="114" hidden="1" customWidth="1" outlineLevel="1"/>
    <col min="21" max="21" width="2.7109375" style="52" hidden="1" customWidth="1" outlineLevel="1"/>
    <col min="22" max="22" width="6" style="50" bestFit="1" customWidth="1" collapsed="1"/>
    <col min="23" max="23" width="10.140625" style="50" hidden="1" customWidth="1" outlineLevel="1"/>
    <col min="24" max="24" width="24.7109375" style="50" customWidth="1" collapsed="1"/>
    <col min="25" max="26" width="9.7109375" style="50" customWidth="1"/>
    <col min="27" max="28" width="17.28515625" style="50" bestFit="1" customWidth="1"/>
    <col min="29" max="29" width="12" style="50" bestFit="1" customWidth="1"/>
    <col min="30" max="30" width="2.7109375" style="50" customWidth="1"/>
    <col min="31" max="31" width="24.42578125" style="50" bestFit="1" customWidth="1"/>
    <col min="32" max="32" width="9" style="50" bestFit="1" customWidth="1"/>
    <col min="33" max="16384" width="9.140625" style="50"/>
  </cols>
  <sheetData>
    <row r="1" spans="1:32" ht="18" customHeight="1" x14ac:dyDescent="0.2">
      <c r="G1" s="54" t="s">
        <v>29</v>
      </c>
      <c r="H1" s="54" t="str">
        <f>"_SYNTH"&amp;Tenor</f>
        <v>_SYNTH1Y</v>
      </c>
      <c r="L1" s="72" t="s">
        <v>25</v>
      </c>
      <c r="M1" s="117"/>
      <c r="N1" s="117"/>
      <c r="O1" s="117"/>
      <c r="P1" s="117"/>
      <c r="Q1" s="117"/>
      <c r="R1" s="117"/>
      <c r="S1" s="117"/>
      <c r="T1" s="107"/>
      <c r="U1" s="104"/>
      <c r="V1" s="80" t="str">
        <f>Currency&amp;Tenor</f>
        <v>USD1Y</v>
      </c>
      <c r="W1" s="71"/>
      <c r="X1" s="71"/>
      <c r="Y1" s="74"/>
      <c r="Z1" s="74"/>
      <c r="AA1" s="71"/>
      <c r="AB1" s="71"/>
      <c r="AC1" s="78" t="s">
        <v>33</v>
      </c>
    </row>
    <row r="2" spans="1:32" ht="21.75" customHeight="1" x14ac:dyDescent="0.2">
      <c r="A2" s="70" t="s">
        <v>9</v>
      </c>
      <c r="B2" s="70" t="s">
        <v>30</v>
      </c>
      <c r="C2" s="70" t="s">
        <v>125</v>
      </c>
      <c r="D2" s="70"/>
      <c r="E2" s="70"/>
      <c r="F2" s="70"/>
      <c r="G2" s="70" t="s">
        <v>4</v>
      </c>
      <c r="H2" s="70" t="s">
        <v>1</v>
      </c>
      <c r="I2" s="70"/>
      <c r="J2" s="70" t="s">
        <v>25</v>
      </c>
      <c r="L2" s="79" t="s">
        <v>9</v>
      </c>
      <c r="M2" s="79" t="s">
        <v>25</v>
      </c>
      <c r="N2" s="79" t="s">
        <v>112</v>
      </c>
      <c r="O2" s="79" t="s">
        <v>115</v>
      </c>
      <c r="P2" s="79" t="s">
        <v>113</v>
      </c>
      <c r="Q2" s="79" t="s">
        <v>114</v>
      </c>
      <c r="R2" s="79" t="s">
        <v>116</v>
      </c>
      <c r="S2" s="79" t="s">
        <v>23</v>
      </c>
      <c r="T2" s="79" t="s">
        <v>109</v>
      </c>
      <c r="U2" s="104"/>
      <c r="V2" s="79" t="s">
        <v>9</v>
      </c>
      <c r="W2" s="79" t="s">
        <v>25</v>
      </c>
      <c r="X2" s="79" t="s">
        <v>112</v>
      </c>
      <c r="Y2" s="81" t="s">
        <v>24</v>
      </c>
      <c r="Z2" s="81" t="s">
        <v>117</v>
      </c>
      <c r="AA2" s="79" t="s">
        <v>23</v>
      </c>
      <c r="AB2" s="79" t="s">
        <v>109</v>
      </c>
      <c r="AC2" s="82">
        <f t="array" ref="AC2:AC78">_xll.qlPiecewiseYieldCurveData(YieldCurve_1Y,Trigger)</f>
        <v>1</v>
      </c>
      <c r="AE2" s="250" t="s">
        <v>118</v>
      </c>
      <c r="AF2" s="251"/>
    </row>
    <row r="3" spans="1:32" ht="11.25" customHeight="1" x14ac:dyDescent="0.2">
      <c r="A3" s="121" t="s">
        <v>27</v>
      </c>
      <c r="B3" s="122" t="s">
        <v>104</v>
      </c>
      <c r="C3" s="123" t="s">
        <v>49</v>
      </c>
      <c r="D3" s="135"/>
      <c r="E3" s="135"/>
      <c r="F3" s="135"/>
      <c r="G3" s="124" t="str">
        <f>Currency&amp;"FedFunds"</f>
        <v>USDFedFunds</v>
      </c>
      <c r="H3" s="132" t="str">
        <f t="shared" ref="H3:H18" si="0">Currency&amp;$B3&amp;"D"&amp;$H$1&amp;QuoteSuffix</f>
        <v>USDSND_SYNTH1Y_Quote</v>
      </c>
      <c r="I3" s="135"/>
      <c r="J3" s="125"/>
      <c r="K3" s="53"/>
      <c r="L3" s="73" t="str">
        <f>A3</f>
        <v>Dp</v>
      </c>
      <c r="M3" s="144" t="str">
        <f>IF(ISBLANK(J3),"--",J3)</f>
        <v>--</v>
      </c>
      <c r="N3" s="158" t="str">
        <f>IFERROR(_xll.qlRateHelperQuoteName(M3,Trigger),"--")</f>
        <v>--</v>
      </c>
      <c r="O3" s="146" t="str">
        <f>IFERROR(_xll.qlRateHelperQuoteValue($M3,Trigger),"--")</f>
        <v>--</v>
      </c>
      <c r="P3" s="145" t="b">
        <v>0</v>
      </c>
      <c r="Q3" s="144">
        <v>10</v>
      </c>
      <c r="R3" s="144">
        <v>1</v>
      </c>
      <c r="S3" s="147" t="str">
        <f>IFERROR(_xll.qlRateHelperEarliestDate(M3,Trigger),"--")</f>
        <v>--</v>
      </c>
      <c r="T3" s="147" t="str">
        <f>IFERROR(_xll.qlRateHelperPillarDate(M3,Trigger),"--")</f>
        <v>--</v>
      </c>
      <c r="V3" s="4" t="str">
        <f>IFERROR(INDEX($L$3:$L$88,MATCH(X3,$N$3:$N$88,0),1),"")</f>
        <v>Dp</v>
      </c>
      <c r="W3" s="4" t="str">
        <f t="array" ref="W3:W78">_xll.qlRateHelperSelection(_xll.ohFilter(RateHelpers,IncludeFlag),_xll.ohFilter(Priority,IncludeFlag),$AF$3,$AF$4,$AF$5,$AF$6,_xll.ohFilter(MinDistance,IncludeFlag),Trigger)</f>
        <v>obj_002ef</v>
      </c>
      <c r="X3" s="4" t="str">
        <f>IFERROR(_xll.qlRateHelperQuoteName(W3,Trigger),"")</f>
        <v>USD1MD_SYNTH1Y_Quote</v>
      </c>
      <c r="Y3" s="75">
        <f>IFERROR(_xll.qlRateHelperRate(W3,Trigger),"")</f>
        <v>1.0947999999999999E-2</v>
      </c>
      <c r="Z3" s="115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42450</v>
      </c>
      <c r="AB3" s="5">
        <f>IFERROR(_xll.qlRateHelperPillarDate(W3,Trigger),"")</f>
        <v>42481</v>
      </c>
      <c r="AC3" s="83">
        <v>0.999058143485552</v>
      </c>
      <c r="AE3" s="118" t="s">
        <v>119</v>
      </c>
      <c r="AF3" s="119">
        <v>0</v>
      </c>
    </row>
    <row r="4" spans="1:32" ht="11.25" customHeight="1" x14ac:dyDescent="0.2">
      <c r="A4" s="57" t="s">
        <v>27</v>
      </c>
      <c r="B4" s="58" t="s">
        <v>124</v>
      </c>
      <c r="C4" s="60" t="s">
        <v>50</v>
      </c>
      <c r="D4" s="142"/>
      <c r="E4" s="142"/>
      <c r="F4" s="142"/>
      <c r="G4" s="59" t="str">
        <f>Currency&amp;FamilyName&amp;B4</f>
        <v>USDLiborSW</v>
      </c>
      <c r="H4" s="169" t="str">
        <f t="shared" si="0"/>
        <v>USDSWD_SYNTH1Y_Quote</v>
      </c>
      <c r="I4" s="142"/>
      <c r="J4" s="62"/>
      <c r="K4" s="52"/>
      <c r="L4" s="11" t="str">
        <f t="shared" ref="L4:L18" si="1">A4</f>
        <v>Dp</v>
      </c>
      <c r="M4" s="105" t="str">
        <f t="shared" ref="M4:M18" si="2">IF(ISBLANK(J4),"--",J4)</f>
        <v>--</v>
      </c>
      <c r="N4" s="159" t="str">
        <f>IFERROR(_xll.qlRateHelperQuoteName(M4,Trigger),"--")</f>
        <v>--</v>
      </c>
      <c r="O4" s="109" t="str">
        <f>IFERROR(_xll.qlRateHelperQuoteValue($M4,Trigger),"--")</f>
        <v>--</v>
      </c>
      <c r="P4" s="108" t="b">
        <v>0</v>
      </c>
      <c r="Q4" s="105">
        <v>10</v>
      </c>
      <c r="R4" s="105">
        <v>1</v>
      </c>
      <c r="S4" s="110" t="str">
        <f>IFERROR(_xll.qlRateHelperEarliestDate(M4,Trigger),"--")</f>
        <v>--</v>
      </c>
      <c r="T4" s="110" t="str">
        <f>IFERROR(_xll.qlRateHelperPillarDate(M4,Trigger),"--")</f>
        <v>--</v>
      </c>
      <c r="V4" s="4" t="str">
        <f t="shared" ref="V4:V67" si="3">IFERROR(INDEX($L$3:$L$88,MATCH(X4,$N$3:$N$88,0),1),"")</f>
        <v>Dp</v>
      </c>
      <c r="W4" s="4" t="str">
        <v>obj_002c4</v>
      </c>
      <c r="X4" s="4" t="str">
        <f>IFERROR(_xll.qlRateHelperQuoteName(W4,Trigger),"")</f>
        <v>USD2MD_SYNTH1Y_Quote</v>
      </c>
      <c r="Y4" s="75">
        <f>IFERROR(_xll.qlRateHelperRate(W4,Trigger),"")</f>
        <v>1.1001E-2</v>
      </c>
      <c r="Z4" s="115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42450</v>
      </c>
      <c r="AB4" s="5">
        <f>IFERROR(_xll.qlRateHelperPillarDate(W4,Trigger),"")</f>
        <v>42513</v>
      </c>
      <c r="AC4" s="83">
        <v>0.9980785241772403</v>
      </c>
      <c r="AE4" s="118" t="s">
        <v>120</v>
      </c>
      <c r="AF4" s="119">
        <v>0</v>
      </c>
    </row>
    <row r="5" spans="1:32" ht="11.25" customHeight="1" x14ac:dyDescent="0.2">
      <c r="A5" s="175" t="s">
        <v>27</v>
      </c>
      <c r="B5" s="176" t="s">
        <v>51</v>
      </c>
      <c r="C5" s="177" t="str">
        <f>B5</f>
        <v>2W</v>
      </c>
      <c r="D5" s="178"/>
      <c r="E5" s="178"/>
      <c r="F5" s="178"/>
      <c r="G5" s="179" t="str">
        <f>_xll.qlLibor(,Currency,C5,,Permanent,Trigger,ObjectOverwrite)</f>
        <v>obj_002de#0311</v>
      </c>
      <c r="H5" s="180" t="str">
        <f t="shared" si="0"/>
        <v>USD2WD_SYNTH1Y_Quote</v>
      </c>
      <c r="I5" s="178"/>
      <c r="J5" s="181"/>
      <c r="K5" s="52"/>
      <c r="L5" s="11" t="str">
        <f t="shared" si="1"/>
        <v>Dp</v>
      </c>
      <c r="M5" s="105" t="str">
        <f t="shared" si="2"/>
        <v>--</v>
      </c>
      <c r="N5" s="159" t="str">
        <f>IFERROR(_xll.qlRateHelperQuoteName(M5,Trigger),"--")</f>
        <v>--</v>
      </c>
      <c r="O5" s="109" t="str">
        <f>IFERROR(_xll.qlRateHelperQuoteValue($M5,Trigger),"--")</f>
        <v>--</v>
      </c>
      <c r="P5" s="108" t="b">
        <v>0</v>
      </c>
      <c r="Q5" s="105">
        <v>10</v>
      </c>
      <c r="R5" s="105">
        <v>1</v>
      </c>
      <c r="S5" s="110" t="str">
        <f>IFERROR(_xll.qlRateHelperEarliestDate(M5,Trigger),"--")</f>
        <v>--</v>
      </c>
      <c r="T5" s="110" t="str">
        <f>IFERROR(_xll.qlRateHelperPillarDate(M5,Trigger),"--")</f>
        <v>--</v>
      </c>
      <c r="V5" s="4" t="str">
        <f t="shared" si="3"/>
        <v>Dp</v>
      </c>
      <c r="W5" s="4" t="str">
        <v>obj_002f0</v>
      </c>
      <c r="X5" s="4" t="str">
        <f>IFERROR(_xll.qlRateHelperQuoteName(W5,Trigger),"")</f>
        <v>USD3MD_SYNTH1Y_Quote</v>
      </c>
      <c r="Y5" s="75">
        <f>IFERROR(_xll.qlRateHelperRate(W5,Trigger),"")</f>
        <v>1.1094E-2</v>
      </c>
      <c r="Z5" s="115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42450</v>
      </c>
      <c r="AB5" s="5">
        <f>IFERROR(_xll.qlRateHelperPillarDate(W5,Trigger),"")</f>
        <v>42542</v>
      </c>
      <c r="AC5" s="83">
        <v>0.99717288192336295</v>
      </c>
      <c r="AD5" s="86"/>
      <c r="AE5" s="118" t="s">
        <v>121</v>
      </c>
      <c r="AF5" s="119">
        <v>0</v>
      </c>
    </row>
    <row r="6" spans="1:32" ht="11.25" customHeight="1" x14ac:dyDescent="0.2">
      <c r="A6" s="182" t="s">
        <v>27</v>
      </c>
      <c r="B6" s="183" t="s">
        <v>52</v>
      </c>
      <c r="C6" s="184" t="str">
        <f t="shared" ref="C6:C18" si="4">B6</f>
        <v>3W</v>
      </c>
      <c r="D6" s="185"/>
      <c r="E6" s="185"/>
      <c r="F6" s="185"/>
      <c r="G6" s="186" t="str">
        <f>_xll.qlLibor(,Currency,C6,,Permanent,Trigger,ObjectOverwrite)</f>
        <v>obj_002d3#0311</v>
      </c>
      <c r="H6" s="187" t="str">
        <f t="shared" si="0"/>
        <v>USD3WD_SYNTH1Y_Quote</v>
      </c>
      <c r="I6" s="185"/>
      <c r="J6" s="188"/>
      <c r="K6" s="52"/>
      <c r="L6" s="11" t="str">
        <f t="shared" si="1"/>
        <v>Dp</v>
      </c>
      <c r="M6" s="105" t="str">
        <f t="shared" si="2"/>
        <v>--</v>
      </c>
      <c r="N6" s="159" t="str">
        <f>IFERROR(_xll.qlRateHelperQuoteName(M6,Trigger),"--")</f>
        <v>--</v>
      </c>
      <c r="O6" s="109" t="str">
        <f>IFERROR(_xll.qlRateHelperQuoteValue($M6,Trigger),"--")</f>
        <v>--</v>
      </c>
      <c r="P6" s="108" t="b">
        <v>0</v>
      </c>
      <c r="Q6" s="105">
        <v>10</v>
      </c>
      <c r="R6" s="105">
        <v>1</v>
      </c>
      <c r="S6" s="110" t="str">
        <f>IFERROR(_xll.qlRateHelperEarliestDate(M6,Trigger),"--")</f>
        <v>--</v>
      </c>
      <c r="T6" s="110" t="str">
        <f>IFERROR(_xll.qlRateHelperPillarDate(M6,Trigger),"--")</f>
        <v>--</v>
      </c>
      <c r="V6" s="4" t="str">
        <f t="shared" si="3"/>
        <v>Dp</v>
      </c>
      <c r="W6" s="4" t="str">
        <v>obj_0030b</v>
      </c>
      <c r="X6" s="4" t="str">
        <f>IFERROR(_xll.qlRateHelperQuoteName(W6,Trigger),"")</f>
        <v>USD4MD_SYNTH1Y_Quote</v>
      </c>
      <c r="Y6" s="75">
        <f>IFERROR(_xll.qlRateHelperRate(W6,Trigger),"")</f>
        <v>1.1298000000000001E-2</v>
      </c>
      <c r="Z6" s="115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42450</v>
      </c>
      <c r="AB6" s="5">
        <f>IFERROR(_xll.qlRateHelperPillarDate(W6,Trigger),"")</f>
        <v>42572</v>
      </c>
      <c r="AC6" s="83">
        <v>0.99618583687397166</v>
      </c>
      <c r="AE6" s="118" t="s">
        <v>122</v>
      </c>
      <c r="AF6" s="120" t="s">
        <v>123</v>
      </c>
    </row>
    <row r="7" spans="1:32" ht="11.25" customHeight="1" x14ac:dyDescent="0.2">
      <c r="A7" s="63" t="s">
        <v>27</v>
      </c>
      <c r="B7" s="64" t="s">
        <v>2</v>
      </c>
      <c r="C7" s="67" t="str">
        <f t="shared" si="4"/>
        <v>1M</v>
      </c>
      <c r="D7" s="136"/>
      <c r="E7" s="136"/>
      <c r="F7" s="136"/>
      <c r="G7" s="65" t="str">
        <f>Currency&amp;FamilyName&amp;B7</f>
        <v>USDLibor1M</v>
      </c>
      <c r="H7" s="133" t="str">
        <f t="shared" si="0"/>
        <v>USD1MD_SYNTH1Y_Quote</v>
      </c>
      <c r="I7" s="136"/>
      <c r="J7" s="69" t="str">
        <f>_xll.qlDepositRateHelper(,H7,G7,Permanent,Trigger,ObjectOverwrite)</f>
        <v>obj_002ef#0311</v>
      </c>
      <c r="K7" s="52"/>
      <c r="L7" s="11" t="str">
        <f t="shared" si="1"/>
        <v>Dp</v>
      </c>
      <c r="M7" s="105" t="str">
        <f t="shared" si="2"/>
        <v>obj_002ef#0311</v>
      </c>
      <c r="N7" s="159" t="str">
        <f>IFERROR(_xll.qlRateHelperQuoteName(M7,Trigger),"--")</f>
        <v>USD1MD_SYNTH1Y_Quote</v>
      </c>
      <c r="O7" s="109">
        <f>IFERROR(_xll.qlRateHelperQuoteValue($M7,Trigger),"--")</f>
        <v>1.0947999999999999E-2</v>
      </c>
      <c r="P7" s="108" t="b">
        <v>1</v>
      </c>
      <c r="Q7" s="105">
        <v>10</v>
      </c>
      <c r="R7" s="105">
        <v>1</v>
      </c>
      <c r="S7" s="110">
        <f>IFERROR(_xll.qlRateHelperEarliestDate(M7,Trigger),"--")</f>
        <v>42450</v>
      </c>
      <c r="T7" s="110">
        <f>IFERROR(_xll.qlRateHelperPillarDate(M7,Trigger),"--")</f>
        <v>42481</v>
      </c>
      <c r="V7" s="4" t="str">
        <f t="shared" si="3"/>
        <v>Dp</v>
      </c>
      <c r="W7" s="4" t="str">
        <v>obj_0030c</v>
      </c>
      <c r="X7" s="4" t="str">
        <f>IFERROR(_xll.qlRateHelperQuoteName(W7,Trigger),"")</f>
        <v>USD5MD_SYNTH1Y_Quote</v>
      </c>
      <c r="Y7" s="75">
        <f>IFERROR(_xll.qlRateHelperRate(W7,Trigger),"")</f>
        <v>1.1461000000000001E-2</v>
      </c>
      <c r="Z7" s="115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42450</v>
      </c>
      <c r="AB7" s="5">
        <f>IFERROR(_xll.qlRateHelperPillarDate(W7,Trigger),"")</f>
        <v>42604</v>
      </c>
      <c r="AC7" s="83">
        <v>0.9951211586823685</v>
      </c>
    </row>
    <row r="8" spans="1:32" ht="11.25" customHeight="1" x14ac:dyDescent="0.25">
      <c r="A8" s="63" t="s">
        <v>27</v>
      </c>
      <c r="B8" s="64" t="s">
        <v>53</v>
      </c>
      <c r="C8" s="67" t="str">
        <f t="shared" si="4"/>
        <v>2M</v>
      </c>
      <c r="D8" s="136"/>
      <c r="E8" s="136"/>
      <c r="F8" s="136"/>
      <c r="G8" s="65" t="str">
        <f>Currency&amp;FamilyName&amp;B8</f>
        <v>USDLibor2M</v>
      </c>
      <c r="H8" s="133" t="str">
        <f t="shared" si="0"/>
        <v>USD2MD_SYNTH1Y_Quote</v>
      </c>
      <c r="I8" s="136"/>
      <c r="J8" s="69" t="str">
        <f>_xll.qlDepositRateHelper(,H8,G8,Permanent,Trigger,ObjectOverwrite)</f>
        <v>obj_002c4#0311</v>
      </c>
      <c r="K8" s="52"/>
      <c r="L8" s="11" t="str">
        <f t="shared" si="1"/>
        <v>Dp</v>
      </c>
      <c r="M8" s="105" t="str">
        <f t="shared" si="2"/>
        <v>obj_002c4#0311</v>
      </c>
      <c r="N8" s="159" t="str">
        <f>IFERROR(_xll.qlRateHelperQuoteName(M8,Trigger),"--")</f>
        <v>USD2MD_SYNTH1Y_Quote</v>
      </c>
      <c r="O8" s="109">
        <f>IFERROR(_xll.qlRateHelperQuoteValue($M8,Trigger),"--")</f>
        <v>1.1001E-2</v>
      </c>
      <c r="P8" s="108" t="b">
        <v>1</v>
      </c>
      <c r="Q8" s="105">
        <v>10</v>
      </c>
      <c r="R8" s="105">
        <v>1</v>
      </c>
      <c r="S8" s="110">
        <f>IFERROR(_xll.qlRateHelperEarliestDate(M8,Trigger),"--")</f>
        <v>42450</v>
      </c>
      <c r="T8" s="110">
        <f>IFERROR(_xll.qlRateHelperPillarDate(M8,Trigger),"--")</f>
        <v>42513</v>
      </c>
      <c r="V8" s="4" t="str">
        <f t="shared" si="3"/>
        <v>Dp</v>
      </c>
      <c r="W8" s="4" t="str">
        <v>obj_002cb</v>
      </c>
      <c r="X8" s="4" t="str">
        <f>IFERROR(_xll.qlRateHelperQuoteName(W8,Trigger),"")</f>
        <v>USD6MD_SYNTH1Y_Quote</v>
      </c>
      <c r="Y8" s="75">
        <f>IFERROR(_xll.qlRateHelperRate(W8,Trigger),"")</f>
        <v>1.1565000000000001E-2</v>
      </c>
      <c r="Z8" s="115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42450</v>
      </c>
      <c r="AB8" s="5">
        <f>IFERROR(_xll.qlRateHelperPillarDate(W8,Trigger),"")</f>
        <v>42634</v>
      </c>
      <c r="AC8" s="83">
        <v>0.99412373460475134</v>
      </c>
    </row>
    <row r="9" spans="1:32" ht="11.25" customHeight="1" x14ac:dyDescent="0.25">
      <c r="A9" s="63" t="s">
        <v>27</v>
      </c>
      <c r="B9" s="64" t="s">
        <v>0</v>
      </c>
      <c r="C9" s="67" t="str">
        <f t="shared" si="4"/>
        <v>3M</v>
      </c>
      <c r="D9" s="136"/>
      <c r="E9" s="136"/>
      <c r="F9" s="136"/>
      <c r="G9" s="65" t="str">
        <f>Currency&amp;FamilyName&amp;B9</f>
        <v>USDLibor3M</v>
      </c>
      <c r="H9" s="133" t="str">
        <f t="shared" si="0"/>
        <v>USD3MD_SYNTH1Y_Quote</v>
      </c>
      <c r="I9" s="136"/>
      <c r="J9" s="69" t="str">
        <f>_xll.qlDepositRateHelper(,H9,G9,Permanent,Trigger,ObjectOverwrite)</f>
        <v>obj_002f0#0311</v>
      </c>
      <c r="K9" s="52"/>
      <c r="L9" s="11" t="str">
        <f t="shared" si="1"/>
        <v>Dp</v>
      </c>
      <c r="M9" s="105" t="str">
        <f t="shared" si="2"/>
        <v>obj_002f0#0311</v>
      </c>
      <c r="N9" s="159" t="str">
        <f>IFERROR(_xll.qlRateHelperQuoteName(M9,Trigger),"--")</f>
        <v>USD3MD_SYNTH1Y_Quote</v>
      </c>
      <c r="O9" s="109">
        <f>IFERROR(_xll.qlRateHelperQuoteValue($M9,Trigger),"--")</f>
        <v>1.1094E-2</v>
      </c>
      <c r="P9" s="108" t="b">
        <v>1</v>
      </c>
      <c r="Q9" s="105">
        <v>10</v>
      </c>
      <c r="R9" s="105">
        <v>1</v>
      </c>
      <c r="S9" s="110">
        <f>IFERROR(_xll.qlRateHelperEarliestDate(M9,Trigger),"--")</f>
        <v>42450</v>
      </c>
      <c r="T9" s="110">
        <f>IFERROR(_xll.qlRateHelperPillarDate(M9,Trigger),"--")</f>
        <v>42542</v>
      </c>
      <c r="V9" s="4" t="str">
        <f t="shared" si="3"/>
        <v>Dp</v>
      </c>
      <c r="W9" s="4" t="str">
        <v>obj_002ff</v>
      </c>
      <c r="X9" s="4" t="str">
        <f>IFERROR(_xll.qlRateHelperQuoteName(W9,Trigger),"")</f>
        <v>USD9MD_SYNTH1Y_Quote</v>
      </c>
      <c r="Y9" s="75">
        <f>IFERROR(_xll.qlRateHelperRate(W9,Trigger),"")</f>
        <v>1.1977E-2</v>
      </c>
      <c r="Z9" s="115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42450</v>
      </c>
      <c r="AB9" s="5">
        <f>IFERROR(_xll.qlRateHelperPillarDate(W9,Trigger),"")</f>
        <v>42725</v>
      </c>
      <c r="AC9" s="83">
        <v>0.99093384986655297</v>
      </c>
    </row>
    <row r="10" spans="1:32" ht="11.25" customHeight="1" x14ac:dyDescent="0.25">
      <c r="A10" s="175" t="s">
        <v>27</v>
      </c>
      <c r="B10" s="176" t="s">
        <v>54</v>
      </c>
      <c r="C10" s="177" t="str">
        <f t="shared" si="4"/>
        <v>4M</v>
      </c>
      <c r="D10" s="178"/>
      <c r="E10" s="178"/>
      <c r="F10" s="178"/>
      <c r="G10" s="179" t="str">
        <f>_xll.qlLibor(,Currency,C10,,Permanent,Trigger,ObjectOverwrite)</f>
        <v>obj_002b3#0311</v>
      </c>
      <c r="H10" s="180" t="str">
        <f t="shared" si="0"/>
        <v>USD4MD_SYNTH1Y_Quote</v>
      </c>
      <c r="I10" s="178"/>
      <c r="J10" s="181" t="str">
        <f>_xll.qlDepositRateHelper(,H10,G10,Permanent,Trigger,ObjectOverwrite)</f>
        <v>obj_0030b#0300</v>
      </c>
      <c r="K10" s="52"/>
      <c r="L10" s="11" t="str">
        <f t="shared" si="1"/>
        <v>Dp</v>
      </c>
      <c r="M10" s="105" t="str">
        <f t="shared" si="2"/>
        <v>obj_0030b#0300</v>
      </c>
      <c r="N10" s="159" t="str">
        <f>IFERROR(_xll.qlRateHelperQuoteName(M10,Trigger),"--")</f>
        <v>USD4MD_SYNTH1Y_Quote</v>
      </c>
      <c r="O10" s="109">
        <f>IFERROR(_xll.qlRateHelperQuoteValue($M10,Trigger),"--")</f>
        <v>1.1298000000000001E-2</v>
      </c>
      <c r="P10" s="108" t="b">
        <v>1</v>
      </c>
      <c r="Q10" s="105">
        <v>10</v>
      </c>
      <c r="R10" s="105">
        <v>1</v>
      </c>
      <c r="S10" s="110">
        <f>IFERROR(_xll.qlRateHelperEarliestDate(M10,Trigger),"--")</f>
        <v>42450</v>
      </c>
      <c r="T10" s="110">
        <f>IFERROR(_xll.qlRateHelperPillarDate(M10,Trigger),"--")</f>
        <v>42572</v>
      </c>
      <c r="V10" s="4" t="str">
        <f t="shared" si="3"/>
        <v>Dp</v>
      </c>
      <c r="W10" s="4" t="str">
        <v>obj_002c0</v>
      </c>
      <c r="X10" s="4" t="str">
        <f>IFERROR(_xll.qlRateHelperQuoteName(W10,Trigger),"")</f>
        <v>USD1YD_SYNTH1Y_Quote</v>
      </c>
      <c r="Y10" s="75">
        <f>IFERROR(_xll.qlRateHelperRate(W10,Trigger),"")</f>
        <v>1.2022E-2</v>
      </c>
      <c r="Z10" s="115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42450</v>
      </c>
      <c r="AB10" s="5">
        <f>IFERROR(_xll.qlRateHelperPillarDate(W10,Trigger),"")</f>
        <v>42815</v>
      </c>
      <c r="AC10" s="83">
        <v>0.98795780970082925</v>
      </c>
    </row>
    <row r="11" spans="1:32" ht="11.25" customHeight="1" x14ac:dyDescent="0.25">
      <c r="A11" s="182" t="s">
        <v>27</v>
      </c>
      <c r="B11" s="183" t="s">
        <v>55</v>
      </c>
      <c r="C11" s="184" t="str">
        <f t="shared" si="4"/>
        <v>5M</v>
      </c>
      <c r="D11" s="185"/>
      <c r="E11" s="185"/>
      <c r="F11" s="185"/>
      <c r="G11" s="186" t="str">
        <f>_xll.qlLibor(,Currency,C11,,Permanent,Trigger,ObjectOverwrite)</f>
        <v>obj_002a0#0311</v>
      </c>
      <c r="H11" s="187" t="str">
        <f t="shared" si="0"/>
        <v>USD5MD_SYNTH1Y_Quote</v>
      </c>
      <c r="I11" s="185"/>
      <c r="J11" s="188" t="str">
        <f>_xll.qlDepositRateHelper(,H11,G11,Permanent,Trigger,ObjectOverwrite)</f>
        <v>obj_0030c#0300</v>
      </c>
      <c r="K11" s="52"/>
      <c r="L11" s="11" t="str">
        <f t="shared" si="1"/>
        <v>Dp</v>
      </c>
      <c r="M11" s="105" t="str">
        <f t="shared" si="2"/>
        <v>obj_0030c#0300</v>
      </c>
      <c r="N11" s="159" t="str">
        <f>IFERROR(_xll.qlRateHelperQuoteName(M11,Trigger),"--")</f>
        <v>USD5MD_SYNTH1Y_Quote</v>
      </c>
      <c r="O11" s="109">
        <f>IFERROR(_xll.qlRateHelperQuoteValue($M11,Trigger),"--")</f>
        <v>1.1461000000000001E-2</v>
      </c>
      <c r="P11" s="108" t="b">
        <v>1</v>
      </c>
      <c r="Q11" s="105">
        <v>10</v>
      </c>
      <c r="R11" s="105">
        <v>1</v>
      </c>
      <c r="S11" s="110">
        <f>IFERROR(_xll.qlRateHelperEarliestDate(M11,Trigger),"--")</f>
        <v>42450</v>
      </c>
      <c r="T11" s="110">
        <f>IFERROR(_xll.qlRateHelperPillarDate(M11,Trigger),"--")</f>
        <v>42604</v>
      </c>
      <c r="V11" s="4" t="str">
        <f t="shared" si="3"/>
        <v>FRA</v>
      </c>
      <c r="W11" s="4" t="str">
        <v>obj_002a2</v>
      </c>
      <c r="X11" s="4" t="str">
        <f>IFERROR(_xll.qlRateHelperQuoteName(W11,Trigger),"")</f>
        <v>USD1x13F_Quote</v>
      </c>
      <c r="Y11" s="75">
        <f>IFERROR(_xll.qlRateHelperRate(W11,Trigger),"")</f>
        <v>1.1899999999999999E-2</v>
      </c>
      <c r="Z11" s="115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42481</v>
      </c>
      <c r="AB11" s="5">
        <f>IFERROR(_xll.qlRateHelperPillarDate(W11,Trigger),"")</f>
        <v>42846</v>
      </c>
      <c r="AC11" s="83">
        <v>0.98714792950827646</v>
      </c>
    </row>
    <row r="12" spans="1:32" ht="11.25" customHeight="1" x14ac:dyDescent="0.25">
      <c r="A12" s="63" t="s">
        <v>27</v>
      </c>
      <c r="B12" s="64" t="s">
        <v>3</v>
      </c>
      <c r="C12" s="67" t="str">
        <f t="shared" si="4"/>
        <v>6M</v>
      </c>
      <c r="D12" s="136"/>
      <c r="E12" s="136"/>
      <c r="F12" s="136"/>
      <c r="G12" s="65" t="str">
        <f>Currency&amp;FamilyName&amp;B12</f>
        <v>USDLibor6M</v>
      </c>
      <c r="H12" s="133" t="str">
        <f t="shared" si="0"/>
        <v>USD6MD_SYNTH1Y_Quote</v>
      </c>
      <c r="I12" s="136"/>
      <c r="J12" s="69" t="str">
        <f>_xll.qlDepositRateHelper(,H12,G12,Permanent,Trigger,ObjectOverwrite)</f>
        <v>obj_002cb#0311</v>
      </c>
      <c r="K12" s="52" t="s">
        <v>47</v>
      </c>
      <c r="L12" s="11" t="str">
        <f t="shared" si="1"/>
        <v>Dp</v>
      </c>
      <c r="M12" s="105" t="str">
        <f t="shared" si="2"/>
        <v>obj_002cb#0311</v>
      </c>
      <c r="N12" s="159" t="str">
        <f>IFERROR(_xll.qlRateHelperQuoteName(M12,Trigger),"--")</f>
        <v>USD6MD_SYNTH1Y_Quote</v>
      </c>
      <c r="O12" s="109">
        <f>IFERROR(_xll.qlRateHelperQuoteValue($M12,Trigger),"--")</f>
        <v>1.1565000000000001E-2</v>
      </c>
      <c r="P12" s="108" t="b">
        <v>1</v>
      </c>
      <c r="Q12" s="105">
        <v>10</v>
      </c>
      <c r="R12" s="105">
        <v>1</v>
      </c>
      <c r="S12" s="110">
        <f>IFERROR(_xll.qlRateHelperEarliestDate(M12,Trigger),"--")</f>
        <v>42450</v>
      </c>
      <c r="T12" s="110">
        <f>IFERROR(_xll.qlRateHelperPillarDate(M12,Trigger),"--")</f>
        <v>42634</v>
      </c>
      <c r="V12" s="4" t="str">
        <f t="shared" si="3"/>
        <v>FRA</v>
      </c>
      <c r="W12" s="4" t="str">
        <v>obj_00282</v>
      </c>
      <c r="X12" s="4" t="str">
        <f>IFERROR(_xll.qlRateHelperQuoteName(W12,Trigger),"")</f>
        <v>USD2x14F_Quote</v>
      </c>
      <c r="Y12" s="75">
        <f>IFERROR(_xll.qlRateHelperRate(W12,Trigger),"")</f>
        <v>1.179E-2</v>
      </c>
      <c r="Z12" s="115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42513</v>
      </c>
      <c r="AB12" s="5">
        <f>IFERROR(_xll.qlRateHelperPillarDate(W12,Trigger),"")</f>
        <v>42877</v>
      </c>
      <c r="AC12" s="83">
        <v>0.98631464419797721</v>
      </c>
    </row>
    <row r="13" spans="1:32" ht="11.25" customHeight="1" x14ac:dyDescent="0.2">
      <c r="A13" s="175" t="s">
        <v>27</v>
      </c>
      <c r="B13" s="176" t="s">
        <v>56</v>
      </c>
      <c r="C13" s="177" t="str">
        <f t="shared" si="4"/>
        <v>7M</v>
      </c>
      <c r="D13" s="178"/>
      <c r="E13" s="178"/>
      <c r="F13" s="178"/>
      <c r="G13" s="179" t="str">
        <f>_xll.qlLibor(,Currency,C13,,Permanent,Trigger,ObjectOverwrite)</f>
        <v>obj_0029e#0311</v>
      </c>
      <c r="H13" s="180" t="str">
        <f t="shared" si="0"/>
        <v>USD7MD_SYNTH1Y_Quote</v>
      </c>
      <c r="I13" s="178"/>
      <c r="J13" s="181"/>
      <c r="K13" s="52"/>
      <c r="L13" s="11" t="str">
        <f t="shared" si="1"/>
        <v>Dp</v>
      </c>
      <c r="M13" s="105" t="str">
        <f t="shared" si="2"/>
        <v>--</v>
      </c>
      <c r="N13" s="159" t="str">
        <f>IFERROR(_xll.qlRateHelperQuoteName(M13,Trigger),"--")</f>
        <v>--</v>
      </c>
      <c r="O13" s="109" t="str">
        <f>IFERROR(_xll.qlRateHelperQuoteValue($M13,Trigger),"--")</f>
        <v>--</v>
      </c>
      <c r="P13" s="108" t="b">
        <v>0</v>
      </c>
      <c r="Q13" s="105">
        <v>10</v>
      </c>
      <c r="R13" s="105">
        <v>1</v>
      </c>
      <c r="S13" s="110" t="str">
        <f>IFERROR(_xll.qlRateHelperEarliestDate(M13,Trigger),"--")</f>
        <v>--</v>
      </c>
      <c r="T13" s="110" t="str">
        <f>IFERROR(_xll.qlRateHelperPillarDate(M13,Trigger),"--")</f>
        <v>--</v>
      </c>
      <c r="V13" s="4" t="str">
        <f t="shared" si="3"/>
        <v>FRA</v>
      </c>
      <c r="W13" s="4" t="str">
        <v>obj_002c5</v>
      </c>
      <c r="X13" s="4" t="str">
        <f>IFERROR(_xll.qlRateHelperQuoteName(W13,Trigger),"")</f>
        <v>USD3x15F_Quote</v>
      </c>
      <c r="Y13" s="75">
        <f>IFERROR(_xll.qlRateHelperRate(W13,Trigger),"")</f>
        <v>1.1699999999999999E-2</v>
      </c>
      <c r="Z13" s="115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42542</v>
      </c>
      <c r="AB13" s="5">
        <f>IFERROR(_xll.qlRateHelperPillarDate(W13,Trigger),"")</f>
        <v>42907</v>
      </c>
      <c r="AC13" s="83">
        <v>0.98548259464439392</v>
      </c>
    </row>
    <row r="14" spans="1:32" ht="11.25" customHeight="1" x14ac:dyDescent="0.2">
      <c r="A14" s="63" t="s">
        <v>27</v>
      </c>
      <c r="B14" s="64" t="s">
        <v>57</v>
      </c>
      <c r="C14" s="67" t="str">
        <f t="shared" si="4"/>
        <v>8M</v>
      </c>
      <c r="D14" s="136"/>
      <c r="E14" s="136"/>
      <c r="F14" s="136"/>
      <c r="G14" s="65" t="str">
        <f>_xll.qlLibor(,Currency,C14,,Permanent,Trigger,ObjectOverwrite)</f>
        <v>obj_00295#0311</v>
      </c>
      <c r="H14" s="133" t="str">
        <f t="shared" si="0"/>
        <v>USD8MD_SYNTH1Y_Quote</v>
      </c>
      <c r="I14" s="136"/>
      <c r="J14" s="69"/>
      <c r="K14" s="52"/>
      <c r="L14" s="11" t="str">
        <f t="shared" si="1"/>
        <v>Dp</v>
      </c>
      <c r="M14" s="105" t="str">
        <f t="shared" si="2"/>
        <v>--</v>
      </c>
      <c r="N14" s="159" t="str">
        <f>IFERROR(_xll.qlRateHelperQuoteName(M14,Trigger),"--")</f>
        <v>--</v>
      </c>
      <c r="O14" s="109" t="str">
        <f>IFERROR(_xll.qlRateHelperQuoteValue($M14,Trigger),"--")</f>
        <v>--</v>
      </c>
      <c r="P14" s="108" t="b">
        <v>0</v>
      </c>
      <c r="Q14" s="105">
        <v>10</v>
      </c>
      <c r="R14" s="105">
        <v>1</v>
      </c>
      <c r="S14" s="110" t="str">
        <f>IFERROR(_xll.qlRateHelperEarliestDate(M14,Trigger),"--")</f>
        <v>--</v>
      </c>
      <c r="T14" s="110" t="str">
        <f>IFERROR(_xll.qlRateHelperPillarDate(M14,Trigger),"--")</f>
        <v>--</v>
      </c>
      <c r="V14" s="4" t="str">
        <f t="shared" si="3"/>
        <v>FRA</v>
      </c>
      <c r="W14" s="4" t="str">
        <v>obj_0029f</v>
      </c>
      <c r="X14" s="4" t="str">
        <f>IFERROR(_xll.qlRateHelperQuoteName(W14,Trigger),"")</f>
        <v>USD4x16F_Quote</v>
      </c>
      <c r="Y14" s="75">
        <f>IFERROR(_xll.qlRateHelperRate(W14,Trigger),"")</f>
        <v>1.188E-2</v>
      </c>
      <c r="Z14" s="115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42572</v>
      </c>
      <c r="AB14" s="5">
        <f>IFERROR(_xll.qlRateHelperPillarDate(W14,Trigger),"")</f>
        <v>42937</v>
      </c>
      <c r="AC14" s="83">
        <v>0.98432958699857831</v>
      </c>
    </row>
    <row r="15" spans="1:32" ht="11.25" customHeight="1" x14ac:dyDescent="0.2">
      <c r="A15" s="63" t="s">
        <v>27</v>
      </c>
      <c r="B15" s="64" t="s">
        <v>58</v>
      </c>
      <c r="C15" s="67" t="str">
        <f t="shared" si="4"/>
        <v>9M</v>
      </c>
      <c r="D15" s="136"/>
      <c r="E15" s="136"/>
      <c r="F15" s="136"/>
      <c r="G15" s="65" t="str">
        <f>_xll.qlLibor(,Currency,C15,,Permanent,Trigger,ObjectOverwrite)</f>
        <v>obj_002b0#0311</v>
      </c>
      <c r="H15" s="133" t="str">
        <f t="shared" si="0"/>
        <v>USD9MD_SYNTH1Y_Quote</v>
      </c>
      <c r="I15" s="136"/>
      <c r="J15" s="69" t="str">
        <f>_xll.qlDepositRateHelper(,H15,G15,Permanent,Trigger,ObjectOverwrite)</f>
        <v>obj_002ff#0308</v>
      </c>
      <c r="K15" s="52"/>
      <c r="L15" s="11" t="str">
        <f t="shared" si="1"/>
        <v>Dp</v>
      </c>
      <c r="M15" s="105" t="str">
        <f t="shared" si="2"/>
        <v>obj_002ff#0308</v>
      </c>
      <c r="N15" s="159" t="str">
        <f>IFERROR(_xll.qlRateHelperQuoteName(M15,Trigger),"--")</f>
        <v>USD9MD_SYNTH1Y_Quote</v>
      </c>
      <c r="O15" s="109">
        <f>IFERROR(_xll.qlRateHelperQuoteValue($M15,Trigger),"--")</f>
        <v>1.1977E-2</v>
      </c>
      <c r="P15" s="108" t="b">
        <v>1</v>
      </c>
      <c r="Q15" s="105">
        <v>10</v>
      </c>
      <c r="R15" s="105">
        <v>1</v>
      </c>
      <c r="S15" s="110">
        <f>IFERROR(_xll.qlRateHelperEarliestDate(M15,Trigger),"--")</f>
        <v>42450</v>
      </c>
      <c r="T15" s="110">
        <f>IFERROR(_xll.qlRateHelperPillarDate(M15,Trigger),"--")</f>
        <v>42725</v>
      </c>
      <c r="V15" s="4" t="str">
        <f t="shared" si="3"/>
        <v>FRA</v>
      </c>
      <c r="W15" s="4" t="str">
        <v>obj_0029a</v>
      </c>
      <c r="X15" s="4" t="str">
        <f>IFERROR(_xll.qlRateHelperQuoteName(W15,Trigger),"")</f>
        <v>USD5x17F_Quote</v>
      </c>
      <c r="Y15" s="75">
        <f>IFERROR(_xll.qlRateHelperRate(W15,Trigger),"")</f>
        <v>1.2030000000000001E-2</v>
      </c>
      <c r="Z15" s="115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42604</v>
      </c>
      <c r="AB15" s="5">
        <f>IFERROR(_xll.qlRateHelperPillarDate(W15,Trigger),"")</f>
        <v>42968</v>
      </c>
      <c r="AC15" s="83">
        <v>0.98316662690409362</v>
      </c>
    </row>
    <row r="16" spans="1:32" ht="11.25" customHeight="1" x14ac:dyDescent="0.2">
      <c r="A16" s="63" t="s">
        <v>27</v>
      </c>
      <c r="B16" s="64" t="s">
        <v>59</v>
      </c>
      <c r="C16" s="67" t="str">
        <f t="shared" si="4"/>
        <v>10M</v>
      </c>
      <c r="D16" s="136"/>
      <c r="E16" s="136"/>
      <c r="F16" s="136"/>
      <c r="G16" s="65" t="str">
        <f>_xll.qlLibor(,Currency,C16,,Permanent,Trigger,ObjectOverwrite)</f>
        <v>obj_002b4#0311</v>
      </c>
      <c r="H16" s="133" t="str">
        <f t="shared" si="0"/>
        <v>USD10MD_SYNTH1Y_Quote</v>
      </c>
      <c r="I16" s="136"/>
      <c r="J16" s="69"/>
      <c r="K16" s="52"/>
      <c r="L16" s="11" t="str">
        <f t="shared" si="1"/>
        <v>Dp</v>
      </c>
      <c r="M16" s="105" t="str">
        <f t="shared" si="2"/>
        <v>--</v>
      </c>
      <c r="N16" s="159" t="str">
        <f>IFERROR(_xll.qlRateHelperQuoteName(M16,Trigger),"--")</f>
        <v>--</v>
      </c>
      <c r="O16" s="109" t="str">
        <f>IFERROR(_xll.qlRateHelperQuoteValue($M16,Trigger),"--")</f>
        <v>--</v>
      </c>
      <c r="P16" s="108" t="b">
        <v>0</v>
      </c>
      <c r="Q16" s="105">
        <v>10</v>
      </c>
      <c r="R16" s="105">
        <v>1</v>
      </c>
      <c r="S16" s="110" t="str">
        <f>IFERROR(_xll.qlRateHelperEarliestDate(M16,Trigger),"--")</f>
        <v>--</v>
      </c>
      <c r="T16" s="110" t="str">
        <f>IFERROR(_xll.qlRateHelperPillarDate(M16,Trigger),"--")</f>
        <v>--</v>
      </c>
      <c r="V16" s="4" t="str">
        <f t="shared" si="3"/>
        <v>FRA</v>
      </c>
      <c r="W16" s="4" t="str">
        <v>obj_002f1</v>
      </c>
      <c r="X16" s="4" t="str">
        <f>IFERROR(_xll.qlRateHelperQuoteName(W16,Trigger),"")</f>
        <v>USD6x18F_Quote</v>
      </c>
      <c r="Y16" s="75">
        <f>IFERROR(_xll.qlRateHelperRate(W16,Trigger),"")</f>
        <v>1.217E-2</v>
      </c>
      <c r="Z16" s="115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42634</v>
      </c>
      <c r="AB16" s="5">
        <f>IFERROR(_xll.qlRateHelperPillarDate(W16,Trigger),"")</f>
        <v>42999</v>
      </c>
      <c r="AC16" s="83">
        <v>0.98200672633059571</v>
      </c>
    </row>
    <row r="17" spans="1:29" ht="11.25" customHeight="1" x14ac:dyDescent="0.2">
      <c r="A17" s="182" t="s">
        <v>27</v>
      </c>
      <c r="B17" s="183" t="s">
        <v>60</v>
      </c>
      <c r="C17" s="184" t="str">
        <f t="shared" si="4"/>
        <v>11M</v>
      </c>
      <c r="D17" s="185"/>
      <c r="E17" s="185"/>
      <c r="F17" s="185"/>
      <c r="G17" s="186" t="str">
        <f>_xll.qlLibor(,Currency,C17,,Permanent,Trigger,ObjectOverwrite)</f>
        <v>obj_002c6#0311</v>
      </c>
      <c r="H17" s="187" t="str">
        <f t="shared" si="0"/>
        <v>USD11MD_SYNTH1Y_Quote</v>
      </c>
      <c r="I17" s="185"/>
      <c r="J17" s="188"/>
      <c r="K17" s="52"/>
      <c r="L17" s="11" t="str">
        <f t="shared" si="1"/>
        <v>Dp</v>
      </c>
      <c r="M17" s="105" t="str">
        <f t="shared" si="2"/>
        <v>--</v>
      </c>
      <c r="N17" s="159" t="str">
        <f>IFERROR(_xll.qlRateHelperQuoteName(M17,Trigger),"--")</f>
        <v>--</v>
      </c>
      <c r="O17" s="109" t="str">
        <f>IFERROR(_xll.qlRateHelperQuoteValue($M17,Trigger),"--")</f>
        <v>--</v>
      </c>
      <c r="P17" s="108" t="b">
        <v>0</v>
      </c>
      <c r="Q17" s="105">
        <v>10</v>
      </c>
      <c r="R17" s="105">
        <v>1</v>
      </c>
      <c r="S17" s="110" t="str">
        <f>IFERROR(_xll.qlRateHelperEarliestDate(M17,Trigger),"--")</f>
        <v>--</v>
      </c>
      <c r="T17" s="110" t="str">
        <f>IFERROR(_xll.qlRateHelperPillarDate(M17,Trigger),"--")</f>
        <v>--</v>
      </c>
      <c r="V17" s="4" t="str">
        <f t="shared" si="3"/>
        <v>FRA</v>
      </c>
      <c r="W17" s="4" t="str">
        <v>obj_002e3</v>
      </c>
      <c r="X17" s="4" t="str">
        <f>IFERROR(_xll.qlRateHelperQuoteName(W17,Trigger),"")</f>
        <v>USD9x21F_Quote</v>
      </c>
      <c r="Y17" s="75">
        <f>IFERROR(_xll.qlRateHelperRate(W17,Trigger),"")</f>
        <v>1.2810000000000002E-2</v>
      </c>
      <c r="Z17" s="115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42725</v>
      </c>
      <c r="AB17" s="5">
        <f>IFERROR(_xll.qlRateHelperPillarDate(W17,Trigger),"")</f>
        <v>43090</v>
      </c>
      <c r="AC17" s="83">
        <v>0.97822869706809057</v>
      </c>
    </row>
    <row r="18" spans="1:29" ht="11.25" customHeight="1" x14ac:dyDescent="0.2">
      <c r="A18" s="1" t="s">
        <v>27</v>
      </c>
      <c r="B18" s="9" t="s">
        <v>29</v>
      </c>
      <c r="C18" s="10" t="str">
        <f t="shared" si="4"/>
        <v>1Y</v>
      </c>
      <c r="D18" s="137"/>
      <c r="E18" s="137"/>
      <c r="F18" s="137"/>
      <c r="G18" s="7" t="str">
        <f>Currency&amp;FamilyName&amp;B18</f>
        <v>USDLibor1Y</v>
      </c>
      <c r="H18" s="134" t="str">
        <f t="shared" si="0"/>
        <v>USD1YD_SYNTH1Y_Quote</v>
      </c>
      <c r="I18" s="137"/>
      <c r="J18" s="3" t="str">
        <f>_xll.qlDepositRateHelper(,H18,G18,Permanent,Trigger,ObjectOverwrite)</f>
        <v>obj_002c0#0311</v>
      </c>
      <c r="K18" s="52"/>
      <c r="L18" s="12" t="str">
        <f t="shared" si="1"/>
        <v>Dp</v>
      </c>
      <c r="M18" s="106" t="str">
        <f t="shared" si="2"/>
        <v>obj_002c0#0311</v>
      </c>
      <c r="N18" s="160" t="str">
        <f>IFERROR(_xll.qlRateHelperQuoteName(M18,Trigger),"--")</f>
        <v>USD1YD_SYNTH1Y_Quote</v>
      </c>
      <c r="O18" s="112">
        <f>IFERROR(_xll.qlRateHelperQuoteValue($M18,Trigger),"--")</f>
        <v>1.2022E-2</v>
      </c>
      <c r="P18" s="111" t="b">
        <v>1</v>
      </c>
      <c r="Q18" s="106">
        <v>10</v>
      </c>
      <c r="R18" s="106">
        <v>1</v>
      </c>
      <c r="S18" s="113">
        <f>IFERROR(_xll.qlRateHelperEarliestDate(M18,Trigger),"--")</f>
        <v>42450</v>
      </c>
      <c r="T18" s="113">
        <f>IFERROR(_xll.qlRateHelperPillarDate(M18,Trigger),"--")</f>
        <v>42815</v>
      </c>
      <c r="V18" s="4" t="str">
        <f t="shared" si="3"/>
        <v>BasSw</v>
      </c>
      <c r="W18" s="4" t="str">
        <v>obj_002c7</v>
      </c>
      <c r="X18" s="4" t="str">
        <f>IFERROR(_xll.qlRateHelperQuoteName(W18,Trigger),"")</f>
        <v>USDAM3L2Y_S12L3L_Quote</v>
      </c>
      <c r="Y18" s="75">
        <f>IFERROR(_xll.qlRateHelperRate(W18,Trigger),"")</f>
        <v>1.3087606002080402E-2</v>
      </c>
      <c r="Z18" s="115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42450</v>
      </c>
      <c r="AB18" s="5">
        <f>IFERROR(_xll.qlRateHelperPillarDate(W18,Trigger),"")</f>
        <v>43180</v>
      </c>
      <c r="AC18" s="83">
        <v>0.97397366439707378</v>
      </c>
    </row>
    <row r="19" spans="1:29" ht="11.25" customHeight="1" x14ac:dyDescent="0.2">
      <c r="B19" s="50"/>
      <c r="C19" s="50">
        <v>12</v>
      </c>
      <c r="D19" s="50"/>
      <c r="E19" s="50"/>
      <c r="F19" s="50"/>
      <c r="G19" s="50"/>
      <c r="H19" s="50"/>
      <c r="K19" s="52"/>
      <c r="L19" s="73" t="str">
        <f>A21</f>
        <v>FRA</v>
      </c>
      <c r="M19" s="144" t="str">
        <f>IF(ISBLANK(J21),"--",J21)</f>
        <v>obj_002a2#0311</v>
      </c>
      <c r="N19" s="158" t="str">
        <f>IFERROR(_xll.qlRateHelperQuoteName(M19,Trigger),"--")</f>
        <v>USD1x13F_Quote</v>
      </c>
      <c r="O19" s="146">
        <f>IFERROR(_xll.qlRateHelperQuoteValue($M19,Trigger),"--")</f>
        <v>1.1899999999999999E-2</v>
      </c>
      <c r="P19" s="145" t="b">
        <v>1</v>
      </c>
      <c r="Q19" s="144">
        <v>20</v>
      </c>
      <c r="R19" s="144">
        <v>1</v>
      </c>
      <c r="S19" s="147">
        <f>IFERROR(_xll.qlRateHelperEarliestDate(M19,Trigger),"--")</f>
        <v>42481</v>
      </c>
      <c r="T19" s="147">
        <f>IFERROR(_xll.qlRateHelperPillarDate(M19,Trigger),"--")</f>
        <v>42846</v>
      </c>
      <c r="V19" s="4" t="str">
        <f t="shared" si="3"/>
        <v>BasSw</v>
      </c>
      <c r="W19" s="4" t="str">
        <v>obj_002bc</v>
      </c>
      <c r="X19" s="4" t="str">
        <f>IFERROR(_xll.qlRateHelperQuoteName(W19,Trigger),"")</f>
        <v>USDAM3L3Y_S12L3L_Quote</v>
      </c>
      <c r="Y19" s="75">
        <f>IFERROR(_xll.qlRateHelperRate(W19,Trigger),"")</f>
        <v>1.4369643722693563E-2</v>
      </c>
      <c r="Z19" s="115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42450</v>
      </c>
      <c r="AB19" s="5">
        <f>IFERROR(_xll.qlRateHelperPillarDate(W19,Trigger),"")</f>
        <v>43545</v>
      </c>
      <c r="AC19" s="83">
        <v>0.95750035683496904</v>
      </c>
    </row>
    <row r="20" spans="1:29" ht="11.25" customHeight="1" x14ac:dyDescent="0.2">
      <c r="A20" s="70" t="s">
        <v>9</v>
      </c>
      <c r="B20" s="70" t="s">
        <v>126</v>
      </c>
      <c r="C20" s="70" t="s">
        <v>127</v>
      </c>
      <c r="D20" s="70"/>
      <c r="E20" s="70"/>
      <c r="F20" s="70"/>
      <c r="G20" s="70" t="s">
        <v>4</v>
      </c>
      <c r="H20" s="70" t="s">
        <v>1</v>
      </c>
      <c r="I20" s="70"/>
      <c r="J20" s="70" t="s">
        <v>25</v>
      </c>
      <c r="K20" s="52"/>
      <c r="L20" s="11" t="str">
        <f t="shared" ref="L20:L42" si="5">A22</f>
        <v>FRA</v>
      </c>
      <c r="M20" s="105" t="str">
        <f t="shared" ref="M20:M42" si="6">IF(ISBLANK(J22),"--",J22)</f>
        <v>obj_00282#0312</v>
      </c>
      <c r="N20" s="159" t="str">
        <f>IFERROR(_xll.qlRateHelperQuoteName(M20,Trigger),"--")</f>
        <v>USD2x14F_Quote</v>
      </c>
      <c r="O20" s="109">
        <f>IFERROR(_xll.qlRateHelperQuoteValue($M20,Trigger),"--")</f>
        <v>1.179E-2</v>
      </c>
      <c r="P20" s="108" t="b">
        <v>1</v>
      </c>
      <c r="Q20" s="105">
        <v>20</v>
      </c>
      <c r="R20" s="105">
        <v>1</v>
      </c>
      <c r="S20" s="110">
        <f>IFERROR(_xll.qlRateHelperEarliestDate(M20,Trigger),"--")</f>
        <v>42513</v>
      </c>
      <c r="T20" s="110">
        <f>IFERROR(_xll.qlRateHelperPillarDate(M20,Trigger),"--")</f>
        <v>42877</v>
      </c>
      <c r="V20" s="4" t="str">
        <f t="shared" si="3"/>
        <v>BasSw</v>
      </c>
      <c r="W20" s="4" t="str">
        <v>obj_002bf</v>
      </c>
      <c r="X20" s="4" t="str">
        <f>IFERROR(_xll.qlRateHelperQuoteName(W20,Trigger),"")</f>
        <v>USDAM3L4Y_S12L3L_Quote</v>
      </c>
      <c r="Y20" s="75">
        <f>IFERROR(_xll.qlRateHelperRate(W20,Trigger),"")</f>
        <v>1.5538658185847152E-2</v>
      </c>
      <c r="Z20" s="115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42450</v>
      </c>
      <c r="AB20" s="5">
        <f>IFERROR(_xll.qlRateHelperPillarDate(W20,Trigger),"")</f>
        <v>43913</v>
      </c>
      <c r="AC20" s="83">
        <v>0.93917117468331768</v>
      </c>
    </row>
    <row r="21" spans="1:29" ht="11.25" customHeight="1" x14ac:dyDescent="0.2">
      <c r="A21" s="57" t="s">
        <v>128</v>
      </c>
      <c r="B21" s="126">
        <v>1</v>
      </c>
      <c r="C21" s="60" t="str">
        <f>"x"&amp;B21+$C$19&amp;"F"</f>
        <v>x13F</v>
      </c>
      <c r="D21" s="142"/>
      <c r="E21" s="142"/>
      <c r="F21" s="142"/>
      <c r="G21" s="59" t="str">
        <f t="shared" ref="G21:G44" si="7">PROPER(Currency)&amp;FamilyName&amp;Tenor</f>
        <v>UsdLibor1Y</v>
      </c>
      <c r="H21" s="129" t="str">
        <f t="shared" ref="H21:H29" si="8">Currency&amp;B21&amp;C21&amp;QuoteSuffix</f>
        <v>USD1x13F_Quote</v>
      </c>
      <c r="I21" s="142"/>
      <c r="J21" s="62" t="str">
        <f>_xll.qlFraRateHelper(,H21,B21&amp;"M",G21,PillarDate,,Permanent,Trigger,ObjectOverwrite)</f>
        <v>obj_002a2#0311</v>
      </c>
      <c r="K21" s="52"/>
      <c r="L21" s="11" t="str">
        <f t="shared" si="5"/>
        <v>FRA</v>
      </c>
      <c r="M21" s="105" t="str">
        <f t="shared" si="6"/>
        <v>obj_002c5#0311</v>
      </c>
      <c r="N21" s="159" t="str">
        <f>IFERROR(_xll.qlRateHelperQuoteName(M21,Trigger),"--")</f>
        <v>USD3x15F_Quote</v>
      </c>
      <c r="O21" s="109">
        <f>IFERROR(_xll.qlRateHelperQuoteValue($M21,Trigger),"--")</f>
        <v>1.1699999999999999E-2</v>
      </c>
      <c r="P21" s="108" t="b">
        <v>1</v>
      </c>
      <c r="Q21" s="105">
        <v>20</v>
      </c>
      <c r="R21" s="105">
        <v>1</v>
      </c>
      <c r="S21" s="110">
        <f>IFERROR(_xll.qlRateHelperEarliestDate(M21,Trigger),"--")</f>
        <v>42542</v>
      </c>
      <c r="T21" s="110">
        <f>IFERROR(_xll.qlRateHelperPillarDate(M21,Trigger),"--")</f>
        <v>42907</v>
      </c>
      <c r="V21" s="4" t="str">
        <f t="shared" si="3"/>
        <v>BasSw</v>
      </c>
      <c r="W21" s="4" t="str">
        <v>obj_002d9</v>
      </c>
      <c r="X21" s="4" t="str">
        <f>IFERROR(_xll.qlRateHelperQuoteName(W21,Trigger),"")</f>
        <v>USDAM3L5Y_S12L3L_Quote</v>
      </c>
      <c r="Y21" s="75">
        <f>IFERROR(_xll.qlRateHelperRate(W21,Trigger),"")</f>
        <v>1.6459329191188293E-2</v>
      </c>
      <c r="Z21" s="115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42450</v>
      </c>
      <c r="AB21" s="5">
        <f>IFERROR(_xll.qlRateHelperPillarDate(W21,Trigger),"")</f>
        <v>44277</v>
      </c>
      <c r="AC21" s="83">
        <v>0.92030728377530902</v>
      </c>
    </row>
    <row r="22" spans="1:29" ht="11.25" customHeight="1" x14ac:dyDescent="0.2">
      <c r="A22" s="63" t="s">
        <v>128</v>
      </c>
      <c r="B22" s="127">
        <v>2</v>
      </c>
      <c r="C22" s="67" t="str">
        <f t="shared" ref="C22:C44" si="9">"x"&amp;B22+$C$19&amp;"F"</f>
        <v>x14F</v>
      </c>
      <c r="D22" s="136"/>
      <c r="E22" s="136"/>
      <c r="F22" s="136"/>
      <c r="G22" s="65" t="str">
        <f t="shared" si="7"/>
        <v>UsdLibor1Y</v>
      </c>
      <c r="H22" s="130" t="str">
        <f t="shared" si="8"/>
        <v>USD2x14F_Quote</v>
      </c>
      <c r="I22" s="136"/>
      <c r="J22" s="69" t="str">
        <f>_xll.qlFraRateHelper(,H22,B22&amp;"M",G22,PillarDate,,Permanent,Trigger,ObjectOverwrite)</f>
        <v>obj_00282#0312</v>
      </c>
      <c r="K22" s="52"/>
      <c r="L22" s="11" t="str">
        <f t="shared" si="5"/>
        <v>FRA</v>
      </c>
      <c r="M22" s="105" t="str">
        <f t="shared" si="6"/>
        <v>obj_0029f#0311</v>
      </c>
      <c r="N22" s="159" t="str">
        <f>IFERROR(_xll.qlRateHelperQuoteName(M22,Trigger),"--")</f>
        <v>USD4x16F_Quote</v>
      </c>
      <c r="O22" s="109">
        <f>IFERROR(_xll.qlRateHelperQuoteValue($M22,Trigger),"--")</f>
        <v>1.188E-2</v>
      </c>
      <c r="P22" s="108" t="b">
        <v>1</v>
      </c>
      <c r="Q22" s="105">
        <v>20</v>
      </c>
      <c r="R22" s="105">
        <v>1</v>
      </c>
      <c r="S22" s="110">
        <f>IFERROR(_xll.qlRateHelperEarliestDate(M22,Trigger),"--")</f>
        <v>42572</v>
      </c>
      <c r="T22" s="110">
        <f>IFERROR(_xll.qlRateHelperPillarDate(M22,Trigger),"--")</f>
        <v>42937</v>
      </c>
      <c r="V22" s="4" t="str">
        <f t="shared" si="3"/>
        <v>BasSw</v>
      </c>
      <c r="W22" s="4" t="str">
        <v>obj_002ee</v>
      </c>
      <c r="X22" s="4" t="str">
        <f>IFERROR(_xll.qlRateHelperQuoteName(W22,Trigger),"")</f>
        <v>USDAM3L6Y_S12L3L_Quote</v>
      </c>
      <c r="Y22" s="75">
        <f>IFERROR(_xll.qlRateHelperRate(W22,Trigger),"")</f>
        <v>1.7382517393209673E-2</v>
      </c>
      <c r="Z22" s="115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42450</v>
      </c>
      <c r="AB22" s="5">
        <f>IFERROR(_xll.qlRateHelperPillarDate(W22,Trigger),"")</f>
        <v>44641</v>
      </c>
      <c r="AC22" s="83">
        <v>0.90010023376066961</v>
      </c>
    </row>
    <row r="23" spans="1:29" ht="11.25" customHeight="1" x14ac:dyDescent="0.2">
      <c r="A23" s="63" t="s">
        <v>128</v>
      </c>
      <c r="B23" s="127">
        <v>3</v>
      </c>
      <c r="C23" s="67" t="str">
        <f t="shared" si="9"/>
        <v>x15F</v>
      </c>
      <c r="D23" s="136"/>
      <c r="E23" s="136"/>
      <c r="F23" s="136"/>
      <c r="G23" s="65" t="str">
        <f t="shared" si="7"/>
        <v>UsdLibor1Y</v>
      </c>
      <c r="H23" s="130" t="str">
        <f t="shared" si="8"/>
        <v>USD3x15F_Quote</v>
      </c>
      <c r="I23" s="136"/>
      <c r="J23" s="69" t="str">
        <f>_xll.qlFraRateHelper(,H23,B23&amp;"M",G23,PillarDate,,Permanent,Trigger,ObjectOverwrite)</f>
        <v>obj_002c5#0311</v>
      </c>
      <c r="K23" s="52"/>
      <c r="L23" s="11" t="str">
        <f t="shared" si="5"/>
        <v>FRA</v>
      </c>
      <c r="M23" s="105" t="str">
        <f t="shared" si="6"/>
        <v>obj_0029a#0311</v>
      </c>
      <c r="N23" s="159" t="str">
        <f>IFERROR(_xll.qlRateHelperQuoteName(M23,Trigger),"--")</f>
        <v>USD5x17F_Quote</v>
      </c>
      <c r="O23" s="109">
        <f>IFERROR(_xll.qlRateHelperQuoteValue($M23,Trigger),"--")</f>
        <v>1.2030000000000001E-2</v>
      </c>
      <c r="P23" s="108" t="b">
        <v>1</v>
      </c>
      <c r="Q23" s="105">
        <v>20</v>
      </c>
      <c r="R23" s="105">
        <v>1</v>
      </c>
      <c r="S23" s="110">
        <f>IFERROR(_xll.qlRateHelperEarliestDate(M23,Trigger),"--")</f>
        <v>42604</v>
      </c>
      <c r="T23" s="110">
        <f>IFERROR(_xll.qlRateHelperPillarDate(M23,Trigger),"--")</f>
        <v>42968</v>
      </c>
      <c r="V23" s="4" t="str">
        <f t="shared" si="3"/>
        <v>BasSw</v>
      </c>
      <c r="W23" s="4" t="str">
        <v>obj_002dd</v>
      </c>
      <c r="X23" s="4" t="str">
        <f>IFERROR(_xll.qlRateHelperQuoteName(W23,Trigger),"")</f>
        <v>USDAM3L7Y_S12L3L_Quote</v>
      </c>
      <c r="Y23" s="75">
        <f>IFERROR(_xll.qlRateHelperRate(W23,Trigger),"")</f>
        <v>1.818040907001461E-2</v>
      </c>
      <c r="Z23" s="115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42450</v>
      </c>
      <c r="AB23" s="5">
        <f>IFERROR(_xll.qlRateHelperPillarDate(W23,Trigger),"")</f>
        <v>45006</v>
      </c>
      <c r="AC23" s="83">
        <v>0.87940096767349707</v>
      </c>
    </row>
    <row r="24" spans="1:29" ht="11.25" customHeight="1" x14ac:dyDescent="0.2">
      <c r="A24" s="63" t="s">
        <v>128</v>
      </c>
      <c r="B24" s="127">
        <v>4</v>
      </c>
      <c r="C24" s="67" t="str">
        <f t="shared" si="9"/>
        <v>x16F</v>
      </c>
      <c r="D24" s="136"/>
      <c r="E24" s="136"/>
      <c r="F24" s="136"/>
      <c r="G24" s="65" t="str">
        <f t="shared" si="7"/>
        <v>UsdLibor1Y</v>
      </c>
      <c r="H24" s="130" t="str">
        <f t="shared" si="8"/>
        <v>USD4x16F_Quote</v>
      </c>
      <c r="I24" s="136"/>
      <c r="J24" s="69" t="str">
        <f>_xll.qlFraRateHelper(,H24,B24&amp;"M",G24,PillarDate,,Permanent,Trigger,ObjectOverwrite)</f>
        <v>obj_0029f#0311</v>
      </c>
      <c r="K24" s="52"/>
      <c r="L24" s="11" t="str">
        <f t="shared" si="5"/>
        <v>FRA</v>
      </c>
      <c r="M24" s="105" t="str">
        <f t="shared" si="6"/>
        <v>obj_002f1#0311</v>
      </c>
      <c r="N24" s="159" t="str">
        <f>IFERROR(_xll.qlRateHelperQuoteName(M24,Trigger),"--")</f>
        <v>USD6x18F_Quote</v>
      </c>
      <c r="O24" s="109">
        <f>IFERROR(_xll.qlRateHelperQuoteValue($M24,Trigger),"--")</f>
        <v>1.217E-2</v>
      </c>
      <c r="P24" s="108" t="b">
        <v>1</v>
      </c>
      <c r="Q24" s="105">
        <v>20</v>
      </c>
      <c r="R24" s="105">
        <v>1</v>
      </c>
      <c r="S24" s="110">
        <f>IFERROR(_xll.qlRateHelperEarliestDate(M24,Trigger),"--")</f>
        <v>42634</v>
      </c>
      <c r="T24" s="110">
        <f>IFERROR(_xll.qlRateHelperPillarDate(M24,Trigger),"--")</f>
        <v>42999</v>
      </c>
      <c r="V24" s="4" t="str">
        <f t="shared" si="3"/>
        <v>BasSw</v>
      </c>
      <c r="W24" s="4" t="str">
        <v>obj_002b6</v>
      </c>
      <c r="X24" s="4" t="str">
        <f>IFERROR(_xll.qlRateHelperQuoteName(W24,Trigger),"")</f>
        <v>USDAM3L8Y_S12L3L_Quote</v>
      </c>
      <c r="Y24" s="75">
        <f>IFERROR(_xll.qlRateHelperRate(W24,Trigger),"")</f>
        <v>1.8956030450166528E-2</v>
      </c>
      <c r="Z24" s="115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42450</v>
      </c>
      <c r="AB24" s="5">
        <f>IFERROR(_xll.qlRateHelperPillarDate(W24,Trigger),"")</f>
        <v>45372</v>
      </c>
      <c r="AC24" s="83">
        <v>0.85784679050227741</v>
      </c>
    </row>
    <row r="25" spans="1:29" ht="11.25" customHeight="1" x14ac:dyDescent="0.2">
      <c r="A25" s="63" t="s">
        <v>128</v>
      </c>
      <c r="B25" s="127">
        <v>5</v>
      </c>
      <c r="C25" s="67" t="str">
        <f t="shared" si="9"/>
        <v>x17F</v>
      </c>
      <c r="D25" s="136"/>
      <c r="E25" s="136"/>
      <c r="F25" s="136"/>
      <c r="G25" s="65" t="str">
        <f t="shared" si="7"/>
        <v>UsdLibor1Y</v>
      </c>
      <c r="H25" s="130" t="str">
        <f t="shared" si="8"/>
        <v>USD5x17F_Quote</v>
      </c>
      <c r="I25" s="136"/>
      <c r="J25" s="69" t="str">
        <f>_xll.qlFraRateHelper(,H25,B25&amp;"M",G25,PillarDate,,Permanent,Trigger,ObjectOverwrite)</f>
        <v>obj_0029a#0311</v>
      </c>
      <c r="K25" s="52"/>
      <c r="L25" s="11" t="str">
        <f t="shared" si="5"/>
        <v>FRA</v>
      </c>
      <c r="M25" s="105" t="str">
        <f t="shared" si="6"/>
        <v>--</v>
      </c>
      <c r="N25" s="159" t="str">
        <f>IFERROR(_xll.qlRateHelperQuoteName(M25,Trigger),"--")</f>
        <v>--</v>
      </c>
      <c r="O25" s="109" t="str">
        <f>IFERROR(_xll.qlRateHelperQuoteValue($M25,Trigger),"--")</f>
        <v>--</v>
      </c>
      <c r="P25" s="108" t="b">
        <v>0</v>
      </c>
      <c r="Q25" s="105">
        <v>20</v>
      </c>
      <c r="R25" s="105">
        <v>1</v>
      </c>
      <c r="S25" s="110" t="str">
        <f>IFERROR(_xll.qlRateHelperEarliestDate(M25,Trigger),"--")</f>
        <v>--</v>
      </c>
      <c r="T25" s="110" t="str">
        <f>IFERROR(_xll.qlRateHelperPillarDate(M25,Trigger),"--")</f>
        <v>--</v>
      </c>
      <c r="V25" s="4" t="str">
        <f t="shared" si="3"/>
        <v>BasSw</v>
      </c>
      <c r="W25" s="4" t="str">
        <v>obj_002a9</v>
      </c>
      <c r="X25" s="4" t="str">
        <f>IFERROR(_xll.qlRateHelperQuoteName(W25,Trigger),"")</f>
        <v>USDAM3L9Y_S12L3L_Quote</v>
      </c>
      <c r="Y25" s="75">
        <f>IFERROR(_xll.qlRateHelperRate(W25,Trigger),"")</f>
        <v>1.9608956954279309E-2</v>
      </c>
      <c r="Z25" s="115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42450</v>
      </c>
      <c r="AB25" s="5">
        <f>IFERROR(_xll.qlRateHelperPillarDate(W25,Trigger),"")</f>
        <v>45737</v>
      </c>
      <c r="AC25" s="83">
        <v>0.83644975879724126</v>
      </c>
    </row>
    <row r="26" spans="1:29" ht="11.25" customHeight="1" x14ac:dyDescent="0.2">
      <c r="A26" s="63" t="s">
        <v>128</v>
      </c>
      <c r="B26" s="127">
        <v>6</v>
      </c>
      <c r="C26" s="67" t="str">
        <f t="shared" si="9"/>
        <v>x18F</v>
      </c>
      <c r="D26" s="136"/>
      <c r="E26" s="136"/>
      <c r="F26" s="136"/>
      <c r="G26" s="65" t="str">
        <f t="shared" si="7"/>
        <v>UsdLibor1Y</v>
      </c>
      <c r="H26" s="130" t="str">
        <f t="shared" si="8"/>
        <v>USD6x18F_Quote</v>
      </c>
      <c r="I26" s="136"/>
      <c r="J26" s="69" t="str">
        <f>_xll.qlFraRateHelper(,H26,B26&amp;"M",G26,PillarDate,,Permanent,Trigger,ObjectOverwrite)</f>
        <v>obj_002f1#0311</v>
      </c>
      <c r="K26" s="52"/>
      <c r="L26" s="11" t="str">
        <f t="shared" si="5"/>
        <v>FRA</v>
      </c>
      <c r="M26" s="105" t="str">
        <f t="shared" si="6"/>
        <v>--</v>
      </c>
      <c r="N26" s="159" t="str">
        <f>IFERROR(_xll.qlRateHelperQuoteName(M26,Trigger),"--")</f>
        <v>--</v>
      </c>
      <c r="O26" s="109" t="str">
        <f>IFERROR(_xll.qlRateHelperQuoteValue($M26,Trigger),"--")</f>
        <v>--</v>
      </c>
      <c r="P26" s="108" t="b">
        <v>0</v>
      </c>
      <c r="Q26" s="105">
        <v>20</v>
      </c>
      <c r="R26" s="105">
        <v>1</v>
      </c>
      <c r="S26" s="110" t="str">
        <f>IFERROR(_xll.qlRateHelperEarliestDate(M26,Trigger),"--")</f>
        <v>--</v>
      </c>
      <c r="T26" s="110" t="str">
        <f>IFERROR(_xll.qlRateHelperPillarDate(M26,Trigger),"--")</f>
        <v>--</v>
      </c>
      <c r="V26" s="4" t="str">
        <f t="shared" si="3"/>
        <v>BasSw</v>
      </c>
      <c r="W26" s="4" t="str">
        <v>obj_00286</v>
      </c>
      <c r="X26" s="4" t="str">
        <f>IFERROR(_xll.qlRateHelperQuoteName(W26,Trigger),"")</f>
        <v>USDAM3L10Y_S12L3L_Quote</v>
      </c>
      <c r="Y26" s="75">
        <f>IFERROR(_xll.qlRateHelperRate(W26,Trigger),"")</f>
        <v>2.0216925086175515E-2</v>
      </c>
      <c r="Z26" s="115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42450</v>
      </c>
      <c r="AB26" s="5">
        <f>IFERROR(_xll.qlRateHelperPillarDate(W26,Trigger),"")</f>
        <v>46104</v>
      </c>
      <c r="AC26" s="83">
        <v>0.81473378546638897</v>
      </c>
    </row>
    <row r="27" spans="1:29" ht="11.25" customHeight="1" x14ac:dyDescent="0.2">
      <c r="A27" s="63" t="s">
        <v>128</v>
      </c>
      <c r="B27" s="127">
        <v>7</v>
      </c>
      <c r="C27" s="67" t="str">
        <f t="shared" si="9"/>
        <v>x19F</v>
      </c>
      <c r="D27" s="136"/>
      <c r="E27" s="136"/>
      <c r="F27" s="136"/>
      <c r="G27" s="65" t="str">
        <f t="shared" si="7"/>
        <v>UsdLibor1Y</v>
      </c>
      <c r="H27" s="130" t="str">
        <f t="shared" si="8"/>
        <v>USD7x19F_Quote</v>
      </c>
      <c r="I27" s="136"/>
      <c r="J27" s="69"/>
      <c r="K27" s="52"/>
      <c r="L27" s="11" t="str">
        <f t="shared" si="5"/>
        <v>FRA</v>
      </c>
      <c r="M27" s="105" t="str">
        <f t="shared" si="6"/>
        <v>obj_002e3#0311</v>
      </c>
      <c r="N27" s="159" t="str">
        <f>IFERROR(_xll.qlRateHelperQuoteName(M27,Trigger),"--")</f>
        <v>USD9x21F_Quote</v>
      </c>
      <c r="O27" s="109">
        <f>IFERROR(_xll.qlRateHelperQuoteValue($M27,Trigger),"--")</f>
        <v>1.2810000000000002E-2</v>
      </c>
      <c r="P27" s="108" t="b">
        <v>1</v>
      </c>
      <c r="Q27" s="105">
        <v>20</v>
      </c>
      <c r="R27" s="105">
        <v>1</v>
      </c>
      <c r="S27" s="110">
        <f>IFERROR(_xll.qlRateHelperEarliestDate(M27,Trigger),"--")</f>
        <v>42725</v>
      </c>
      <c r="T27" s="110">
        <f>IFERROR(_xll.qlRateHelperPillarDate(M27,Trigger),"--")</f>
        <v>43090</v>
      </c>
      <c r="V27" s="4" t="str">
        <f t="shared" si="3"/>
        <v>BasSw</v>
      </c>
      <c r="W27" s="4" t="str">
        <v>obj_002ad</v>
      </c>
      <c r="X27" s="4" t="str">
        <f>IFERROR(_xll.qlRateHelperQuoteName(W27,Trigger),"")</f>
        <v>USDAM3L11Y_S12L3L_Quote</v>
      </c>
      <c r="Y27" s="75">
        <f>IFERROR(_xll.qlRateHelperRate(W27,Trigger),"")</f>
        <v>2.0852049117531978E-2</v>
      </c>
      <c r="Z27" s="115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42450</v>
      </c>
      <c r="AB27" s="5">
        <f>IFERROR(_xll.qlRateHelperPillarDate(W27,Trigger),"")</f>
        <v>46468</v>
      </c>
      <c r="AC27" s="83">
        <v>0.79239495063369447</v>
      </c>
    </row>
    <row r="28" spans="1:29" ht="11.25" customHeight="1" x14ac:dyDescent="0.2">
      <c r="A28" s="63" t="s">
        <v>128</v>
      </c>
      <c r="B28" s="127">
        <v>8</v>
      </c>
      <c r="C28" s="67" t="str">
        <f t="shared" si="9"/>
        <v>x20F</v>
      </c>
      <c r="D28" s="136"/>
      <c r="E28" s="136"/>
      <c r="F28" s="136"/>
      <c r="G28" s="65" t="str">
        <f t="shared" si="7"/>
        <v>UsdLibor1Y</v>
      </c>
      <c r="H28" s="130" t="str">
        <f t="shared" si="8"/>
        <v>USD8x20F_Quote</v>
      </c>
      <c r="I28" s="136"/>
      <c r="J28" s="69"/>
      <c r="K28" s="52"/>
      <c r="L28" s="11" t="str">
        <f t="shared" si="5"/>
        <v>FRA</v>
      </c>
      <c r="M28" s="105" t="str">
        <f t="shared" si="6"/>
        <v>--</v>
      </c>
      <c r="N28" s="159" t="str">
        <f>IFERROR(_xll.qlRateHelperQuoteName(M28,Trigger),"--")</f>
        <v>--</v>
      </c>
      <c r="O28" s="109" t="str">
        <f>IFERROR(_xll.qlRateHelperQuoteValue($M28,Trigger),"--")</f>
        <v>--</v>
      </c>
      <c r="P28" s="108" t="b">
        <v>0</v>
      </c>
      <c r="Q28" s="105">
        <v>20</v>
      </c>
      <c r="R28" s="105">
        <v>1</v>
      </c>
      <c r="S28" s="110" t="str">
        <f>IFERROR(_xll.qlRateHelperEarliestDate(M28,Trigger),"--")</f>
        <v>--</v>
      </c>
      <c r="T28" s="110" t="str">
        <f>IFERROR(_xll.qlRateHelperPillarDate(M28,Trigger),"--")</f>
        <v>--</v>
      </c>
      <c r="V28" s="4" t="str">
        <f t="shared" si="3"/>
        <v>BasSw</v>
      </c>
      <c r="W28" s="4" t="str">
        <v>obj_002ac</v>
      </c>
      <c r="X28" s="4" t="str">
        <f>IFERROR(_xll.qlRateHelperQuoteName(W28,Trigger),"")</f>
        <v>USDAM3L12Y_S12L3L_Quote</v>
      </c>
      <c r="Y28" s="75">
        <f>IFERROR(_xll.qlRateHelperRate(W28,Trigger),"")</f>
        <v>2.1418505012632403E-2</v>
      </c>
      <c r="Z28" s="115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42450</v>
      </c>
      <c r="AB28" s="5">
        <f>IFERROR(_xll.qlRateHelperPillarDate(W28,Trigger),"")</f>
        <v>46833</v>
      </c>
      <c r="AC28" s="83">
        <v>0.77023058150712964</v>
      </c>
    </row>
    <row r="29" spans="1:29" ht="11.25" customHeight="1" x14ac:dyDescent="0.2">
      <c r="A29" s="63" t="s">
        <v>128</v>
      </c>
      <c r="B29" s="127">
        <v>9</v>
      </c>
      <c r="C29" s="67" t="str">
        <f t="shared" si="9"/>
        <v>x21F</v>
      </c>
      <c r="D29" s="136"/>
      <c r="E29" s="136"/>
      <c r="F29" s="136"/>
      <c r="G29" s="65" t="str">
        <f t="shared" si="7"/>
        <v>UsdLibor1Y</v>
      </c>
      <c r="H29" s="130" t="str">
        <f t="shared" si="8"/>
        <v>USD9x21F_Quote</v>
      </c>
      <c r="I29" s="136"/>
      <c r="J29" s="69" t="str">
        <f>_xll.qlFraRateHelper(,H29,B29&amp;"M",G29,PillarDate,,Permanent,Trigger,ObjectOverwrite)</f>
        <v>obj_002e3#0311</v>
      </c>
      <c r="K29" s="52"/>
      <c r="L29" s="11" t="str">
        <f t="shared" si="5"/>
        <v>FRA</v>
      </c>
      <c r="M29" s="105" t="str">
        <f t="shared" si="6"/>
        <v>--</v>
      </c>
      <c r="N29" s="159" t="str">
        <f>IFERROR(_xll.qlRateHelperQuoteName(M29,Trigger),"--")</f>
        <v>--</v>
      </c>
      <c r="O29" s="109" t="str">
        <f>IFERROR(_xll.qlRateHelperQuoteValue($M29,Trigger),"--")</f>
        <v>--</v>
      </c>
      <c r="P29" s="108" t="b">
        <v>0</v>
      </c>
      <c r="Q29" s="105">
        <v>20</v>
      </c>
      <c r="R29" s="105">
        <v>1</v>
      </c>
      <c r="S29" s="110" t="str">
        <f>IFERROR(_xll.qlRateHelperEarliestDate(M29,Trigger),"--")</f>
        <v>--</v>
      </c>
      <c r="T29" s="110" t="str">
        <f>IFERROR(_xll.qlRateHelperPillarDate(M29,Trigger),"--")</f>
        <v>--</v>
      </c>
      <c r="V29" s="4" t="str">
        <f t="shared" si="3"/>
        <v>BasSw</v>
      </c>
      <c r="W29" s="4" t="str">
        <v>obj_002a1</v>
      </c>
      <c r="X29" s="4" t="str">
        <f>IFERROR(_xll.qlRateHelperQuoteName(W29,Trigger),"")</f>
        <v>USDAM3L13Y_S12L3L_Quote</v>
      </c>
      <c r="Y29" s="75">
        <f>IFERROR(_xll.qlRateHelperRate(W29,Trigger),"")</f>
        <v>2.1902871603753135E-2</v>
      </c>
      <c r="Z29" s="115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42450</v>
      </c>
      <c r="AB29" s="5">
        <f>IFERROR(_xll.qlRateHelperPillarDate(W29,Trigger),"")</f>
        <v>47198</v>
      </c>
      <c r="AC29" s="83">
        <v>0.74861441516652227</v>
      </c>
    </row>
    <row r="30" spans="1:29" ht="11.25" customHeight="1" x14ac:dyDescent="0.2">
      <c r="A30" s="63" t="s">
        <v>128</v>
      </c>
      <c r="B30" s="127">
        <v>10</v>
      </c>
      <c r="C30" s="67" t="str">
        <f t="shared" si="9"/>
        <v>x22F</v>
      </c>
      <c r="D30" s="136"/>
      <c r="E30" s="136"/>
      <c r="F30" s="136"/>
      <c r="G30" s="65" t="str">
        <f t="shared" si="7"/>
        <v>UsdLibor1Y</v>
      </c>
      <c r="H30" s="130" t="str">
        <f t="shared" ref="H30:H44" si="10">Currency&amp;B30&amp;C30&amp;QuoteSuffix</f>
        <v>USD10x22F_Quote</v>
      </c>
      <c r="I30" s="136"/>
      <c r="J30" s="69"/>
      <c r="K30" s="52"/>
      <c r="L30" s="11" t="str">
        <f t="shared" si="5"/>
        <v>FRA</v>
      </c>
      <c r="M30" s="105" t="str">
        <f t="shared" si="6"/>
        <v>obj_002f8#0311</v>
      </c>
      <c r="N30" s="159" t="str">
        <f>IFERROR(_xll.qlRateHelperQuoteName(M30,Trigger),"--")</f>
        <v>USD12x24F_Quote</v>
      </c>
      <c r="O30" s="109">
        <f>IFERROR(_xll.qlRateHelperQuoteValue($M30,Trigger),"--")</f>
        <v>1.3439999999999999E-2</v>
      </c>
      <c r="P30" s="108" t="b">
        <v>1</v>
      </c>
      <c r="Q30" s="105">
        <v>20</v>
      </c>
      <c r="R30" s="105">
        <v>1</v>
      </c>
      <c r="S30" s="110">
        <f>IFERROR(_xll.qlRateHelperEarliestDate(M30,Trigger),"--")</f>
        <v>42815</v>
      </c>
      <c r="T30" s="110">
        <f>IFERROR(_xll.qlRateHelperPillarDate(M30,Trigger),"--")</f>
        <v>43180</v>
      </c>
      <c r="V30" s="4" t="str">
        <f t="shared" si="3"/>
        <v>BasSw</v>
      </c>
      <c r="W30" s="4" t="str">
        <v>obj_00289</v>
      </c>
      <c r="X30" s="4" t="str">
        <f>IFERROR(_xll.qlRateHelperQuoteName(W30,Trigger),"")</f>
        <v>USDAM3L14Y_S12L3L_Quote</v>
      </c>
      <c r="Y30" s="75">
        <f>IFERROR(_xll.qlRateHelperRate(W30,Trigger),"")</f>
        <v>2.2321305369882256E-2</v>
      </c>
      <c r="Z30" s="115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42450</v>
      </c>
      <c r="AB30" s="5">
        <f>IFERROR(_xll.qlRateHelperPillarDate(W30,Trigger),"")</f>
        <v>47563</v>
      </c>
      <c r="AC30" s="83">
        <v>0.72755341340090529</v>
      </c>
    </row>
    <row r="31" spans="1:29" ht="11.25" customHeight="1" x14ac:dyDescent="0.2">
      <c r="A31" s="63" t="s">
        <v>128</v>
      </c>
      <c r="B31" s="127">
        <v>11</v>
      </c>
      <c r="C31" s="67" t="str">
        <f t="shared" si="9"/>
        <v>x23F</v>
      </c>
      <c r="D31" s="136"/>
      <c r="E31" s="136"/>
      <c r="F31" s="136"/>
      <c r="G31" s="65" t="str">
        <f t="shared" si="7"/>
        <v>UsdLibor1Y</v>
      </c>
      <c r="H31" s="130" t="str">
        <f t="shared" si="10"/>
        <v>USD11x23F_Quote</v>
      </c>
      <c r="I31" s="136"/>
      <c r="J31" s="69"/>
      <c r="K31" s="52"/>
      <c r="L31" s="11" t="str">
        <f t="shared" si="5"/>
        <v>FRA</v>
      </c>
      <c r="M31" s="105" t="str">
        <f t="shared" si="6"/>
        <v>--</v>
      </c>
      <c r="N31" s="159" t="str">
        <f>IFERROR(_xll.qlRateHelperQuoteName(M31,Trigger),"--")</f>
        <v>--</v>
      </c>
      <c r="O31" s="109" t="str">
        <f>IFERROR(_xll.qlRateHelperQuoteValue($M31,Trigger),"--")</f>
        <v>--</v>
      </c>
      <c r="P31" s="108" t="b">
        <v>0</v>
      </c>
      <c r="Q31" s="105">
        <v>40</v>
      </c>
      <c r="R31" s="105">
        <v>1</v>
      </c>
      <c r="S31" s="110" t="str">
        <f>IFERROR(_xll.qlRateHelperEarliestDate(M31,Trigger),"--")</f>
        <v>--</v>
      </c>
      <c r="T31" s="110" t="str">
        <f>IFERROR(_xll.qlRateHelperPillarDate(M31,Trigger),"--")</f>
        <v>--</v>
      </c>
      <c r="V31" s="4" t="str">
        <f t="shared" si="3"/>
        <v>BasSw</v>
      </c>
      <c r="W31" s="4" t="str">
        <v>obj_002a8</v>
      </c>
      <c r="X31" s="4" t="str">
        <f>IFERROR(_xll.qlRateHelperQuoteName(W31,Trigger),"")</f>
        <v>USDAM3L15Y_S12L3L_Quote</v>
      </c>
      <c r="Y31" s="75">
        <f>IFERROR(_xll.qlRateHelperRate(W31,Trigger),"")</f>
        <v>2.2682708641578151E-2</v>
      </c>
      <c r="Z31" s="115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42450</v>
      </c>
      <c r="AB31" s="5">
        <f>IFERROR(_xll.qlRateHelperPillarDate(W31,Trigger),"")</f>
        <v>47928</v>
      </c>
      <c r="AC31" s="83">
        <v>0.7070872540223313</v>
      </c>
    </row>
    <row r="32" spans="1:29" ht="11.25" customHeight="1" x14ac:dyDescent="0.2">
      <c r="A32" s="63" t="s">
        <v>128</v>
      </c>
      <c r="B32" s="127">
        <v>12</v>
      </c>
      <c r="C32" s="67" t="str">
        <f t="shared" si="9"/>
        <v>x24F</v>
      </c>
      <c r="D32" s="136"/>
      <c r="E32" s="136"/>
      <c r="F32" s="136"/>
      <c r="G32" s="65" t="str">
        <f t="shared" si="7"/>
        <v>UsdLibor1Y</v>
      </c>
      <c r="H32" s="130" t="str">
        <f t="shared" si="10"/>
        <v>USD12x24F_Quote</v>
      </c>
      <c r="I32" s="136"/>
      <c r="J32" s="69" t="str">
        <f>_xll.qlFraRateHelper(,H32,B32&amp;"M",G32,PillarDate,,Permanent,Trigger,ObjectOverwrite)</f>
        <v>obj_002f8#0311</v>
      </c>
      <c r="K32" s="52"/>
      <c r="L32" s="11" t="str">
        <f t="shared" si="5"/>
        <v>FRA</v>
      </c>
      <c r="M32" s="105" t="str">
        <f t="shared" si="6"/>
        <v>--</v>
      </c>
      <c r="N32" s="159" t="str">
        <f>IFERROR(_xll.qlRateHelperQuoteName(M32,Trigger),"--")</f>
        <v>--</v>
      </c>
      <c r="O32" s="109" t="str">
        <f>IFERROR(_xll.qlRateHelperQuoteValue($M32,Trigger),"--")</f>
        <v>--</v>
      </c>
      <c r="P32" s="108" t="b">
        <v>0</v>
      </c>
      <c r="Q32" s="105">
        <v>40</v>
      </c>
      <c r="R32" s="105">
        <v>1</v>
      </c>
      <c r="S32" s="110" t="str">
        <f>IFERROR(_xll.qlRateHelperEarliestDate(M32,Trigger),"--")</f>
        <v>--</v>
      </c>
      <c r="T32" s="110" t="str">
        <f>IFERROR(_xll.qlRateHelperPillarDate(M32,Trigger),"--")</f>
        <v>--</v>
      </c>
      <c r="V32" s="4" t="str">
        <f t="shared" si="3"/>
        <v>BasSw</v>
      </c>
      <c r="W32" s="4" t="str">
        <v>obj_002b5</v>
      </c>
      <c r="X32" s="4" t="str">
        <f>IFERROR(_xll.qlRateHelperQuoteName(W32,Trigger),"")</f>
        <v>USDAM3L20Y_S12L3L_Quote</v>
      </c>
      <c r="Y32" s="75">
        <f>IFERROR(_xll.qlRateHelperRate(W32,Trigger),"")</f>
        <v>2.3846350680788619E-2</v>
      </c>
      <c r="Z32" s="115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42450</v>
      </c>
      <c r="AB32" s="5">
        <f>IFERROR(_xll.qlRateHelperPillarDate(W32,Trigger),"")</f>
        <v>49755</v>
      </c>
      <c r="AC32" s="83">
        <v>0.6143106295373818</v>
      </c>
    </row>
    <row r="33" spans="1:29" ht="11.25" customHeight="1" x14ac:dyDescent="0.2">
      <c r="A33" s="63" t="s">
        <v>128</v>
      </c>
      <c r="B33" s="127">
        <v>13</v>
      </c>
      <c r="C33" s="67" t="str">
        <f t="shared" si="9"/>
        <v>x25F</v>
      </c>
      <c r="D33" s="136"/>
      <c r="E33" s="136"/>
      <c r="F33" s="136"/>
      <c r="G33" s="65" t="str">
        <f t="shared" si="7"/>
        <v>UsdLibor1Y</v>
      </c>
      <c r="H33" s="130" t="str">
        <f t="shared" si="10"/>
        <v>USD13x25F_Quote</v>
      </c>
      <c r="I33" s="136"/>
      <c r="J33" s="69"/>
      <c r="K33" s="52"/>
      <c r="L33" s="11" t="str">
        <f t="shared" si="5"/>
        <v>FRA</v>
      </c>
      <c r="M33" s="105" t="str">
        <f t="shared" si="6"/>
        <v>--</v>
      </c>
      <c r="N33" s="159" t="str">
        <f>IFERROR(_xll.qlRateHelperQuoteName(M33,Trigger),"--")</f>
        <v>--</v>
      </c>
      <c r="O33" s="109" t="str">
        <f>IFERROR(_xll.qlRateHelperQuoteValue($M33,Trigger),"--")</f>
        <v>--</v>
      </c>
      <c r="P33" s="108" t="b">
        <v>0</v>
      </c>
      <c r="Q33" s="105">
        <v>40</v>
      </c>
      <c r="R33" s="105">
        <v>1</v>
      </c>
      <c r="S33" s="110" t="str">
        <f>IFERROR(_xll.qlRateHelperEarliestDate(M33,Trigger),"--")</f>
        <v>--</v>
      </c>
      <c r="T33" s="110" t="str">
        <f>IFERROR(_xll.qlRateHelperPillarDate(M33,Trigger),"--")</f>
        <v>--</v>
      </c>
      <c r="V33" s="4" t="str">
        <f t="shared" si="3"/>
        <v>BasSw</v>
      </c>
      <c r="W33" s="4" t="str">
        <v>obj_002d4</v>
      </c>
      <c r="X33" s="4" t="str">
        <f>IFERROR(_xll.qlRateHelperQuoteName(W33,Trigger),"")</f>
        <v>USDAM3L25Y_S12L3L_Quote</v>
      </c>
      <c r="Y33" s="75">
        <f>IFERROR(_xll.qlRateHelperRate(W33,Trigger),"")</f>
        <v>2.4452165666415462E-2</v>
      </c>
      <c r="Z33" s="115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42450</v>
      </c>
      <c r="AB33" s="5">
        <f>IFERROR(_xll.qlRateHelperPillarDate(W33,Trigger),"")</f>
        <v>51581</v>
      </c>
      <c r="AC33" s="83">
        <v>0.53510516681680353</v>
      </c>
    </row>
    <row r="34" spans="1:29" ht="11.25" customHeight="1" x14ac:dyDescent="0.2">
      <c r="A34" s="63" t="s">
        <v>128</v>
      </c>
      <c r="B34" s="127">
        <v>14</v>
      </c>
      <c r="C34" s="67" t="str">
        <f t="shared" si="9"/>
        <v>x26F</v>
      </c>
      <c r="D34" s="136"/>
      <c r="E34" s="136"/>
      <c r="F34" s="136"/>
      <c r="G34" s="65" t="str">
        <f t="shared" si="7"/>
        <v>UsdLibor1Y</v>
      </c>
      <c r="H34" s="130" t="str">
        <f t="shared" si="10"/>
        <v>USD14x26F_Quote</v>
      </c>
      <c r="I34" s="136"/>
      <c r="J34" s="69"/>
      <c r="K34" s="52"/>
      <c r="L34" s="11" t="str">
        <f t="shared" si="5"/>
        <v>FRA</v>
      </c>
      <c r="M34" s="105" t="str">
        <f t="shared" si="6"/>
        <v>--</v>
      </c>
      <c r="N34" s="159" t="str">
        <f>IFERROR(_xll.qlRateHelperQuoteName(M34,Trigger),"--")</f>
        <v>--</v>
      </c>
      <c r="O34" s="109" t="str">
        <f>IFERROR(_xll.qlRateHelperQuoteValue($M34,Trigger),"--")</f>
        <v>--</v>
      </c>
      <c r="P34" s="108" t="b">
        <v>0</v>
      </c>
      <c r="Q34" s="105">
        <v>40</v>
      </c>
      <c r="R34" s="105">
        <v>1</v>
      </c>
      <c r="S34" s="110" t="str">
        <f>IFERROR(_xll.qlRateHelperEarliestDate(M34,Trigger),"--")</f>
        <v>--</v>
      </c>
      <c r="T34" s="110" t="str">
        <f>IFERROR(_xll.qlRateHelperPillarDate(M34,Trigger),"--")</f>
        <v>--</v>
      </c>
      <c r="V34" s="4" t="str">
        <f t="shared" si="3"/>
        <v>BasSw</v>
      </c>
      <c r="W34" s="4" t="str">
        <v>obj_0027e</v>
      </c>
      <c r="X34" s="4" t="str">
        <f>IFERROR(_xll.qlRateHelperQuoteName(W34,Trigger),"")</f>
        <v>USDAM3L30Y_S12L3L_Quote</v>
      </c>
      <c r="Y34" s="75">
        <f>IFERROR(_xll.qlRateHelperRate(W34,Trigger),"")</f>
        <v>2.4865497666783618E-2</v>
      </c>
      <c r="Z34" s="115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42450</v>
      </c>
      <c r="AB34" s="5">
        <f>IFERROR(_xll.qlRateHelperPillarDate(W34,Trigger),"")</f>
        <v>53407</v>
      </c>
      <c r="AC34" s="83">
        <v>0.46588265047841693</v>
      </c>
    </row>
    <row r="35" spans="1:29" ht="11.25" customHeight="1" x14ac:dyDescent="0.2">
      <c r="A35" s="63" t="s">
        <v>128</v>
      </c>
      <c r="B35" s="127">
        <v>15</v>
      </c>
      <c r="C35" s="67" t="str">
        <f t="shared" si="9"/>
        <v>x27F</v>
      </c>
      <c r="D35" s="136"/>
      <c r="E35" s="136"/>
      <c r="F35" s="136"/>
      <c r="G35" s="65" t="str">
        <f t="shared" si="7"/>
        <v>UsdLibor1Y</v>
      </c>
      <c r="H35" s="130" t="str">
        <f t="shared" si="10"/>
        <v>USD15x27F_Quote</v>
      </c>
      <c r="I35" s="136"/>
      <c r="J35" s="69"/>
      <c r="K35" s="52"/>
      <c r="L35" s="11" t="str">
        <f t="shared" si="5"/>
        <v>FRA</v>
      </c>
      <c r="M35" s="105" t="str">
        <f t="shared" si="6"/>
        <v>--</v>
      </c>
      <c r="N35" s="159" t="str">
        <f>IFERROR(_xll.qlRateHelperQuoteName(M35,Trigger),"--")</f>
        <v>--</v>
      </c>
      <c r="O35" s="109" t="str">
        <f>IFERROR(_xll.qlRateHelperQuoteValue($M35,Trigger),"--")</f>
        <v>--</v>
      </c>
      <c r="P35" s="108" t="b">
        <v>0</v>
      </c>
      <c r="Q35" s="105">
        <v>40</v>
      </c>
      <c r="R35" s="105">
        <v>1</v>
      </c>
      <c r="S35" s="110" t="str">
        <f>IFERROR(_xll.qlRateHelperEarliestDate(M35,Trigger),"--")</f>
        <v>--</v>
      </c>
      <c r="T35" s="110" t="str">
        <f>IFERROR(_xll.qlRateHelperPillarDate(M35,Trigger),"--")</f>
        <v>--</v>
      </c>
      <c r="V35" s="4" t="str">
        <f t="shared" si="3"/>
        <v>BasSw</v>
      </c>
      <c r="W35" s="4" t="str">
        <v>obj_002e4</v>
      </c>
      <c r="X35" s="4" t="str">
        <f>IFERROR(_xll.qlRateHelperQuoteName(W35,Trigger),"")</f>
        <v>USDAM3L35Y_S12L3L_Quote</v>
      </c>
      <c r="Y35" s="75">
        <f>IFERROR(_xll.qlRateHelperRate(W35,Trigger),"")</f>
        <v>2.504096501827769E-2</v>
      </c>
      <c r="Z35" s="115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42450</v>
      </c>
      <c r="AB35" s="5">
        <f>IFERROR(_xll.qlRateHelperPillarDate(W35,Trigger),"")</f>
        <v>55233</v>
      </c>
      <c r="AC35" s="83">
        <v>0.40790536697335056</v>
      </c>
    </row>
    <row r="36" spans="1:29" ht="11.25" customHeight="1" x14ac:dyDescent="0.2">
      <c r="A36" s="63" t="s">
        <v>128</v>
      </c>
      <c r="B36" s="127">
        <v>16</v>
      </c>
      <c r="C36" s="67" t="str">
        <f t="shared" si="9"/>
        <v>x28F</v>
      </c>
      <c r="D36" s="136"/>
      <c r="E36" s="136"/>
      <c r="F36" s="136"/>
      <c r="G36" s="65" t="str">
        <f t="shared" si="7"/>
        <v>UsdLibor1Y</v>
      </c>
      <c r="H36" s="130" t="str">
        <f t="shared" si="10"/>
        <v>USD16x28F_Quote</v>
      </c>
      <c r="I36" s="136"/>
      <c r="J36" s="69"/>
      <c r="K36" s="52"/>
      <c r="L36" s="11" t="str">
        <f t="shared" si="5"/>
        <v>FRA</v>
      </c>
      <c r="M36" s="105" t="str">
        <f t="shared" si="6"/>
        <v>--</v>
      </c>
      <c r="N36" s="159" t="str">
        <f>IFERROR(_xll.qlRateHelperQuoteName(M36,Trigger),"--")</f>
        <v>--</v>
      </c>
      <c r="O36" s="109" t="str">
        <f>IFERROR(_xll.qlRateHelperQuoteValue($M36,Trigger),"--")</f>
        <v>--</v>
      </c>
      <c r="P36" s="108" t="b">
        <v>0</v>
      </c>
      <c r="Q36" s="105">
        <v>40</v>
      </c>
      <c r="R36" s="105">
        <v>1</v>
      </c>
      <c r="S36" s="110" t="str">
        <f>IFERROR(_xll.qlRateHelperEarliestDate(M36,Trigger),"--")</f>
        <v>--</v>
      </c>
      <c r="T36" s="110" t="str">
        <f>IFERROR(_xll.qlRateHelperPillarDate(M36,Trigger),"--")</f>
        <v>--</v>
      </c>
      <c r="V36" s="4" t="str">
        <f t="shared" si="3"/>
        <v>BasSw</v>
      </c>
      <c r="W36" s="4" t="str">
        <v>obj_00288</v>
      </c>
      <c r="X36" s="4" t="str">
        <f>IFERROR(_xll.qlRateHelperQuoteName(W36,Trigger),"")</f>
        <v>USDAM3L40Y_S12L3L_Quote</v>
      </c>
      <c r="Y36" s="75">
        <f>IFERROR(_xll.qlRateHelperRate(W36,Trigger),"")</f>
        <v>2.5075681671785924E-2</v>
      </c>
      <c r="Z36" s="115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42450</v>
      </c>
      <c r="AB36" s="5">
        <f>IFERROR(_xll.qlRateHelperPillarDate(W36,Trigger),"")</f>
        <v>57060</v>
      </c>
      <c r="AC36" s="83">
        <v>0.35909495731431124</v>
      </c>
    </row>
    <row r="37" spans="1:29" ht="11.25" customHeight="1" x14ac:dyDescent="0.2">
      <c r="A37" s="63" t="s">
        <v>128</v>
      </c>
      <c r="B37" s="127">
        <v>17</v>
      </c>
      <c r="C37" s="67" t="str">
        <f t="shared" si="9"/>
        <v>x29F</v>
      </c>
      <c r="D37" s="136"/>
      <c r="E37" s="136"/>
      <c r="F37" s="136"/>
      <c r="G37" s="65" t="str">
        <f t="shared" si="7"/>
        <v>UsdLibor1Y</v>
      </c>
      <c r="H37" s="130" t="str">
        <f t="shared" si="10"/>
        <v>USD17x29F_Quote</v>
      </c>
      <c r="I37" s="136"/>
      <c r="J37" s="69"/>
      <c r="K37" s="52"/>
      <c r="L37" s="11" t="str">
        <f t="shared" si="5"/>
        <v>FRA</v>
      </c>
      <c r="M37" s="105" t="str">
        <f t="shared" si="6"/>
        <v>--</v>
      </c>
      <c r="N37" s="159" t="str">
        <f>IFERROR(_xll.qlRateHelperQuoteName(M37,Trigger),"--")</f>
        <v>--</v>
      </c>
      <c r="O37" s="109" t="str">
        <f>IFERROR(_xll.qlRateHelperQuoteValue($M37,Trigger),"--")</f>
        <v>--</v>
      </c>
      <c r="P37" s="108" t="b">
        <v>0</v>
      </c>
      <c r="Q37" s="105">
        <v>40</v>
      </c>
      <c r="R37" s="105">
        <v>1</v>
      </c>
      <c r="S37" s="110" t="str">
        <f>IFERROR(_xll.qlRateHelperEarliestDate(M37,Trigger),"--")</f>
        <v>--</v>
      </c>
      <c r="T37" s="110" t="str">
        <f>IFERROR(_xll.qlRateHelperPillarDate(M37,Trigger),"--")</f>
        <v>--</v>
      </c>
      <c r="V37" s="4" t="str">
        <f t="shared" si="3"/>
        <v>BasSw</v>
      </c>
      <c r="W37" s="4" t="str">
        <v>obj_002ce</v>
      </c>
      <c r="X37" s="4" t="str">
        <f>IFERROR(_xll.qlRateHelperQuoteName(W37,Trigger),"")</f>
        <v>USDAM3L50Y_S12L3L_Quote</v>
      </c>
      <c r="Y37" s="75">
        <f>IFERROR(_xll.qlRateHelperRate(W37,Trigger),"")</f>
        <v>2.4915504314048056E-2</v>
      </c>
      <c r="Z37" s="115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42450</v>
      </c>
      <c r="AB37" s="5">
        <f>IFERROR(_xll.qlRateHelperPillarDate(W37,Trigger),"")</f>
        <v>60713</v>
      </c>
      <c r="AC37" s="83">
        <v>0.28276699977953024</v>
      </c>
    </row>
    <row r="38" spans="1:29" ht="11.25" customHeight="1" x14ac:dyDescent="0.2">
      <c r="A38" s="63" t="s">
        <v>128</v>
      </c>
      <c r="B38" s="127">
        <v>18</v>
      </c>
      <c r="C38" s="67" t="str">
        <f t="shared" si="9"/>
        <v>x30F</v>
      </c>
      <c r="D38" s="136"/>
      <c r="E38" s="136"/>
      <c r="F38" s="136"/>
      <c r="G38" s="65" t="str">
        <f t="shared" si="7"/>
        <v>UsdLibor1Y</v>
      </c>
      <c r="H38" s="130" t="str">
        <f t="shared" si="10"/>
        <v>USD18x30F_Quote</v>
      </c>
      <c r="I38" s="136"/>
      <c r="J38" s="69"/>
      <c r="K38" s="52"/>
      <c r="L38" s="11" t="str">
        <f t="shared" si="5"/>
        <v>FRA</v>
      </c>
      <c r="M38" s="105" t="str">
        <f t="shared" si="6"/>
        <v>--</v>
      </c>
      <c r="N38" s="159" t="str">
        <f>IFERROR(_xll.qlRateHelperQuoteName(M38,Trigger),"--")</f>
        <v>--</v>
      </c>
      <c r="O38" s="109" t="str">
        <f>IFERROR(_xll.qlRateHelperQuoteValue($M38,Trigger),"--")</f>
        <v>--</v>
      </c>
      <c r="P38" s="108" t="b">
        <v>0</v>
      </c>
      <c r="Q38" s="105">
        <v>40</v>
      </c>
      <c r="R38" s="105">
        <v>1</v>
      </c>
      <c r="S38" s="110" t="str">
        <f>IFERROR(_xll.qlRateHelperEarliestDate(M38,Trigger),"--")</f>
        <v>--</v>
      </c>
      <c r="T38" s="110" t="str">
        <f>IFERROR(_xll.qlRateHelperPillarDate(M38,Trigger),"--")</f>
        <v>--</v>
      </c>
      <c r="V38" s="4" t="str">
        <f t="shared" si="3"/>
        <v>BasSw</v>
      </c>
      <c r="W38" s="4" t="str">
        <v>obj_0027c</v>
      </c>
      <c r="X38" s="4" t="str">
        <f>IFERROR(_xll.qlRateHelperQuoteName(W38,Trigger),"")</f>
        <v>USDAM3L60Y_S12L3L_Quote</v>
      </c>
      <c r="Y38" s="75">
        <f>IFERROR(_xll.qlRateHelperRate(W38,Trigger),"")</f>
        <v>2.4760768965338905E-2</v>
      </c>
      <c r="Z38" s="115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42450</v>
      </c>
      <c r="AB38" s="5">
        <f>IFERROR(_xll.qlRateHelperPillarDate(W38,Trigger),"")</f>
        <v>64367</v>
      </c>
      <c r="AC38" s="83">
        <v>0.22368946441115378</v>
      </c>
    </row>
    <row r="39" spans="1:29" ht="11.25" customHeight="1" x14ac:dyDescent="0.2">
      <c r="A39" s="63" t="s">
        <v>128</v>
      </c>
      <c r="B39" s="127">
        <v>19</v>
      </c>
      <c r="C39" s="67" t="str">
        <f t="shared" si="9"/>
        <v>x31F</v>
      </c>
      <c r="D39" s="136"/>
      <c r="E39" s="136"/>
      <c r="F39" s="136"/>
      <c r="G39" s="65" t="str">
        <f t="shared" si="7"/>
        <v>UsdLibor1Y</v>
      </c>
      <c r="H39" s="130" t="str">
        <f t="shared" si="10"/>
        <v>USD19x31F_Quote</v>
      </c>
      <c r="I39" s="136"/>
      <c r="J39" s="69"/>
      <c r="K39" s="52"/>
      <c r="L39" s="11" t="str">
        <f t="shared" si="5"/>
        <v>FRA</v>
      </c>
      <c r="M39" s="105" t="str">
        <f t="shared" si="6"/>
        <v>--</v>
      </c>
      <c r="N39" s="159" t="str">
        <f>IFERROR(_xll.qlRateHelperQuoteName(M39,Trigger),"--")</f>
        <v>--</v>
      </c>
      <c r="O39" s="109" t="str">
        <f>IFERROR(_xll.qlRateHelperQuoteValue($M39,Trigger),"--")</f>
        <v>--</v>
      </c>
      <c r="P39" s="108" t="b">
        <v>0</v>
      </c>
      <c r="Q39" s="105">
        <v>40</v>
      </c>
      <c r="R39" s="105">
        <v>1</v>
      </c>
      <c r="S39" s="110" t="str">
        <f>IFERROR(_xll.qlRateHelperEarliestDate(M39,Trigger),"--")</f>
        <v>--</v>
      </c>
      <c r="T39" s="110" t="str">
        <f>IFERROR(_xll.qlRateHelperPillarDate(M39,Trigger),"--")</f>
        <v>--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5" t="str">
        <f>IFERROR(_xll.qlRateHelperRate(W39,Trigger),"")</f>
        <v/>
      </c>
      <c r="Z39" s="115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3" t="e">
        <v>#N/A</v>
      </c>
    </row>
    <row r="40" spans="1:29" ht="11.25" customHeight="1" x14ac:dyDescent="0.2">
      <c r="A40" s="63" t="s">
        <v>128</v>
      </c>
      <c r="B40" s="127">
        <v>20</v>
      </c>
      <c r="C40" s="67" t="str">
        <f t="shared" si="9"/>
        <v>x32F</v>
      </c>
      <c r="D40" s="136"/>
      <c r="E40" s="136"/>
      <c r="F40" s="136"/>
      <c r="G40" s="65" t="str">
        <f t="shared" si="7"/>
        <v>UsdLibor1Y</v>
      </c>
      <c r="H40" s="130" t="str">
        <f t="shared" si="10"/>
        <v>USD20x32F_Quote</v>
      </c>
      <c r="I40" s="136"/>
      <c r="J40" s="69"/>
      <c r="K40" s="52"/>
      <c r="L40" s="11" t="str">
        <f t="shared" si="5"/>
        <v>FRA</v>
      </c>
      <c r="M40" s="105" t="str">
        <f t="shared" si="6"/>
        <v>--</v>
      </c>
      <c r="N40" s="159" t="str">
        <f>IFERROR(_xll.qlRateHelperQuoteName(M40,Trigger),"--")</f>
        <v>--</v>
      </c>
      <c r="O40" s="109" t="str">
        <f>IFERROR(_xll.qlRateHelperQuoteValue($M40,Trigger),"--")</f>
        <v>--</v>
      </c>
      <c r="P40" s="108" t="b">
        <v>0</v>
      </c>
      <c r="Q40" s="105">
        <v>40</v>
      </c>
      <c r="R40" s="105">
        <v>1</v>
      </c>
      <c r="S40" s="110" t="str">
        <f>IFERROR(_xll.qlRateHelperEarliestDate(M40,Trigger),"--")</f>
        <v>--</v>
      </c>
      <c r="T40" s="110" t="str">
        <f>IFERROR(_xll.qlRateHelperPillarDate(M40,Trigger),"--")</f>
        <v>--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5" t="str">
        <f>IFERROR(_xll.qlRateHelperRate(W40,Trigger),"")</f>
        <v/>
      </c>
      <c r="Z40" s="115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3" t="e">
        <v>#N/A</v>
      </c>
    </row>
    <row r="41" spans="1:29" ht="11.25" customHeight="1" x14ac:dyDescent="0.2">
      <c r="A41" s="63" t="s">
        <v>128</v>
      </c>
      <c r="B41" s="127">
        <v>21</v>
      </c>
      <c r="C41" s="67" t="str">
        <f t="shared" si="9"/>
        <v>x33F</v>
      </c>
      <c r="D41" s="136"/>
      <c r="E41" s="136"/>
      <c r="F41" s="136"/>
      <c r="G41" s="65" t="str">
        <f t="shared" si="7"/>
        <v>UsdLibor1Y</v>
      </c>
      <c r="H41" s="130" t="str">
        <f t="shared" si="10"/>
        <v>USD21x33F_Quote</v>
      </c>
      <c r="I41" s="136"/>
      <c r="J41" s="69"/>
      <c r="L41" s="11" t="str">
        <f t="shared" si="5"/>
        <v>FRA</v>
      </c>
      <c r="M41" s="105" t="str">
        <f t="shared" si="6"/>
        <v>--</v>
      </c>
      <c r="N41" s="159" t="str">
        <f>IFERROR(_xll.qlRateHelperQuoteName(M41,Trigger),"--")</f>
        <v>--</v>
      </c>
      <c r="O41" s="109" t="str">
        <f>IFERROR(_xll.qlRateHelperQuoteValue($M41,Trigger),"--")</f>
        <v>--</v>
      </c>
      <c r="P41" s="108" t="b">
        <v>0</v>
      </c>
      <c r="Q41" s="105">
        <v>40</v>
      </c>
      <c r="R41" s="105">
        <v>1</v>
      </c>
      <c r="S41" s="110" t="str">
        <f>IFERROR(_xll.qlRateHelperEarliestDate(M41,Trigger),"--")</f>
        <v>--</v>
      </c>
      <c r="T41" s="110" t="str">
        <f>IFERROR(_xll.qlRateHelperPillarDate(M41,Trigger),"--")</f>
        <v>--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5" t="str">
        <f>IFERROR(_xll.qlRateHelperRate(W41,Trigger),"")</f>
        <v/>
      </c>
      <c r="Z41" s="115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3" t="e">
        <v>#N/A</v>
      </c>
    </row>
    <row r="42" spans="1:29" ht="11.25" customHeight="1" x14ac:dyDescent="0.2">
      <c r="A42" s="63" t="s">
        <v>128</v>
      </c>
      <c r="B42" s="127">
        <v>22</v>
      </c>
      <c r="C42" s="67" t="str">
        <f t="shared" si="9"/>
        <v>x34F</v>
      </c>
      <c r="D42" s="136"/>
      <c r="E42" s="136"/>
      <c r="F42" s="136"/>
      <c r="G42" s="65" t="str">
        <f t="shared" si="7"/>
        <v>UsdLibor1Y</v>
      </c>
      <c r="H42" s="130" t="str">
        <f t="shared" si="10"/>
        <v>USD22x34F_Quote</v>
      </c>
      <c r="I42" s="136"/>
      <c r="J42" s="69"/>
      <c r="L42" s="12" t="str">
        <f t="shared" si="5"/>
        <v>FRA</v>
      </c>
      <c r="M42" s="106" t="str">
        <f t="shared" si="6"/>
        <v>--</v>
      </c>
      <c r="N42" s="160" t="str">
        <f>IFERROR(_xll.qlRateHelperQuoteName(M42,Trigger),"--")</f>
        <v>--</v>
      </c>
      <c r="O42" s="112" t="str">
        <f>IFERROR(_xll.qlRateHelperQuoteValue($M42,Trigger),"--")</f>
        <v>--</v>
      </c>
      <c r="P42" s="111" t="b">
        <v>0</v>
      </c>
      <c r="Q42" s="106">
        <v>40</v>
      </c>
      <c r="R42" s="106">
        <v>1</v>
      </c>
      <c r="S42" s="113" t="str">
        <f>IFERROR(_xll.qlRateHelperEarliestDate(M42,Trigger),"--")</f>
        <v>--</v>
      </c>
      <c r="T42" s="113" t="str">
        <f>IFERROR(_xll.qlRateHelperPillarDate(M42,Trigger),"--")</f>
        <v>--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5" t="str">
        <f>IFERROR(_xll.qlRateHelperRate(W42,Trigger),"")</f>
        <v/>
      </c>
      <c r="Z42" s="115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3" t="e">
        <v>#N/A</v>
      </c>
    </row>
    <row r="43" spans="1:29" ht="11.25" customHeight="1" x14ac:dyDescent="0.2">
      <c r="A43" s="63" t="s">
        <v>128</v>
      </c>
      <c r="B43" s="127">
        <v>23</v>
      </c>
      <c r="C43" s="67" t="str">
        <f t="shared" si="9"/>
        <v>x35F</v>
      </c>
      <c r="D43" s="136"/>
      <c r="E43" s="136"/>
      <c r="F43" s="136"/>
      <c r="G43" s="65" t="str">
        <f t="shared" si="7"/>
        <v>UsdLibor1Y</v>
      </c>
      <c r="H43" s="130" t="str">
        <f t="shared" si="10"/>
        <v>USD23x35F_Quote</v>
      </c>
      <c r="I43" s="136"/>
      <c r="J43" s="69"/>
      <c r="L43" s="73" t="str">
        <f>A47</f>
        <v>BasSw</v>
      </c>
      <c r="M43" s="144" t="str">
        <f>IF(ISBLANK(J47),"--",J47)</f>
        <v>--</v>
      </c>
      <c r="N43" s="158" t="str">
        <f>IFERROR(_xll.qlRateHelperQuoteName(M43,Trigger),"--")</f>
        <v>--</v>
      </c>
      <c r="O43" s="146" t="str">
        <f>IFERROR(_xll.qlRateHelperQuoteValue($M43,Trigger),"--")</f>
        <v>--</v>
      </c>
      <c r="P43" s="145" t="b">
        <v>0</v>
      </c>
      <c r="Q43" s="144">
        <v>40</v>
      </c>
      <c r="R43" s="144">
        <v>1</v>
      </c>
      <c r="S43" s="147" t="str">
        <f>IFERROR(_xll.qlRateHelperEarliestDate(M43,Trigger),"--")</f>
        <v>--</v>
      </c>
      <c r="T43" s="147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5" t="str">
        <f>IFERROR(_xll.qlRateHelperRate(W43,Trigger),"")</f>
        <v/>
      </c>
      <c r="Z43" s="115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3" t="e">
        <v>#N/A</v>
      </c>
    </row>
    <row r="44" spans="1:29" ht="11.25" customHeight="1" x14ac:dyDescent="0.2">
      <c r="A44" s="1" t="s">
        <v>128</v>
      </c>
      <c r="B44" s="128">
        <v>24</v>
      </c>
      <c r="C44" s="10" t="str">
        <f t="shared" si="9"/>
        <v>x36F</v>
      </c>
      <c r="D44" s="137"/>
      <c r="E44" s="137"/>
      <c r="F44" s="137"/>
      <c r="G44" s="7" t="str">
        <f t="shared" si="7"/>
        <v>UsdLibor1Y</v>
      </c>
      <c r="H44" s="131" t="str">
        <f t="shared" si="10"/>
        <v>USD24x36F_Quote</v>
      </c>
      <c r="I44" s="137"/>
      <c r="J44" s="3"/>
      <c r="L44" s="11" t="str">
        <f t="shared" ref="L44:L78" si="11">A48</f>
        <v>BasSw</v>
      </c>
      <c r="M44" s="105" t="str">
        <f t="shared" ref="M44:M78" si="12">IF(ISBLANK(J48),"--",J48)</f>
        <v>obj_002c7#0311</v>
      </c>
      <c r="N44" s="159" t="str">
        <f>IFERROR(_xll.qlRateHelperQuoteName(M44,Trigger),"--")</f>
        <v>USDAM3L2Y_S12L3L_Quote</v>
      </c>
      <c r="O44" s="109">
        <f>IFERROR(_xll.qlRateHelperQuoteValue($M44,Trigger),"--")</f>
        <v>1.3087606002080402E-2</v>
      </c>
      <c r="P44" s="108" t="b">
        <v>1</v>
      </c>
      <c r="Q44" s="105">
        <v>40</v>
      </c>
      <c r="R44" s="105">
        <v>7</v>
      </c>
      <c r="S44" s="110">
        <f>IFERROR(_xll.qlRateHelperEarliestDate(M44,Trigger),"--")</f>
        <v>42450</v>
      </c>
      <c r="T44" s="110">
        <f>IFERROR(_xll.qlRateHelperPillarDate(M44,Trigger),"--")</f>
        <v>43180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5" t="str">
        <f>IFERROR(_xll.qlRateHelperRate(W44,Trigger),"")</f>
        <v/>
      </c>
      <c r="Z44" s="115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3" t="e">
        <v>#N/A</v>
      </c>
    </row>
    <row r="45" spans="1:29" ht="11.25" customHeight="1" x14ac:dyDescent="0.2">
      <c r="B45" s="50"/>
      <c r="C45" s="50"/>
      <c r="D45" s="50"/>
      <c r="E45" s="50"/>
      <c r="F45" s="50" t="s">
        <v>150</v>
      </c>
      <c r="G45" s="50" t="s">
        <v>149</v>
      </c>
      <c r="H45" s="50" t="s">
        <v>161</v>
      </c>
      <c r="L45" s="11" t="str">
        <f t="shared" si="11"/>
        <v>BasSw</v>
      </c>
      <c r="M45" s="105" t="str">
        <f t="shared" si="12"/>
        <v>obj_002bc#0311</v>
      </c>
      <c r="N45" s="159" t="str">
        <f>IFERROR(_xll.qlRateHelperQuoteName(M45,Trigger),"--")</f>
        <v>USDAM3L3Y_S12L3L_Quote</v>
      </c>
      <c r="O45" s="109">
        <f>IFERROR(_xll.qlRateHelperQuoteValue($M45,Trigger),"--")</f>
        <v>1.4369643722693563E-2</v>
      </c>
      <c r="P45" s="108" t="b">
        <v>1</v>
      </c>
      <c r="Q45" s="105">
        <v>40</v>
      </c>
      <c r="R45" s="105">
        <v>1</v>
      </c>
      <c r="S45" s="110">
        <f>IFERROR(_xll.qlRateHelperEarliestDate(M45,Trigger),"--")</f>
        <v>42450</v>
      </c>
      <c r="T45" s="110">
        <f>IFERROR(_xll.qlRateHelperPillarDate(M45,Trigger),"--")</f>
        <v>43545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5" t="str">
        <f>IFERROR(_xll.qlRateHelperRate(W45,Trigger),"")</f>
        <v/>
      </c>
      <c r="Z45" s="115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3" t="e">
        <v>#N/A</v>
      </c>
    </row>
    <row r="46" spans="1:29" ht="11.25" customHeight="1" x14ac:dyDescent="0.2">
      <c r="A46" s="70" t="s">
        <v>9</v>
      </c>
      <c r="B46" s="70" t="s">
        <v>30</v>
      </c>
      <c r="C46" s="70" t="s">
        <v>151</v>
      </c>
      <c r="D46" s="70" t="s">
        <v>5</v>
      </c>
      <c r="E46" s="70" t="s">
        <v>35</v>
      </c>
      <c r="F46" s="70" t="s">
        <v>152</v>
      </c>
      <c r="G46" s="70" t="s">
        <v>4</v>
      </c>
      <c r="H46" s="70" t="s">
        <v>1</v>
      </c>
      <c r="I46" s="70" t="s">
        <v>148</v>
      </c>
      <c r="J46" s="70" t="s">
        <v>25</v>
      </c>
      <c r="L46" s="11" t="str">
        <f t="shared" si="11"/>
        <v>BasSw</v>
      </c>
      <c r="M46" s="105" t="str">
        <f t="shared" si="12"/>
        <v>obj_002bf#0311</v>
      </c>
      <c r="N46" s="159" t="str">
        <f>IFERROR(_xll.qlRateHelperQuoteName(M46,Trigger),"--")</f>
        <v>USDAM3L4Y_S12L3L_Quote</v>
      </c>
      <c r="O46" s="109">
        <f>IFERROR(_xll.qlRateHelperQuoteValue($M46,Trigger),"--")</f>
        <v>1.5538658185847152E-2</v>
      </c>
      <c r="P46" s="108" t="b">
        <v>1</v>
      </c>
      <c r="Q46" s="105">
        <v>40</v>
      </c>
      <c r="R46" s="105">
        <v>1</v>
      </c>
      <c r="S46" s="110">
        <f>IFERROR(_xll.qlRateHelperEarliestDate(M46,Trigger),"--")</f>
        <v>42450</v>
      </c>
      <c r="T46" s="110">
        <f>IFERROR(_xll.qlRateHelperPillarDate(M46,Trigger),"--")</f>
        <v>43913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5" t="str">
        <f>IFERROR(_xll.qlRateHelperRate(W46,Trigger),"")</f>
        <v/>
      </c>
      <c r="Z46" s="115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3" t="e">
        <v>#N/A</v>
      </c>
    </row>
    <row r="47" spans="1:29" ht="11.25" customHeight="1" x14ac:dyDescent="0.2">
      <c r="A47" s="57" t="s">
        <v>160</v>
      </c>
      <c r="B47" s="58" t="s">
        <v>29</v>
      </c>
      <c r="C47" s="59" t="s">
        <v>6</v>
      </c>
      <c r="D47" s="59" t="s">
        <v>8</v>
      </c>
      <c r="E47" s="59" t="s">
        <v>7</v>
      </c>
      <c r="F47" s="59" t="s">
        <v>28</v>
      </c>
      <c r="G47" s="59" t="str">
        <f t="shared" ref="G47:G82" si="13">PROPER(Currency)&amp;FamilyName&amp;Tenor</f>
        <v>UsdLibor1Y</v>
      </c>
      <c r="H47" s="57" t="str">
        <f t="shared" ref="H47:H82" si="14">Currency&amp;$G$45&amp;$F$45&amp;$B47&amp;"_S"&amp;$H$45&amp;$F$45&amp;QuoteSuffix</f>
        <v>USDAM3L1Y_S12L3L_Quote</v>
      </c>
      <c r="I47" s="139">
        <v>0</v>
      </c>
      <c r="J47" s="69"/>
      <c r="L47" s="11" t="str">
        <f t="shared" si="11"/>
        <v>BasSw</v>
      </c>
      <c r="M47" s="105" t="str">
        <f t="shared" si="12"/>
        <v>obj_002d9#0311</v>
      </c>
      <c r="N47" s="159" t="str">
        <f>IFERROR(_xll.qlRateHelperQuoteName(M47,Trigger),"--")</f>
        <v>USDAM3L5Y_S12L3L_Quote</v>
      </c>
      <c r="O47" s="109">
        <f>IFERROR(_xll.qlRateHelperQuoteValue($M47,Trigger),"--")</f>
        <v>1.6459329191188293E-2</v>
      </c>
      <c r="P47" s="108" t="b">
        <v>1</v>
      </c>
      <c r="Q47" s="105">
        <v>40</v>
      </c>
      <c r="R47" s="105">
        <v>1</v>
      </c>
      <c r="S47" s="110">
        <f>IFERROR(_xll.qlRateHelperEarliestDate(M47,Trigger),"--")</f>
        <v>42450</v>
      </c>
      <c r="T47" s="110">
        <f>IFERROR(_xll.qlRateHelperPillarDate(M47,Trigger),"--")</f>
        <v>44277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5" t="str">
        <f>IFERROR(_xll.qlRateHelperRate(W47,Trigger),"")</f>
        <v/>
      </c>
      <c r="Z47" s="115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3" t="e">
        <v>#N/A</v>
      </c>
    </row>
    <row r="48" spans="1:29" ht="11.25" customHeight="1" x14ac:dyDescent="0.2">
      <c r="A48" s="63" t="s">
        <v>160</v>
      </c>
      <c r="B48" s="64" t="s">
        <v>72</v>
      </c>
      <c r="C48" s="65" t="s">
        <v>6</v>
      </c>
      <c r="D48" s="65" t="s">
        <v>8</v>
      </c>
      <c r="E48" s="65" t="s">
        <v>7</v>
      </c>
      <c r="F48" s="65" t="s">
        <v>28</v>
      </c>
      <c r="G48" s="65" t="str">
        <f t="shared" si="13"/>
        <v>UsdLibor1Y</v>
      </c>
      <c r="H48" s="63" t="str">
        <f t="shared" si="14"/>
        <v>USDAM3L2Y_S12L3L_Quote</v>
      </c>
      <c r="I48" s="140">
        <v>0</v>
      </c>
      <c r="J48" s="69" t="str">
        <f>_xll.qlSwapRateHelper2(,H48,,B48,JoinCalendar,USD1Y!D48,USD1Y!E48,USD1Y!F48,USD1Y!G48,USD1Y!I48,USD1Y!C48,Discounting,PillarDate,,Permanent,Trigger,ObjectOverwrite)</f>
        <v>obj_002c7#0311</v>
      </c>
      <c r="L48" s="11" t="str">
        <f t="shared" si="11"/>
        <v>BasSw</v>
      </c>
      <c r="M48" s="105" t="str">
        <f t="shared" si="12"/>
        <v>obj_002ee#0311</v>
      </c>
      <c r="N48" s="159" t="str">
        <f>IFERROR(_xll.qlRateHelperQuoteName(M48,Trigger),"--")</f>
        <v>USDAM3L6Y_S12L3L_Quote</v>
      </c>
      <c r="O48" s="109">
        <f>IFERROR(_xll.qlRateHelperQuoteValue($M48,Trigger),"--")</f>
        <v>1.7382517393209673E-2</v>
      </c>
      <c r="P48" s="108" t="b">
        <v>1</v>
      </c>
      <c r="Q48" s="105">
        <v>40</v>
      </c>
      <c r="R48" s="105">
        <v>1</v>
      </c>
      <c r="S48" s="110">
        <f>IFERROR(_xll.qlRateHelperEarliestDate(M48,Trigger),"--")</f>
        <v>42450</v>
      </c>
      <c r="T48" s="110">
        <f>IFERROR(_xll.qlRateHelperPillarDate(M48,Trigger),"--")</f>
        <v>44641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5" t="str">
        <f>IFERROR(_xll.qlRateHelperRate(W48,Trigger),"")</f>
        <v/>
      </c>
      <c r="Z48" s="115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3" t="e">
        <v>#N/A</v>
      </c>
    </row>
    <row r="49" spans="1:29" ht="11.25" customHeight="1" x14ac:dyDescent="0.2">
      <c r="A49" s="63" t="s">
        <v>160</v>
      </c>
      <c r="B49" s="64" t="s">
        <v>76</v>
      </c>
      <c r="C49" s="65" t="s">
        <v>6</v>
      </c>
      <c r="D49" s="65" t="s">
        <v>8</v>
      </c>
      <c r="E49" s="65" t="s">
        <v>7</v>
      </c>
      <c r="F49" s="65" t="s">
        <v>28</v>
      </c>
      <c r="G49" s="65" t="str">
        <f t="shared" si="13"/>
        <v>UsdLibor1Y</v>
      </c>
      <c r="H49" s="63" t="str">
        <f t="shared" si="14"/>
        <v>USDAM3L3Y_S12L3L_Quote</v>
      </c>
      <c r="I49" s="140">
        <v>0</v>
      </c>
      <c r="J49" s="69" t="str">
        <f>_xll.qlSwapRateHelper2(,H49,,B49,JoinCalendar,USD1Y!D49,USD1Y!E49,USD1Y!F49,USD1Y!G49,USD1Y!I49,USD1Y!C49,Discounting,PillarDate,,Permanent,Trigger,ObjectOverwrite)</f>
        <v>obj_002bc#0311</v>
      </c>
      <c r="L49" s="11" t="str">
        <f t="shared" si="11"/>
        <v>BasSw</v>
      </c>
      <c r="M49" s="105" t="str">
        <f t="shared" si="12"/>
        <v>obj_002dd#0311</v>
      </c>
      <c r="N49" s="159" t="str">
        <f>IFERROR(_xll.qlRateHelperQuoteName(M49,Trigger),"--")</f>
        <v>USDAM3L7Y_S12L3L_Quote</v>
      </c>
      <c r="O49" s="109">
        <f>IFERROR(_xll.qlRateHelperQuoteValue($M49,Trigger),"--")</f>
        <v>1.818040907001461E-2</v>
      </c>
      <c r="P49" s="108" t="b">
        <v>1</v>
      </c>
      <c r="Q49" s="105">
        <v>40</v>
      </c>
      <c r="R49" s="105">
        <v>1</v>
      </c>
      <c r="S49" s="110">
        <f>IFERROR(_xll.qlRateHelperEarliestDate(M49,Trigger),"--")</f>
        <v>42450</v>
      </c>
      <c r="T49" s="110">
        <f>IFERROR(_xll.qlRateHelperPillarDate(M49,Trigger),"--")</f>
        <v>45006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5" t="str">
        <f>IFERROR(_xll.qlRateHelperRate(W49,Trigger),"")</f>
        <v/>
      </c>
      <c r="Z49" s="115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3" t="e">
        <v>#N/A</v>
      </c>
    </row>
    <row r="50" spans="1:29" ht="11.25" customHeight="1" x14ac:dyDescent="0.2">
      <c r="A50" s="63" t="s">
        <v>160</v>
      </c>
      <c r="B50" s="64" t="s">
        <v>80</v>
      </c>
      <c r="C50" s="65" t="s">
        <v>6</v>
      </c>
      <c r="D50" s="65" t="s">
        <v>8</v>
      </c>
      <c r="E50" s="65" t="s">
        <v>7</v>
      </c>
      <c r="F50" s="65" t="s">
        <v>28</v>
      </c>
      <c r="G50" s="65" t="str">
        <f t="shared" si="13"/>
        <v>UsdLibor1Y</v>
      </c>
      <c r="H50" s="63" t="str">
        <f t="shared" si="14"/>
        <v>USDAM3L4Y_S12L3L_Quote</v>
      </c>
      <c r="I50" s="140">
        <v>0</v>
      </c>
      <c r="J50" s="69" t="str">
        <f>_xll.qlSwapRateHelper2(,H50,,B50,JoinCalendar,USD1Y!D50,USD1Y!E50,USD1Y!F50,USD1Y!G50,USD1Y!I50,USD1Y!C50,Discounting,PillarDate,,Permanent,Trigger,ObjectOverwrite)</f>
        <v>obj_002bf#0311</v>
      </c>
      <c r="L50" s="11" t="str">
        <f t="shared" si="11"/>
        <v>BasSw</v>
      </c>
      <c r="M50" s="105" t="str">
        <f t="shared" si="12"/>
        <v>obj_002b6#0311</v>
      </c>
      <c r="N50" s="159" t="str">
        <f>IFERROR(_xll.qlRateHelperQuoteName(M50,Trigger),"--")</f>
        <v>USDAM3L8Y_S12L3L_Quote</v>
      </c>
      <c r="O50" s="109">
        <f>IFERROR(_xll.qlRateHelperQuoteValue($M50,Trigger),"--")</f>
        <v>1.8956030450166528E-2</v>
      </c>
      <c r="P50" s="108" t="b">
        <v>1</v>
      </c>
      <c r="Q50" s="105">
        <v>40</v>
      </c>
      <c r="R50" s="105">
        <v>1</v>
      </c>
      <c r="S50" s="110">
        <f>IFERROR(_xll.qlRateHelperEarliestDate(M50,Trigger),"--")</f>
        <v>42450</v>
      </c>
      <c r="T50" s="110">
        <f>IFERROR(_xll.qlRateHelperPillarDate(M50,Trigger),"--")</f>
        <v>45372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5" t="str">
        <f>IFERROR(_xll.qlRateHelperRate(W50,Trigger),"")</f>
        <v/>
      </c>
      <c r="Z50" s="115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3" t="e">
        <v>#N/A</v>
      </c>
    </row>
    <row r="51" spans="1:29" ht="11.25" customHeight="1" x14ac:dyDescent="0.2">
      <c r="A51" s="63" t="s">
        <v>160</v>
      </c>
      <c r="B51" s="64" t="s">
        <v>84</v>
      </c>
      <c r="C51" s="65" t="s">
        <v>6</v>
      </c>
      <c r="D51" s="65" t="s">
        <v>8</v>
      </c>
      <c r="E51" s="65" t="s">
        <v>7</v>
      </c>
      <c r="F51" s="65" t="s">
        <v>28</v>
      </c>
      <c r="G51" s="65" t="str">
        <f t="shared" si="13"/>
        <v>UsdLibor1Y</v>
      </c>
      <c r="H51" s="63" t="str">
        <f t="shared" si="14"/>
        <v>USDAM3L5Y_S12L3L_Quote</v>
      </c>
      <c r="I51" s="140">
        <v>0</v>
      </c>
      <c r="J51" s="69" t="str">
        <f>_xll.qlSwapRateHelper2(,H51,,B51,JoinCalendar,USD1Y!D51,USD1Y!E51,USD1Y!F51,USD1Y!G51,USD1Y!I51,USD1Y!C51,Discounting,PillarDate,,Permanent,Trigger,ObjectOverwrite)</f>
        <v>obj_002d9#0311</v>
      </c>
      <c r="L51" s="11" t="str">
        <f t="shared" si="11"/>
        <v>BasSw</v>
      </c>
      <c r="M51" s="105" t="str">
        <f t="shared" si="12"/>
        <v>obj_002a9#0311</v>
      </c>
      <c r="N51" s="159" t="str">
        <f>IFERROR(_xll.qlRateHelperQuoteName(M51,Trigger),"--")</f>
        <v>USDAM3L9Y_S12L3L_Quote</v>
      </c>
      <c r="O51" s="109">
        <f>IFERROR(_xll.qlRateHelperQuoteValue($M51,Trigger),"--")</f>
        <v>1.9608956954279309E-2</v>
      </c>
      <c r="P51" s="108" t="b">
        <v>1</v>
      </c>
      <c r="Q51" s="105">
        <v>40</v>
      </c>
      <c r="R51" s="105">
        <v>1</v>
      </c>
      <c r="S51" s="110">
        <f>IFERROR(_xll.qlRateHelperEarliestDate(M51,Trigger),"--")</f>
        <v>42450</v>
      </c>
      <c r="T51" s="110">
        <f>IFERROR(_xll.qlRateHelperPillarDate(M51,Trigger),"--")</f>
        <v>45737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5" t="str">
        <f>IFERROR(_xll.qlRateHelperRate(W51,Trigger),"")</f>
        <v/>
      </c>
      <c r="Z51" s="115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3" t="e">
        <v>#N/A</v>
      </c>
    </row>
    <row r="52" spans="1:29" ht="11.25" customHeight="1" x14ac:dyDescent="0.2">
      <c r="A52" s="63" t="s">
        <v>160</v>
      </c>
      <c r="B52" s="64" t="s">
        <v>85</v>
      </c>
      <c r="C52" s="65" t="s">
        <v>6</v>
      </c>
      <c r="D52" s="65" t="s">
        <v>8</v>
      </c>
      <c r="E52" s="65" t="s">
        <v>7</v>
      </c>
      <c r="F52" s="65" t="s">
        <v>28</v>
      </c>
      <c r="G52" s="65" t="str">
        <f t="shared" si="13"/>
        <v>UsdLibor1Y</v>
      </c>
      <c r="H52" s="63" t="str">
        <f t="shared" si="14"/>
        <v>USDAM3L6Y_S12L3L_Quote</v>
      </c>
      <c r="I52" s="140">
        <v>0</v>
      </c>
      <c r="J52" s="69" t="str">
        <f>_xll.qlSwapRateHelper2(,H52,,B52,JoinCalendar,USD1Y!D52,USD1Y!E52,USD1Y!F52,USD1Y!G52,USD1Y!I52,USD1Y!C52,Discounting,PillarDate,,Permanent,Trigger,ObjectOverwrite)</f>
        <v>obj_002ee#0311</v>
      </c>
      <c r="L52" s="11" t="str">
        <f t="shared" si="11"/>
        <v>BasSw</v>
      </c>
      <c r="M52" s="105" t="str">
        <f t="shared" si="12"/>
        <v>obj_00286#0312</v>
      </c>
      <c r="N52" s="159" t="str">
        <f>IFERROR(_xll.qlRateHelperQuoteName(M52,Trigger),"--")</f>
        <v>USDAM3L10Y_S12L3L_Quote</v>
      </c>
      <c r="O52" s="109">
        <f>IFERROR(_xll.qlRateHelperQuoteValue($M52,Trigger),"--")</f>
        <v>2.0216925086175515E-2</v>
      </c>
      <c r="P52" s="108" t="b">
        <v>1</v>
      </c>
      <c r="Q52" s="105">
        <v>40</v>
      </c>
      <c r="R52" s="105">
        <v>1</v>
      </c>
      <c r="S52" s="110">
        <f>IFERROR(_xll.qlRateHelperEarliestDate(M52,Trigger),"--")</f>
        <v>42450</v>
      </c>
      <c r="T52" s="110">
        <f>IFERROR(_xll.qlRateHelperPillarDate(M52,Trigger),"--")</f>
        <v>46104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5" t="str">
        <f>IFERROR(_xll.qlRateHelperRate(W52,Trigger),"")</f>
        <v/>
      </c>
      <c r="Z52" s="115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3" t="e">
        <v>#N/A</v>
      </c>
    </row>
    <row r="53" spans="1:29" ht="11.25" customHeight="1" x14ac:dyDescent="0.2">
      <c r="A53" s="63" t="s">
        <v>160</v>
      </c>
      <c r="B53" s="64" t="s">
        <v>86</v>
      </c>
      <c r="C53" s="65" t="s">
        <v>6</v>
      </c>
      <c r="D53" s="65" t="s">
        <v>8</v>
      </c>
      <c r="E53" s="65" t="s">
        <v>7</v>
      </c>
      <c r="F53" s="65" t="s">
        <v>28</v>
      </c>
      <c r="G53" s="65" t="str">
        <f t="shared" si="13"/>
        <v>UsdLibor1Y</v>
      </c>
      <c r="H53" s="63" t="str">
        <f t="shared" si="14"/>
        <v>USDAM3L7Y_S12L3L_Quote</v>
      </c>
      <c r="I53" s="140">
        <v>0</v>
      </c>
      <c r="J53" s="69" t="str">
        <f>_xll.qlSwapRateHelper2(,H53,,B53,JoinCalendar,USD1Y!D53,USD1Y!E53,USD1Y!F53,USD1Y!G53,USD1Y!I53,USD1Y!C53,Discounting,PillarDate,,Permanent,Trigger,ObjectOverwrite)</f>
        <v>obj_002dd#0311</v>
      </c>
      <c r="L53" s="11" t="str">
        <f t="shared" si="11"/>
        <v>BasSw</v>
      </c>
      <c r="M53" s="105" t="str">
        <f t="shared" si="12"/>
        <v>obj_002ad#0311</v>
      </c>
      <c r="N53" s="159" t="str">
        <f>IFERROR(_xll.qlRateHelperQuoteName(M53,Trigger),"--")</f>
        <v>USDAM3L11Y_S12L3L_Quote</v>
      </c>
      <c r="O53" s="109">
        <f>IFERROR(_xll.qlRateHelperQuoteValue($M53,Trigger),"--")</f>
        <v>2.0852049117531978E-2</v>
      </c>
      <c r="P53" s="108" t="b">
        <v>1</v>
      </c>
      <c r="Q53" s="105">
        <v>40</v>
      </c>
      <c r="R53" s="105">
        <v>1</v>
      </c>
      <c r="S53" s="110">
        <f>IFERROR(_xll.qlRateHelperEarliestDate(M53,Trigger),"--")</f>
        <v>42450</v>
      </c>
      <c r="T53" s="110">
        <f>IFERROR(_xll.qlRateHelperPillarDate(M53,Trigger),"--")</f>
        <v>46468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5" t="str">
        <f>IFERROR(_xll.qlRateHelperRate(W53,Trigger),"")</f>
        <v/>
      </c>
      <c r="Z53" s="115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3" t="e">
        <v>#N/A</v>
      </c>
    </row>
    <row r="54" spans="1:29" ht="11.25" customHeight="1" x14ac:dyDescent="0.2">
      <c r="A54" s="63" t="s">
        <v>160</v>
      </c>
      <c r="B54" s="64" t="s">
        <v>87</v>
      </c>
      <c r="C54" s="65" t="s">
        <v>6</v>
      </c>
      <c r="D54" s="65" t="s">
        <v>8</v>
      </c>
      <c r="E54" s="65" t="s">
        <v>7</v>
      </c>
      <c r="F54" s="65" t="s">
        <v>28</v>
      </c>
      <c r="G54" s="65" t="str">
        <f t="shared" si="13"/>
        <v>UsdLibor1Y</v>
      </c>
      <c r="H54" s="63" t="str">
        <f t="shared" si="14"/>
        <v>USDAM3L8Y_S12L3L_Quote</v>
      </c>
      <c r="I54" s="140">
        <v>0</v>
      </c>
      <c r="J54" s="69" t="str">
        <f>_xll.qlSwapRateHelper2(,H54,,B54,JoinCalendar,USD1Y!D54,USD1Y!E54,USD1Y!F54,USD1Y!G54,USD1Y!I54,USD1Y!C54,Discounting,PillarDate,,Permanent,Trigger,ObjectOverwrite)</f>
        <v>obj_002b6#0311</v>
      </c>
      <c r="L54" s="11" t="str">
        <f t="shared" si="11"/>
        <v>BasSw</v>
      </c>
      <c r="M54" s="105" t="str">
        <f t="shared" si="12"/>
        <v>obj_002ac#0311</v>
      </c>
      <c r="N54" s="159" t="str">
        <f>IFERROR(_xll.qlRateHelperQuoteName(M54,Trigger),"--")</f>
        <v>USDAM3L12Y_S12L3L_Quote</v>
      </c>
      <c r="O54" s="109">
        <f>IFERROR(_xll.qlRateHelperQuoteValue($M54,Trigger),"--")</f>
        <v>2.1418505012632403E-2</v>
      </c>
      <c r="P54" s="108" t="b">
        <v>1</v>
      </c>
      <c r="Q54" s="105">
        <v>40</v>
      </c>
      <c r="R54" s="105">
        <v>1</v>
      </c>
      <c r="S54" s="110">
        <f>IFERROR(_xll.qlRateHelperEarliestDate(M54,Trigger),"--")</f>
        <v>42450</v>
      </c>
      <c r="T54" s="110">
        <f>IFERROR(_xll.qlRateHelperPillarDate(M54,Trigger),"--")</f>
        <v>46833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5" t="str">
        <f>IFERROR(_xll.qlRateHelperRate(W54,Trigger),"")</f>
        <v/>
      </c>
      <c r="Z54" s="115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3" t="e">
        <v>#N/A</v>
      </c>
    </row>
    <row r="55" spans="1:29" ht="11.25" customHeight="1" x14ac:dyDescent="0.2">
      <c r="A55" s="63" t="s">
        <v>160</v>
      </c>
      <c r="B55" s="64" t="s">
        <v>88</v>
      </c>
      <c r="C55" s="65" t="s">
        <v>6</v>
      </c>
      <c r="D55" s="65" t="s">
        <v>8</v>
      </c>
      <c r="E55" s="65" t="s">
        <v>7</v>
      </c>
      <c r="F55" s="65" t="s">
        <v>28</v>
      </c>
      <c r="G55" s="65" t="str">
        <f t="shared" si="13"/>
        <v>UsdLibor1Y</v>
      </c>
      <c r="H55" s="63" t="str">
        <f t="shared" si="14"/>
        <v>USDAM3L9Y_S12L3L_Quote</v>
      </c>
      <c r="I55" s="140">
        <v>0</v>
      </c>
      <c r="J55" s="69" t="str">
        <f>_xll.qlSwapRateHelper2(,H55,,B55,JoinCalendar,USD1Y!D55,USD1Y!E55,USD1Y!F55,USD1Y!G55,USD1Y!I55,USD1Y!C55,Discounting,PillarDate,,Permanent,Trigger,ObjectOverwrite)</f>
        <v>obj_002a9#0311</v>
      </c>
      <c r="L55" s="11" t="str">
        <f t="shared" si="11"/>
        <v>BasSw</v>
      </c>
      <c r="M55" s="105" t="str">
        <f t="shared" si="12"/>
        <v>obj_002a1#0311</v>
      </c>
      <c r="N55" s="159" t="str">
        <f>IFERROR(_xll.qlRateHelperQuoteName(M55,Trigger),"--")</f>
        <v>USDAM3L13Y_S12L3L_Quote</v>
      </c>
      <c r="O55" s="109">
        <f>IFERROR(_xll.qlRateHelperQuoteValue($M55,Trigger),"--")</f>
        <v>2.1902871603753135E-2</v>
      </c>
      <c r="P55" s="108" t="b">
        <v>1</v>
      </c>
      <c r="Q55" s="105">
        <v>40</v>
      </c>
      <c r="R55" s="105">
        <v>1</v>
      </c>
      <c r="S55" s="110">
        <f>IFERROR(_xll.qlRateHelperEarliestDate(M55,Trigger),"--")</f>
        <v>42450</v>
      </c>
      <c r="T55" s="110">
        <f>IFERROR(_xll.qlRateHelperPillarDate(M55,Trigger),"--")</f>
        <v>47198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5" t="str">
        <f>IFERROR(_xll.qlRateHelperRate(W55,Trigger),"")</f>
        <v/>
      </c>
      <c r="Z55" s="115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3" t="e">
        <v>#N/A</v>
      </c>
    </row>
    <row r="56" spans="1:29" ht="11.25" customHeight="1" x14ac:dyDescent="0.2">
      <c r="A56" s="63" t="s">
        <v>160</v>
      </c>
      <c r="B56" s="64" t="s">
        <v>89</v>
      </c>
      <c r="C56" s="65" t="s">
        <v>6</v>
      </c>
      <c r="D56" s="65" t="s">
        <v>8</v>
      </c>
      <c r="E56" s="65" t="s">
        <v>7</v>
      </c>
      <c r="F56" s="65" t="s">
        <v>28</v>
      </c>
      <c r="G56" s="65" t="str">
        <f t="shared" si="13"/>
        <v>UsdLibor1Y</v>
      </c>
      <c r="H56" s="63" t="str">
        <f t="shared" si="14"/>
        <v>USDAM3L10Y_S12L3L_Quote</v>
      </c>
      <c r="I56" s="140">
        <v>0</v>
      </c>
      <c r="J56" s="69" t="str">
        <f>_xll.qlSwapRateHelper2(,H56,,B56,JoinCalendar,USD1Y!D56,USD1Y!E56,USD1Y!F56,USD1Y!G56,USD1Y!I56,USD1Y!C56,Discounting,PillarDate,,Permanent,Trigger,ObjectOverwrite)</f>
        <v>obj_00286#0312</v>
      </c>
      <c r="L56" s="11" t="str">
        <f t="shared" si="11"/>
        <v>BasSw</v>
      </c>
      <c r="M56" s="105" t="str">
        <f t="shared" si="12"/>
        <v>obj_00289#0311</v>
      </c>
      <c r="N56" s="159" t="str">
        <f>IFERROR(_xll.qlRateHelperQuoteName(M56,Trigger),"--")</f>
        <v>USDAM3L14Y_S12L3L_Quote</v>
      </c>
      <c r="O56" s="109">
        <f>IFERROR(_xll.qlRateHelperQuoteValue($M56,Trigger),"--")</f>
        <v>2.2321305369882256E-2</v>
      </c>
      <c r="P56" s="108" t="b">
        <v>1</v>
      </c>
      <c r="Q56" s="105">
        <v>40</v>
      </c>
      <c r="R56" s="105">
        <v>1</v>
      </c>
      <c r="S56" s="110">
        <f>IFERROR(_xll.qlRateHelperEarliestDate(M56,Trigger),"--")</f>
        <v>42450</v>
      </c>
      <c r="T56" s="110">
        <f>IFERROR(_xll.qlRateHelperPillarDate(M56,Trigger),"--")</f>
        <v>47563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5" t="str">
        <f>IFERROR(_xll.qlRateHelperRate(W56,Trigger),"")</f>
        <v/>
      </c>
      <c r="Z56" s="115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3" t="e">
        <v>#N/A</v>
      </c>
    </row>
    <row r="57" spans="1:29" ht="11.25" customHeight="1" x14ac:dyDescent="0.2">
      <c r="A57" s="63" t="s">
        <v>160</v>
      </c>
      <c r="B57" s="64" t="s">
        <v>133</v>
      </c>
      <c r="C57" s="65" t="s">
        <v>6</v>
      </c>
      <c r="D57" s="65" t="s">
        <v>8</v>
      </c>
      <c r="E57" s="65" t="s">
        <v>7</v>
      </c>
      <c r="F57" s="65" t="s">
        <v>28</v>
      </c>
      <c r="G57" s="65" t="str">
        <f t="shared" si="13"/>
        <v>UsdLibor1Y</v>
      </c>
      <c r="H57" s="63" t="str">
        <f t="shared" si="14"/>
        <v>USDAM3L11Y_S12L3L_Quote</v>
      </c>
      <c r="I57" s="140">
        <v>0</v>
      </c>
      <c r="J57" s="69" t="str">
        <f>_xll.qlSwapRateHelper2(,H57,,B57,JoinCalendar,USD1Y!D57,USD1Y!E57,USD1Y!F57,USD1Y!G57,USD1Y!I57,USD1Y!C57,Discounting,PillarDate,,Permanent,Trigger,ObjectOverwrite)</f>
        <v>obj_002ad#0311</v>
      </c>
      <c r="L57" s="11" t="str">
        <f t="shared" si="11"/>
        <v>BasSw</v>
      </c>
      <c r="M57" s="105" t="str">
        <f t="shared" si="12"/>
        <v>obj_002a8#0311</v>
      </c>
      <c r="N57" s="159" t="str">
        <f>IFERROR(_xll.qlRateHelperQuoteName(M57,Trigger),"--")</f>
        <v>USDAM3L15Y_S12L3L_Quote</v>
      </c>
      <c r="O57" s="109">
        <f>IFERROR(_xll.qlRateHelperQuoteValue($M57,Trigger),"--")</f>
        <v>2.2682708641578151E-2</v>
      </c>
      <c r="P57" s="108" t="b">
        <v>1</v>
      </c>
      <c r="Q57" s="105">
        <v>40</v>
      </c>
      <c r="R57" s="105">
        <v>1</v>
      </c>
      <c r="S57" s="110">
        <f>IFERROR(_xll.qlRateHelperEarliestDate(M57,Trigger),"--")</f>
        <v>42450</v>
      </c>
      <c r="T57" s="110">
        <f>IFERROR(_xll.qlRateHelperPillarDate(M57,Trigger),"--")</f>
        <v>47928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5" t="str">
        <f>IFERROR(_xll.qlRateHelperRate(W57,Trigger),"")</f>
        <v/>
      </c>
      <c r="Z57" s="115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3" t="e">
        <v>#N/A</v>
      </c>
    </row>
    <row r="58" spans="1:29" ht="11.25" customHeight="1" x14ac:dyDescent="0.2">
      <c r="A58" s="63" t="s">
        <v>160</v>
      </c>
      <c r="B58" s="64" t="s">
        <v>90</v>
      </c>
      <c r="C58" s="65" t="s">
        <v>6</v>
      </c>
      <c r="D58" s="65" t="s">
        <v>8</v>
      </c>
      <c r="E58" s="65" t="s">
        <v>7</v>
      </c>
      <c r="F58" s="65" t="s">
        <v>28</v>
      </c>
      <c r="G58" s="65" t="str">
        <f t="shared" si="13"/>
        <v>UsdLibor1Y</v>
      </c>
      <c r="H58" s="63" t="str">
        <f t="shared" si="14"/>
        <v>USDAM3L12Y_S12L3L_Quote</v>
      </c>
      <c r="I58" s="140">
        <v>0</v>
      </c>
      <c r="J58" s="69" t="str">
        <f>_xll.qlSwapRateHelper2(,H58,,B58,JoinCalendar,USD1Y!D58,USD1Y!E58,USD1Y!F58,USD1Y!G58,USD1Y!I58,USD1Y!C58,Discounting,PillarDate,,Permanent,Trigger,ObjectOverwrite)</f>
        <v>obj_002ac#0311</v>
      </c>
      <c r="L58" s="11" t="str">
        <f t="shared" si="11"/>
        <v>BasSw</v>
      </c>
      <c r="M58" s="105" t="str">
        <f t="shared" si="12"/>
        <v>--</v>
      </c>
      <c r="N58" s="159" t="str">
        <f>IFERROR(_xll.qlRateHelperQuoteName(M58,Trigger),"--")</f>
        <v>--</v>
      </c>
      <c r="O58" s="109" t="str">
        <f>IFERROR(_xll.qlRateHelperQuoteValue($M58,Trigger),"--")</f>
        <v>--</v>
      </c>
      <c r="P58" s="108" t="b">
        <v>0</v>
      </c>
      <c r="Q58" s="105">
        <v>40</v>
      </c>
      <c r="R58" s="105">
        <v>1</v>
      </c>
      <c r="S58" s="110" t="str">
        <f>IFERROR(_xll.qlRateHelperEarliestDate(M58,Trigger),"--")</f>
        <v>--</v>
      </c>
      <c r="T58" s="110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5" t="str">
        <f>IFERROR(_xll.qlRateHelperRate(W58,Trigger),"")</f>
        <v/>
      </c>
      <c r="Z58" s="115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3" t="e">
        <v>#N/A</v>
      </c>
    </row>
    <row r="59" spans="1:29" ht="11.25" customHeight="1" x14ac:dyDescent="0.2">
      <c r="A59" s="63" t="s">
        <v>160</v>
      </c>
      <c r="B59" s="64" t="s">
        <v>134</v>
      </c>
      <c r="C59" s="65" t="s">
        <v>6</v>
      </c>
      <c r="D59" s="65" t="s">
        <v>8</v>
      </c>
      <c r="E59" s="65" t="s">
        <v>7</v>
      </c>
      <c r="F59" s="65" t="s">
        <v>28</v>
      </c>
      <c r="G59" s="65" t="str">
        <f t="shared" si="13"/>
        <v>UsdLibor1Y</v>
      </c>
      <c r="H59" s="63" t="str">
        <f t="shared" si="14"/>
        <v>USDAM3L13Y_S12L3L_Quote</v>
      </c>
      <c r="I59" s="140">
        <v>0</v>
      </c>
      <c r="J59" s="69" t="str">
        <f>_xll.qlSwapRateHelper2(,H59,,B59,JoinCalendar,USD1Y!D59,USD1Y!E59,USD1Y!F59,USD1Y!G59,USD1Y!I59,USD1Y!C59,Discounting,PillarDate,,Permanent,Trigger,ObjectOverwrite)</f>
        <v>obj_002a1#0311</v>
      </c>
      <c r="L59" s="11" t="str">
        <f t="shared" si="11"/>
        <v>BasSw</v>
      </c>
      <c r="M59" s="105" t="str">
        <f t="shared" si="12"/>
        <v>--</v>
      </c>
      <c r="N59" s="159" t="str">
        <f>IFERROR(_xll.qlRateHelperQuoteName(M59,Trigger),"--")</f>
        <v>--</v>
      </c>
      <c r="O59" s="109" t="str">
        <f>IFERROR(_xll.qlRateHelperQuoteValue($M59,Trigger),"--")</f>
        <v>--</v>
      </c>
      <c r="P59" s="108" t="b">
        <v>0</v>
      </c>
      <c r="Q59" s="105">
        <v>40</v>
      </c>
      <c r="R59" s="105">
        <v>1</v>
      </c>
      <c r="S59" s="110" t="str">
        <f>IFERROR(_xll.qlRateHelperEarliestDate(M59,Trigger),"--")</f>
        <v>--</v>
      </c>
      <c r="T59" s="110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5" t="str">
        <f>IFERROR(_xll.qlRateHelperRate(W59,Trigger),"")</f>
        <v/>
      </c>
      <c r="Z59" s="115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3" t="e">
        <v>#N/A</v>
      </c>
    </row>
    <row r="60" spans="1:29" ht="11.25" customHeight="1" x14ac:dyDescent="0.2">
      <c r="A60" s="63" t="s">
        <v>160</v>
      </c>
      <c r="B60" s="64" t="s">
        <v>135</v>
      </c>
      <c r="C60" s="65" t="s">
        <v>6</v>
      </c>
      <c r="D60" s="65" t="s">
        <v>8</v>
      </c>
      <c r="E60" s="65" t="s">
        <v>7</v>
      </c>
      <c r="F60" s="65" t="s">
        <v>28</v>
      </c>
      <c r="G60" s="65" t="str">
        <f t="shared" si="13"/>
        <v>UsdLibor1Y</v>
      </c>
      <c r="H60" s="63" t="str">
        <f t="shared" si="14"/>
        <v>USDAM3L14Y_S12L3L_Quote</v>
      </c>
      <c r="I60" s="140">
        <v>0</v>
      </c>
      <c r="J60" s="69" t="str">
        <f>_xll.qlSwapRateHelper2(,H60,,B60,JoinCalendar,USD1Y!D60,USD1Y!E60,USD1Y!F60,USD1Y!G60,USD1Y!I60,USD1Y!C60,Discounting,PillarDate,,Permanent,Trigger,ObjectOverwrite)</f>
        <v>obj_00289#0311</v>
      </c>
      <c r="L60" s="11" t="str">
        <f t="shared" si="11"/>
        <v>BasSw</v>
      </c>
      <c r="M60" s="105" t="str">
        <f t="shared" si="12"/>
        <v>--</v>
      </c>
      <c r="N60" s="159" t="str">
        <f>IFERROR(_xll.qlRateHelperQuoteName(M60,Trigger),"--")</f>
        <v>--</v>
      </c>
      <c r="O60" s="109" t="str">
        <f>IFERROR(_xll.qlRateHelperQuoteValue($M60,Trigger),"--")</f>
        <v>--</v>
      </c>
      <c r="P60" s="108" t="b">
        <v>0</v>
      </c>
      <c r="Q60" s="105">
        <v>40</v>
      </c>
      <c r="R60" s="105">
        <v>1</v>
      </c>
      <c r="S60" s="110" t="str">
        <f>IFERROR(_xll.qlRateHelperEarliestDate(M60,Trigger),"--")</f>
        <v>--</v>
      </c>
      <c r="T60" s="110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5" t="str">
        <f>IFERROR(_xll.qlRateHelperRate(W60,Trigger),"")</f>
        <v/>
      </c>
      <c r="Z60" s="115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3" t="e">
        <v>#N/A</v>
      </c>
    </row>
    <row r="61" spans="1:29" ht="11.25" customHeight="1" x14ac:dyDescent="0.2">
      <c r="A61" s="63" t="s">
        <v>160</v>
      </c>
      <c r="B61" s="64" t="s">
        <v>91</v>
      </c>
      <c r="C61" s="65" t="s">
        <v>6</v>
      </c>
      <c r="D61" s="65" t="s">
        <v>8</v>
      </c>
      <c r="E61" s="65" t="s">
        <v>7</v>
      </c>
      <c r="F61" s="65" t="s">
        <v>28</v>
      </c>
      <c r="G61" s="65" t="str">
        <f t="shared" si="13"/>
        <v>UsdLibor1Y</v>
      </c>
      <c r="H61" s="63" t="str">
        <f t="shared" si="14"/>
        <v>USDAM3L15Y_S12L3L_Quote</v>
      </c>
      <c r="I61" s="140">
        <v>0</v>
      </c>
      <c r="J61" s="69" t="str">
        <f>_xll.qlSwapRateHelper2(,H61,,B61,JoinCalendar,USD1Y!D61,USD1Y!E61,USD1Y!F61,USD1Y!G61,USD1Y!I61,USD1Y!C61,Discounting,PillarDate,,Permanent,Trigger,ObjectOverwrite)</f>
        <v>obj_002a8#0311</v>
      </c>
      <c r="L61" s="11" t="str">
        <f t="shared" si="11"/>
        <v>BasSw</v>
      </c>
      <c r="M61" s="105" t="str">
        <f t="shared" si="12"/>
        <v>--</v>
      </c>
      <c r="N61" s="159" t="str">
        <f>IFERROR(_xll.qlRateHelperQuoteName(M61,Trigger),"--")</f>
        <v>--</v>
      </c>
      <c r="O61" s="109" t="str">
        <f>IFERROR(_xll.qlRateHelperQuoteValue($M61,Trigger),"--")</f>
        <v>--</v>
      </c>
      <c r="P61" s="108" t="b">
        <v>0</v>
      </c>
      <c r="Q61" s="105">
        <v>40</v>
      </c>
      <c r="R61" s="105">
        <v>1</v>
      </c>
      <c r="S61" s="110" t="str">
        <f>IFERROR(_xll.qlRateHelperEarliestDate(M61,Trigger),"--")</f>
        <v>--</v>
      </c>
      <c r="T61" s="110" t="str">
        <f>IFERROR(_xll.qlRateHelperPillarDate(M61,Trigger),"--")</f>
        <v>--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5" t="str">
        <f>IFERROR(_xll.qlRateHelperRate(W61,Trigger),"")</f>
        <v/>
      </c>
      <c r="Z61" s="115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3" t="e">
        <v>#N/A</v>
      </c>
    </row>
    <row r="62" spans="1:29" ht="11.25" customHeight="1" x14ac:dyDescent="0.2">
      <c r="A62" s="63" t="s">
        <v>160</v>
      </c>
      <c r="B62" s="64" t="s">
        <v>136</v>
      </c>
      <c r="C62" s="65" t="s">
        <v>6</v>
      </c>
      <c r="D62" s="65" t="s">
        <v>8</v>
      </c>
      <c r="E62" s="65" t="s">
        <v>7</v>
      </c>
      <c r="F62" s="65" t="s">
        <v>28</v>
      </c>
      <c r="G62" s="65" t="str">
        <f t="shared" si="13"/>
        <v>UsdLibor1Y</v>
      </c>
      <c r="H62" s="63" t="str">
        <f t="shared" si="14"/>
        <v>USDAM3L16Y_S12L3L_Quote</v>
      </c>
      <c r="I62" s="140">
        <v>0</v>
      </c>
      <c r="J62" s="69"/>
      <c r="L62" s="11" t="str">
        <f t="shared" si="11"/>
        <v>BasSw</v>
      </c>
      <c r="M62" s="105" t="str">
        <f t="shared" si="12"/>
        <v>obj_002b5#0311</v>
      </c>
      <c r="N62" s="159" t="str">
        <f>IFERROR(_xll.qlRateHelperQuoteName(M62,Trigger),"--")</f>
        <v>USDAM3L20Y_S12L3L_Quote</v>
      </c>
      <c r="O62" s="109">
        <f>IFERROR(_xll.qlRateHelperQuoteValue($M62,Trigger),"--")</f>
        <v>2.3846350680788619E-2</v>
      </c>
      <c r="P62" s="108" t="b">
        <v>1</v>
      </c>
      <c r="Q62" s="105">
        <v>40</v>
      </c>
      <c r="R62" s="105">
        <v>1</v>
      </c>
      <c r="S62" s="110">
        <f>IFERROR(_xll.qlRateHelperEarliestDate(M62,Trigger),"--")</f>
        <v>42450</v>
      </c>
      <c r="T62" s="110">
        <f>IFERROR(_xll.qlRateHelperPillarDate(M62,Trigger),"--")</f>
        <v>49755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5" t="str">
        <f>IFERROR(_xll.qlRateHelperRate(W62,Trigger),"")</f>
        <v/>
      </c>
      <c r="Z62" s="115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3" t="e">
        <v>#N/A</v>
      </c>
    </row>
    <row r="63" spans="1:29" ht="11.25" customHeight="1" x14ac:dyDescent="0.2">
      <c r="A63" s="63" t="s">
        <v>160</v>
      </c>
      <c r="B63" s="64" t="s">
        <v>137</v>
      </c>
      <c r="C63" s="65" t="s">
        <v>6</v>
      </c>
      <c r="D63" s="65" t="s">
        <v>8</v>
      </c>
      <c r="E63" s="65" t="s">
        <v>7</v>
      </c>
      <c r="F63" s="65" t="s">
        <v>28</v>
      </c>
      <c r="G63" s="65" t="str">
        <f t="shared" si="13"/>
        <v>UsdLibor1Y</v>
      </c>
      <c r="H63" s="63" t="str">
        <f t="shared" si="14"/>
        <v>USDAM3L17Y_S12L3L_Quote</v>
      </c>
      <c r="I63" s="140">
        <v>0</v>
      </c>
      <c r="J63" s="69"/>
      <c r="L63" s="11" t="str">
        <f t="shared" si="11"/>
        <v>BasSw</v>
      </c>
      <c r="M63" s="105" t="str">
        <f t="shared" si="12"/>
        <v>--</v>
      </c>
      <c r="N63" s="159" t="str">
        <f>IFERROR(_xll.qlRateHelperQuoteName(M63,Trigger),"--")</f>
        <v>--</v>
      </c>
      <c r="O63" s="109" t="str">
        <f>IFERROR(_xll.qlRateHelperQuoteValue($M63,Trigger),"--")</f>
        <v>--</v>
      </c>
      <c r="P63" s="108" t="b">
        <v>0</v>
      </c>
      <c r="Q63" s="105">
        <v>40</v>
      </c>
      <c r="R63" s="105">
        <v>1</v>
      </c>
      <c r="S63" s="110" t="str">
        <f>IFERROR(_xll.qlRateHelperEarliestDate(M63,Trigger),"--")</f>
        <v>--</v>
      </c>
      <c r="T63" s="110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5" t="str">
        <f>IFERROR(_xll.qlRateHelperRate(W63,Trigger),"")</f>
        <v/>
      </c>
      <c r="Z63" s="115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3" t="e">
        <v>#N/A</v>
      </c>
    </row>
    <row r="64" spans="1:29" ht="11.25" customHeight="1" x14ac:dyDescent="0.2">
      <c r="A64" s="63" t="s">
        <v>160</v>
      </c>
      <c r="B64" s="64" t="s">
        <v>138</v>
      </c>
      <c r="C64" s="65" t="s">
        <v>6</v>
      </c>
      <c r="D64" s="65" t="s">
        <v>8</v>
      </c>
      <c r="E64" s="65" t="s">
        <v>7</v>
      </c>
      <c r="F64" s="65" t="s">
        <v>28</v>
      </c>
      <c r="G64" s="65" t="str">
        <f t="shared" si="13"/>
        <v>UsdLibor1Y</v>
      </c>
      <c r="H64" s="63" t="str">
        <f t="shared" si="14"/>
        <v>USDAM3L18Y_S12L3L_Quote</v>
      </c>
      <c r="I64" s="140">
        <v>0</v>
      </c>
      <c r="J64" s="69"/>
      <c r="L64" s="11" t="str">
        <f t="shared" si="11"/>
        <v>BasSw</v>
      </c>
      <c r="M64" s="105" t="str">
        <f t="shared" si="12"/>
        <v>--</v>
      </c>
      <c r="N64" s="159" t="str">
        <f>IFERROR(_xll.qlRateHelperQuoteName(M64,Trigger),"--")</f>
        <v>--</v>
      </c>
      <c r="O64" s="109" t="str">
        <f>IFERROR(_xll.qlRateHelperQuoteValue($M64,Trigger),"--")</f>
        <v>--</v>
      </c>
      <c r="P64" s="108" t="b">
        <v>0</v>
      </c>
      <c r="Q64" s="105">
        <v>40</v>
      </c>
      <c r="R64" s="105">
        <v>1</v>
      </c>
      <c r="S64" s="110" t="str">
        <f>IFERROR(_xll.qlRateHelperEarliestDate(M64,Trigger),"--")</f>
        <v>--</v>
      </c>
      <c r="T64" s="110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5" t="str">
        <f>IFERROR(_xll.qlRateHelperRate(W64,Trigger),"")</f>
        <v/>
      </c>
      <c r="Z64" s="115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3" t="e">
        <v>#N/A</v>
      </c>
    </row>
    <row r="65" spans="1:29" ht="11.25" customHeight="1" x14ac:dyDescent="0.2">
      <c r="A65" s="63" t="s">
        <v>160</v>
      </c>
      <c r="B65" s="64" t="s">
        <v>139</v>
      </c>
      <c r="C65" s="65" t="s">
        <v>6</v>
      </c>
      <c r="D65" s="65" t="s">
        <v>8</v>
      </c>
      <c r="E65" s="65" t="s">
        <v>7</v>
      </c>
      <c r="F65" s="65" t="s">
        <v>28</v>
      </c>
      <c r="G65" s="65" t="str">
        <f t="shared" si="13"/>
        <v>UsdLibor1Y</v>
      </c>
      <c r="H65" s="63" t="str">
        <f t="shared" si="14"/>
        <v>USDAM3L19Y_S12L3L_Quote</v>
      </c>
      <c r="I65" s="140">
        <v>0</v>
      </c>
      <c r="J65" s="69"/>
      <c r="L65" s="11" t="str">
        <f t="shared" si="11"/>
        <v>BasSw</v>
      </c>
      <c r="M65" s="105" t="str">
        <f t="shared" si="12"/>
        <v>--</v>
      </c>
      <c r="N65" s="159" t="str">
        <f>IFERROR(_xll.qlRateHelperQuoteName(M65,Trigger),"--")</f>
        <v>--</v>
      </c>
      <c r="O65" s="109" t="str">
        <f>IFERROR(_xll.qlRateHelperQuoteValue($M65,Trigger),"--")</f>
        <v>--</v>
      </c>
      <c r="P65" s="108" t="b">
        <v>0</v>
      </c>
      <c r="Q65" s="105">
        <v>40</v>
      </c>
      <c r="R65" s="105">
        <v>1</v>
      </c>
      <c r="S65" s="110" t="str">
        <f>IFERROR(_xll.qlRateHelperEarliestDate(M65,Trigger),"--")</f>
        <v>--</v>
      </c>
      <c r="T65" s="110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5" t="str">
        <f>IFERROR(_xll.qlRateHelperRate(W65,Trigger),"")</f>
        <v/>
      </c>
      <c r="Z65" s="115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3" t="e">
        <v>#N/A</v>
      </c>
    </row>
    <row r="66" spans="1:29" ht="11.25" customHeight="1" x14ac:dyDescent="0.2">
      <c r="A66" s="63" t="s">
        <v>160</v>
      </c>
      <c r="B66" s="64" t="s">
        <v>92</v>
      </c>
      <c r="C66" s="65" t="s">
        <v>6</v>
      </c>
      <c r="D66" s="65" t="s">
        <v>8</v>
      </c>
      <c r="E66" s="65" t="s">
        <v>7</v>
      </c>
      <c r="F66" s="65" t="s">
        <v>28</v>
      </c>
      <c r="G66" s="65" t="str">
        <f t="shared" si="13"/>
        <v>UsdLibor1Y</v>
      </c>
      <c r="H66" s="63" t="str">
        <f t="shared" si="14"/>
        <v>USDAM3L20Y_S12L3L_Quote</v>
      </c>
      <c r="I66" s="140">
        <v>0</v>
      </c>
      <c r="J66" s="69" t="str">
        <f>_xll.qlSwapRateHelper2(,H66,,B66,JoinCalendar,USD1Y!D66,USD1Y!E66,USD1Y!F66,USD1Y!G66,USD1Y!I66,USD1Y!C66,Discounting,PillarDate,,Permanent,Trigger,ObjectOverwrite)</f>
        <v>obj_002b5#0311</v>
      </c>
      <c r="L66" s="11" t="str">
        <f t="shared" si="11"/>
        <v>BasSw</v>
      </c>
      <c r="M66" s="105" t="str">
        <f t="shared" si="12"/>
        <v>--</v>
      </c>
      <c r="N66" s="159" t="str">
        <f>IFERROR(_xll.qlRateHelperQuoteName(M66,Trigger),"--")</f>
        <v>--</v>
      </c>
      <c r="O66" s="109" t="str">
        <f>IFERROR(_xll.qlRateHelperQuoteValue($M66,Trigger),"--")</f>
        <v>--</v>
      </c>
      <c r="P66" s="108" t="b">
        <v>0</v>
      </c>
      <c r="Q66" s="105">
        <v>40</v>
      </c>
      <c r="R66" s="105">
        <v>1</v>
      </c>
      <c r="S66" s="110" t="str">
        <f>IFERROR(_xll.qlRateHelperEarliestDate(M66,Trigger),"--")</f>
        <v>--</v>
      </c>
      <c r="T66" s="110" t="str">
        <f>IFERROR(_xll.qlRateHelperPillarDate(M66,Trigger),"--")</f>
        <v>--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5" t="str">
        <f>IFERROR(_xll.qlRateHelperRate(W66,Trigger),"")</f>
        <v/>
      </c>
      <c r="Z66" s="115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3" t="e">
        <v>#N/A</v>
      </c>
    </row>
    <row r="67" spans="1:29" ht="11.25" customHeight="1" x14ac:dyDescent="0.2">
      <c r="A67" s="63" t="s">
        <v>160</v>
      </c>
      <c r="B67" s="64" t="s">
        <v>140</v>
      </c>
      <c r="C67" s="65" t="s">
        <v>6</v>
      </c>
      <c r="D67" s="65" t="s">
        <v>8</v>
      </c>
      <c r="E67" s="65" t="s">
        <v>7</v>
      </c>
      <c r="F67" s="65" t="s">
        <v>28</v>
      </c>
      <c r="G67" s="65" t="str">
        <f t="shared" si="13"/>
        <v>UsdLibor1Y</v>
      </c>
      <c r="H67" s="63" t="str">
        <f t="shared" si="14"/>
        <v>USDAM3L21Y_S12L3L_Quote</v>
      </c>
      <c r="I67" s="140">
        <v>0</v>
      </c>
      <c r="J67" s="69"/>
      <c r="L67" s="11" t="str">
        <f t="shared" si="11"/>
        <v>BasSw</v>
      </c>
      <c r="M67" s="105" t="str">
        <f t="shared" si="12"/>
        <v>obj_002d4#0311</v>
      </c>
      <c r="N67" s="159" t="str">
        <f>IFERROR(_xll.qlRateHelperQuoteName(M67,Trigger),"--")</f>
        <v>USDAM3L25Y_S12L3L_Quote</v>
      </c>
      <c r="O67" s="109">
        <f>IFERROR(_xll.qlRateHelperQuoteValue($M67,Trigger),"--")</f>
        <v>2.4452165666415462E-2</v>
      </c>
      <c r="P67" s="108" t="b">
        <v>1</v>
      </c>
      <c r="Q67" s="105">
        <v>40</v>
      </c>
      <c r="R67" s="105">
        <v>1</v>
      </c>
      <c r="S67" s="110">
        <f>IFERROR(_xll.qlRateHelperEarliestDate(M67,Trigger),"--")</f>
        <v>42450</v>
      </c>
      <c r="T67" s="110">
        <f>IFERROR(_xll.qlRateHelperPillarDate(M67,Trigger),"--")</f>
        <v>51581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5" t="str">
        <f>IFERROR(_xll.qlRateHelperRate(W67,Trigger),"")</f>
        <v/>
      </c>
      <c r="Z67" s="115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3" t="e">
        <v>#N/A</v>
      </c>
    </row>
    <row r="68" spans="1:29" ht="11.25" customHeight="1" x14ac:dyDescent="0.2">
      <c r="A68" s="63" t="s">
        <v>160</v>
      </c>
      <c r="B68" s="64" t="s">
        <v>141</v>
      </c>
      <c r="C68" s="65" t="s">
        <v>6</v>
      </c>
      <c r="D68" s="65" t="s">
        <v>8</v>
      </c>
      <c r="E68" s="65" t="s">
        <v>7</v>
      </c>
      <c r="F68" s="65" t="s">
        <v>28</v>
      </c>
      <c r="G68" s="65" t="str">
        <f t="shared" si="13"/>
        <v>UsdLibor1Y</v>
      </c>
      <c r="H68" s="63" t="str">
        <f t="shared" si="14"/>
        <v>USDAM3L22Y_S12L3L_Quote</v>
      </c>
      <c r="I68" s="140">
        <v>0</v>
      </c>
      <c r="J68" s="69"/>
      <c r="L68" s="11" t="str">
        <f t="shared" si="11"/>
        <v>BasSw</v>
      </c>
      <c r="M68" s="105" t="str">
        <f t="shared" si="12"/>
        <v>--</v>
      </c>
      <c r="N68" s="159" t="str">
        <f>IFERROR(_xll.qlRateHelperQuoteName(M68,Trigger),"--")</f>
        <v>--</v>
      </c>
      <c r="O68" s="109" t="str">
        <f>IFERROR(_xll.qlRateHelperQuoteValue($M68,Trigger),"--")</f>
        <v>--</v>
      </c>
      <c r="P68" s="108" t="b">
        <v>0</v>
      </c>
      <c r="Q68" s="105">
        <v>40</v>
      </c>
      <c r="R68" s="105">
        <v>1</v>
      </c>
      <c r="S68" s="110" t="str">
        <f>IFERROR(_xll.qlRateHelperEarliestDate(M68,Trigger),"--")</f>
        <v>--</v>
      </c>
      <c r="T68" s="110" t="str">
        <f>IFERROR(_xll.qlRateHelperPillarDate(M68,Trigger),"--")</f>
        <v>--</v>
      </c>
      <c r="V68" s="4" t="str">
        <f t="shared" ref="V68:V78" si="15">IFERROR(INDEX($L$3:$L$88,MATCH(X68,$N$3:$N$88,0),1),"")</f>
        <v/>
      </c>
      <c r="W68" s="4" t="e">
        <v>#N/A</v>
      </c>
      <c r="X68" s="4" t="str">
        <f>IFERROR(_xll.qlRateHelperQuoteName(W68,Trigger),"")</f>
        <v/>
      </c>
      <c r="Y68" s="75" t="str">
        <f>IFERROR(_xll.qlRateHelperRate(W68,Trigger),"")</f>
        <v/>
      </c>
      <c r="Z68" s="115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3" t="e">
        <v>#N/A</v>
      </c>
    </row>
    <row r="69" spans="1:29" ht="11.25" customHeight="1" x14ac:dyDescent="0.2">
      <c r="A69" s="63" t="s">
        <v>160</v>
      </c>
      <c r="B69" s="64" t="s">
        <v>142</v>
      </c>
      <c r="C69" s="65" t="s">
        <v>6</v>
      </c>
      <c r="D69" s="65" t="s">
        <v>8</v>
      </c>
      <c r="E69" s="65" t="s">
        <v>7</v>
      </c>
      <c r="F69" s="65" t="s">
        <v>28</v>
      </c>
      <c r="G69" s="65" t="str">
        <f t="shared" si="13"/>
        <v>UsdLibor1Y</v>
      </c>
      <c r="H69" s="63" t="str">
        <f t="shared" si="14"/>
        <v>USDAM3L23Y_S12L3L_Quote</v>
      </c>
      <c r="I69" s="140">
        <v>0</v>
      </c>
      <c r="J69" s="69"/>
      <c r="L69" s="11" t="str">
        <f t="shared" si="11"/>
        <v>BasSw</v>
      </c>
      <c r="M69" s="105" t="str">
        <f t="shared" si="12"/>
        <v>--</v>
      </c>
      <c r="N69" s="159" t="str">
        <f>IFERROR(_xll.qlRateHelperQuoteName(M69,Trigger),"--")</f>
        <v>--</v>
      </c>
      <c r="O69" s="109" t="str">
        <f>IFERROR(_xll.qlRateHelperQuoteValue($M69,Trigger),"--")</f>
        <v>--</v>
      </c>
      <c r="P69" s="108" t="b">
        <v>0</v>
      </c>
      <c r="Q69" s="105">
        <v>40</v>
      </c>
      <c r="R69" s="105">
        <v>1</v>
      </c>
      <c r="S69" s="110" t="str">
        <f>IFERROR(_xll.qlRateHelperEarliestDate(M69,Trigger),"--")</f>
        <v>--</v>
      </c>
      <c r="T69" s="110" t="str">
        <f>IFERROR(_xll.qlRateHelperPillarDate(M69,Trigger),"--")</f>
        <v>--</v>
      </c>
      <c r="V69" s="4" t="str">
        <f t="shared" si="15"/>
        <v/>
      </c>
      <c r="W69" s="4" t="e">
        <v>#N/A</v>
      </c>
      <c r="X69" s="4" t="str">
        <f>IFERROR(_xll.qlRateHelperQuoteName(W69,Trigger),"")</f>
        <v/>
      </c>
      <c r="Y69" s="75" t="str">
        <f>IFERROR(_xll.qlRateHelperRate(W69,Trigger),"")</f>
        <v/>
      </c>
      <c r="Z69" s="115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3" t="e">
        <v>#N/A</v>
      </c>
    </row>
    <row r="70" spans="1:29" ht="11.25" customHeight="1" x14ac:dyDescent="0.2">
      <c r="A70" s="63" t="s">
        <v>160</v>
      </c>
      <c r="B70" s="64" t="s">
        <v>143</v>
      </c>
      <c r="C70" s="65" t="s">
        <v>6</v>
      </c>
      <c r="D70" s="65" t="s">
        <v>8</v>
      </c>
      <c r="E70" s="65" t="s">
        <v>7</v>
      </c>
      <c r="F70" s="65" t="s">
        <v>28</v>
      </c>
      <c r="G70" s="65" t="str">
        <f t="shared" si="13"/>
        <v>UsdLibor1Y</v>
      </c>
      <c r="H70" s="63" t="str">
        <f t="shared" si="14"/>
        <v>USDAM3L24Y_S12L3L_Quote</v>
      </c>
      <c r="I70" s="140">
        <v>0</v>
      </c>
      <c r="J70" s="69"/>
      <c r="L70" s="11" t="str">
        <f t="shared" si="11"/>
        <v>BasSw</v>
      </c>
      <c r="M70" s="105" t="str">
        <f t="shared" si="12"/>
        <v>--</v>
      </c>
      <c r="N70" s="159" t="str">
        <f>IFERROR(_xll.qlRateHelperQuoteName(M70,Trigger),"--")</f>
        <v>--</v>
      </c>
      <c r="O70" s="109" t="str">
        <f>IFERROR(_xll.qlRateHelperQuoteValue($M70,Trigger),"--")</f>
        <v>--</v>
      </c>
      <c r="P70" s="108" t="b">
        <v>0</v>
      </c>
      <c r="Q70" s="105">
        <v>40</v>
      </c>
      <c r="R70" s="105">
        <v>1</v>
      </c>
      <c r="S70" s="110" t="str">
        <f>IFERROR(_xll.qlRateHelperEarliestDate(M70,Trigger),"--")</f>
        <v>--</v>
      </c>
      <c r="T70" s="110" t="str">
        <f>IFERROR(_xll.qlRateHelperPillarDate(M70,Trigger),"--")</f>
        <v>--</v>
      </c>
      <c r="V70" s="4" t="str">
        <f t="shared" si="15"/>
        <v/>
      </c>
      <c r="W70" s="4" t="e">
        <v>#N/A</v>
      </c>
      <c r="X70" s="4" t="str">
        <f>IFERROR(_xll.qlRateHelperQuoteName(W70,Trigger),"")</f>
        <v/>
      </c>
      <c r="Y70" s="75" t="str">
        <f>IFERROR(_xll.qlRateHelperRate(W70,Trigger),"")</f>
        <v/>
      </c>
      <c r="Z70" s="115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3" t="e">
        <v>#N/A</v>
      </c>
    </row>
    <row r="71" spans="1:29" ht="11.25" customHeight="1" x14ac:dyDescent="0.2">
      <c r="A71" s="63" t="s">
        <v>160</v>
      </c>
      <c r="B71" s="64" t="s">
        <v>93</v>
      </c>
      <c r="C71" s="65" t="s">
        <v>6</v>
      </c>
      <c r="D71" s="65" t="s">
        <v>8</v>
      </c>
      <c r="E71" s="65" t="s">
        <v>7</v>
      </c>
      <c r="F71" s="65" t="s">
        <v>28</v>
      </c>
      <c r="G71" s="65" t="str">
        <f t="shared" si="13"/>
        <v>UsdLibor1Y</v>
      </c>
      <c r="H71" s="63" t="str">
        <f t="shared" si="14"/>
        <v>USDAM3L25Y_S12L3L_Quote</v>
      </c>
      <c r="I71" s="140">
        <v>0</v>
      </c>
      <c r="J71" s="69" t="str">
        <f>_xll.qlSwapRateHelper2(,H71,,B71,JoinCalendar,USD1Y!D71,USD1Y!E71,USD1Y!F71,USD1Y!G71,USD1Y!I71,USD1Y!C71,Discounting,PillarDate,,Permanent,Trigger,ObjectOverwrite)</f>
        <v>obj_002d4#0311</v>
      </c>
      <c r="L71" s="11" t="str">
        <f t="shared" si="11"/>
        <v>BasSw</v>
      </c>
      <c r="M71" s="105" t="str">
        <f t="shared" si="12"/>
        <v>--</v>
      </c>
      <c r="N71" s="159" t="str">
        <f>IFERROR(_xll.qlRateHelperQuoteName(M71,Trigger),"--")</f>
        <v>--</v>
      </c>
      <c r="O71" s="109" t="str">
        <f>IFERROR(_xll.qlRateHelperQuoteValue($M71,Trigger),"--")</f>
        <v>--</v>
      </c>
      <c r="P71" s="108" t="b">
        <v>0</v>
      </c>
      <c r="Q71" s="105">
        <v>40</v>
      </c>
      <c r="R71" s="105">
        <v>1</v>
      </c>
      <c r="S71" s="110" t="str">
        <f>IFERROR(_xll.qlRateHelperEarliestDate(M71,Trigger),"--")</f>
        <v>--</v>
      </c>
      <c r="T71" s="110" t="str">
        <f>IFERROR(_xll.qlRateHelperPillarDate(M71,Trigger),"--")</f>
        <v>--</v>
      </c>
      <c r="V71" s="4" t="str">
        <f t="shared" si="15"/>
        <v/>
      </c>
      <c r="W71" s="4" t="e">
        <v>#N/A</v>
      </c>
      <c r="X71" s="4" t="str">
        <f>IFERROR(_xll.qlRateHelperQuoteName(W71,Trigger),"")</f>
        <v/>
      </c>
      <c r="Y71" s="75" t="str">
        <f>IFERROR(_xll.qlRateHelperRate(W71,Trigger),"")</f>
        <v/>
      </c>
      <c r="Z71" s="115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3" t="e">
        <v>#N/A</v>
      </c>
    </row>
    <row r="72" spans="1:29" ht="11.25" customHeight="1" x14ac:dyDescent="0.2">
      <c r="A72" s="63" t="s">
        <v>160</v>
      </c>
      <c r="B72" s="64" t="s">
        <v>144</v>
      </c>
      <c r="C72" s="65" t="s">
        <v>6</v>
      </c>
      <c r="D72" s="65" t="s">
        <v>8</v>
      </c>
      <c r="E72" s="65" t="s">
        <v>7</v>
      </c>
      <c r="F72" s="65" t="s">
        <v>28</v>
      </c>
      <c r="G72" s="65" t="str">
        <f t="shared" si="13"/>
        <v>UsdLibor1Y</v>
      </c>
      <c r="H72" s="63" t="str">
        <f t="shared" si="14"/>
        <v>USDAM3L26Y_S12L3L_Quote</v>
      </c>
      <c r="I72" s="140">
        <v>0</v>
      </c>
      <c r="J72" s="69"/>
      <c r="L72" s="11" t="str">
        <f t="shared" si="11"/>
        <v>BasSw</v>
      </c>
      <c r="M72" s="105" t="str">
        <f t="shared" si="12"/>
        <v>obj_0027e#0312</v>
      </c>
      <c r="N72" s="159" t="str">
        <f>IFERROR(_xll.qlRateHelperQuoteName(M72,Trigger),"--")</f>
        <v>USDAM3L30Y_S12L3L_Quote</v>
      </c>
      <c r="O72" s="109">
        <f>IFERROR(_xll.qlRateHelperQuoteValue($M72,Trigger),"--")</f>
        <v>2.4865497666783618E-2</v>
      </c>
      <c r="P72" s="108" t="b">
        <v>1</v>
      </c>
      <c r="Q72" s="105">
        <v>40</v>
      </c>
      <c r="R72" s="105">
        <v>1</v>
      </c>
      <c r="S72" s="110">
        <f>IFERROR(_xll.qlRateHelperEarliestDate(M72,Trigger),"--")</f>
        <v>42450</v>
      </c>
      <c r="T72" s="110">
        <f>IFERROR(_xll.qlRateHelperPillarDate(M72,Trigger),"--")</f>
        <v>53407</v>
      </c>
      <c r="V72" s="4" t="str">
        <f t="shared" si="15"/>
        <v/>
      </c>
      <c r="W72" s="4" t="e">
        <v>#N/A</v>
      </c>
      <c r="X72" s="4" t="str">
        <f>IFERROR(_xll.qlRateHelperQuoteName(W72,Trigger),"")</f>
        <v/>
      </c>
      <c r="Y72" s="75" t="str">
        <f>IFERROR(_xll.qlRateHelperRate(W72,Trigger),"")</f>
        <v/>
      </c>
      <c r="Z72" s="115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3" t="e">
        <v>#N/A</v>
      </c>
    </row>
    <row r="73" spans="1:29" ht="11.25" customHeight="1" x14ac:dyDescent="0.2">
      <c r="A73" s="63" t="s">
        <v>160</v>
      </c>
      <c r="B73" s="64" t="s">
        <v>94</v>
      </c>
      <c r="C73" s="65" t="s">
        <v>6</v>
      </c>
      <c r="D73" s="65" t="s">
        <v>8</v>
      </c>
      <c r="E73" s="65" t="s">
        <v>7</v>
      </c>
      <c r="F73" s="65" t="s">
        <v>28</v>
      </c>
      <c r="G73" s="65" t="str">
        <f t="shared" si="13"/>
        <v>UsdLibor1Y</v>
      </c>
      <c r="H73" s="63" t="str">
        <f t="shared" si="14"/>
        <v>USDAM3L27Y_S12L3L_Quote</v>
      </c>
      <c r="I73" s="140">
        <v>0</v>
      </c>
      <c r="J73" s="69"/>
      <c r="L73" s="11" t="str">
        <f t="shared" si="11"/>
        <v>BasSw</v>
      </c>
      <c r="M73" s="105" t="str">
        <f t="shared" si="12"/>
        <v>obj_002e4#0311</v>
      </c>
      <c r="N73" s="159" t="str">
        <f>IFERROR(_xll.qlRateHelperQuoteName(M73,Trigger),"--")</f>
        <v>USDAM3L35Y_S12L3L_Quote</v>
      </c>
      <c r="O73" s="109">
        <f>IFERROR(_xll.qlRateHelperQuoteValue($M73,Trigger),"--")</f>
        <v>2.504096501827769E-2</v>
      </c>
      <c r="P73" s="108" t="b">
        <v>1</v>
      </c>
      <c r="Q73" s="105">
        <v>40</v>
      </c>
      <c r="R73" s="105">
        <v>1</v>
      </c>
      <c r="S73" s="110">
        <f>IFERROR(_xll.qlRateHelperEarliestDate(M73,Trigger),"--")</f>
        <v>42450</v>
      </c>
      <c r="T73" s="110">
        <f>IFERROR(_xll.qlRateHelperPillarDate(M73,Trigger),"--")</f>
        <v>55233</v>
      </c>
      <c r="V73" s="4" t="str">
        <f t="shared" si="15"/>
        <v/>
      </c>
      <c r="W73" s="4" t="e">
        <v>#N/A</v>
      </c>
      <c r="X73" s="4" t="str">
        <f>IFERROR(_xll.qlRateHelperQuoteName(W73,Trigger),"")</f>
        <v/>
      </c>
      <c r="Y73" s="75" t="str">
        <f>IFERROR(_xll.qlRateHelperRate(W73,Trigger),"")</f>
        <v/>
      </c>
      <c r="Z73" s="115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3" t="e">
        <v>#N/A</v>
      </c>
    </row>
    <row r="74" spans="1:29" ht="11.25" customHeight="1" x14ac:dyDescent="0.2">
      <c r="A74" s="63" t="s">
        <v>160</v>
      </c>
      <c r="B74" s="64" t="s">
        <v>145</v>
      </c>
      <c r="C74" s="65" t="s">
        <v>6</v>
      </c>
      <c r="D74" s="65" t="s">
        <v>8</v>
      </c>
      <c r="E74" s="65" t="s">
        <v>7</v>
      </c>
      <c r="F74" s="65" t="s">
        <v>28</v>
      </c>
      <c r="G74" s="65" t="str">
        <f t="shared" si="13"/>
        <v>UsdLibor1Y</v>
      </c>
      <c r="H74" s="63" t="str">
        <f t="shared" si="14"/>
        <v>USDAM3L28Y_S12L3L_Quote</v>
      </c>
      <c r="I74" s="140">
        <v>0</v>
      </c>
      <c r="J74" s="69"/>
      <c r="L74" s="11" t="str">
        <f t="shared" si="11"/>
        <v>BasSw</v>
      </c>
      <c r="M74" s="105" t="str">
        <f t="shared" si="12"/>
        <v>obj_00288#0311</v>
      </c>
      <c r="N74" s="159" t="str">
        <f>IFERROR(_xll.qlRateHelperQuoteName(M74,Trigger),"--")</f>
        <v>USDAM3L40Y_S12L3L_Quote</v>
      </c>
      <c r="O74" s="109">
        <f>IFERROR(_xll.qlRateHelperQuoteValue($M74,Trigger),"--")</f>
        <v>2.5075681671785924E-2</v>
      </c>
      <c r="P74" s="108" t="b">
        <v>1</v>
      </c>
      <c r="Q74" s="105">
        <v>40</v>
      </c>
      <c r="R74" s="105">
        <v>1</v>
      </c>
      <c r="S74" s="110">
        <f>IFERROR(_xll.qlRateHelperEarliestDate(M74,Trigger),"--")</f>
        <v>42450</v>
      </c>
      <c r="T74" s="110">
        <f>IFERROR(_xll.qlRateHelperPillarDate(M74,Trigger),"--")</f>
        <v>57060</v>
      </c>
      <c r="V74" s="4" t="str">
        <f t="shared" si="15"/>
        <v/>
      </c>
      <c r="W74" s="4" t="e">
        <v>#N/A</v>
      </c>
      <c r="X74" s="4" t="str">
        <f>IFERROR(_xll.qlRateHelperQuoteName(W74,Trigger),"")</f>
        <v/>
      </c>
      <c r="Y74" s="75" t="str">
        <f>IFERROR(_xll.qlRateHelperRate(W74,Trigger),"")</f>
        <v/>
      </c>
      <c r="Z74" s="115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3" t="e">
        <v>#N/A</v>
      </c>
    </row>
    <row r="75" spans="1:29" ht="11.25" customHeight="1" x14ac:dyDescent="0.2">
      <c r="A75" s="63" t="s">
        <v>160</v>
      </c>
      <c r="B75" s="64" t="s">
        <v>146</v>
      </c>
      <c r="C75" s="65" t="s">
        <v>6</v>
      </c>
      <c r="D75" s="65" t="s">
        <v>8</v>
      </c>
      <c r="E75" s="65" t="s">
        <v>7</v>
      </c>
      <c r="F75" s="65" t="s">
        <v>28</v>
      </c>
      <c r="G75" s="65" t="str">
        <f t="shared" si="13"/>
        <v>UsdLibor1Y</v>
      </c>
      <c r="H75" s="63" t="str">
        <f t="shared" si="14"/>
        <v>USDAM3L29Y_S12L3L_Quote</v>
      </c>
      <c r="I75" s="140">
        <v>0</v>
      </c>
      <c r="J75" s="69"/>
      <c r="L75" s="11" t="str">
        <f t="shared" si="11"/>
        <v>BasSw</v>
      </c>
      <c r="M75" s="105" t="str">
        <f t="shared" si="12"/>
        <v>--</v>
      </c>
      <c r="N75" s="159" t="str">
        <f>IFERROR(_xll.qlRateHelperQuoteName(M75,Trigger),"--")</f>
        <v>--</v>
      </c>
      <c r="O75" s="109" t="str">
        <f>IFERROR(_xll.qlRateHelperQuoteValue($M75,Trigger),"--")</f>
        <v>--</v>
      </c>
      <c r="P75" s="108" t="b">
        <v>0</v>
      </c>
      <c r="Q75" s="105">
        <v>40</v>
      </c>
      <c r="R75" s="105">
        <v>1</v>
      </c>
      <c r="S75" s="110" t="str">
        <f>IFERROR(_xll.qlRateHelperEarliestDate(M75,Trigger),"--")</f>
        <v>--</v>
      </c>
      <c r="T75" s="110" t="str">
        <f>IFERROR(_xll.qlRateHelperPillarDate(M75,Trigger),"--")</f>
        <v>--</v>
      </c>
      <c r="V75" s="4" t="str">
        <f t="shared" si="15"/>
        <v/>
      </c>
      <c r="W75" s="4" t="e">
        <v>#N/A</v>
      </c>
      <c r="X75" s="4" t="str">
        <f>IFERROR(_xll.qlRateHelperQuoteName(W75,Trigger),"")</f>
        <v/>
      </c>
      <c r="Y75" s="75" t="str">
        <f>IFERROR(_xll.qlRateHelperRate(W75,Trigger),"")</f>
        <v/>
      </c>
      <c r="Z75" s="115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3" t="e">
        <v>#N/A</v>
      </c>
    </row>
    <row r="76" spans="1:29" ht="11.25" customHeight="1" x14ac:dyDescent="0.2">
      <c r="A76" s="63" t="s">
        <v>160</v>
      </c>
      <c r="B76" s="64" t="s">
        <v>95</v>
      </c>
      <c r="C76" s="65" t="s">
        <v>6</v>
      </c>
      <c r="D76" s="65" t="s">
        <v>8</v>
      </c>
      <c r="E76" s="65" t="s">
        <v>7</v>
      </c>
      <c r="F76" s="65" t="s">
        <v>28</v>
      </c>
      <c r="G76" s="65" t="str">
        <f t="shared" si="13"/>
        <v>UsdLibor1Y</v>
      </c>
      <c r="H76" s="63" t="str">
        <f t="shared" si="14"/>
        <v>USDAM3L30Y_S12L3L_Quote</v>
      </c>
      <c r="I76" s="140">
        <v>0</v>
      </c>
      <c r="J76" s="69" t="str">
        <f>_xll.qlSwapRateHelper2(,H76,,B76,JoinCalendar,USD1Y!D76,USD1Y!E76,USD1Y!F76,USD1Y!G76,USD1Y!I76,USD1Y!C76,Discounting,PillarDate,,Permanent,Trigger,ObjectOverwrite)</f>
        <v>obj_0027e#0312</v>
      </c>
      <c r="L76" s="11" t="str">
        <f>A80</f>
        <v>BasSw</v>
      </c>
      <c r="M76" s="105" t="str">
        <f t="shared" si="12"/>
        <v>obj_002ce#0311</v>
      </c>
      <c r="N76" s="159" t="str">
        <f>IFERROR(_xll.qlRateHelperQuoteName(M76,Trigger),"--")</f>
        <v>USDAM3L50Y_S12L3L_Quote</v>
      </c>
      <c r="O76" s="109">
        <f>IFERROR(_xll.qlRateHelperQuoteValue($M76,Trigger),"--")</f>
        <v>2.4915504314048056E-2</v>
      </c>
      <c r="P76" s="108" t="b">
        <v>1</v>
      </c>
      <c r="Q76" s="105">
        <v>40</v>
      </c>
      <c r="R76" s="105">
        <v>1</v>
      </c>
      <c r="S76" s="110">
        <f>IFERROR(_xll.qlRateHelperEarliestDate(M76,Trigger),"--")</f>
        <v>42450</v>
      </c>
      <c r="T76" s="110">
        <f>IFERROR(_xll.qlRateHelperPillarDate(M76,Trigger),"--")</f>
        <v>60713</v>
      </c>
      <c r="V76" s="4" t="str">
        <f t="shared" si="15"/>
        <v/>
      </c>
      <c r="W76" s="4" t="e">
        <v>#N/A</v>
      </c>
      <c r="X76" s="4" t="str">
        <f>IFERROR(_xll.qlRateHelperQuoteName(W76,Trigger),"")</f>
        <v/>
      </c>
      <c r="Y76" s="75" t="str">
        <f>IFERROR(_xll.qlRateHelperRate(W76,Trigger),"")</f>
        <v/>
      </c>
      <c r="Z76" s="115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3" t="e">
        <v>#N/A</v>
      </c>
    </row>
    <row r="77" spans="1:29" ht="11.25" customHeight="1" x14ac:dyDescent="0.2">
      <c r="A77" s="63" t="s">
        <v>160</v>
      </c>
      <c r="B77" s="64" t="s">
        <v>96</v>
      </c>
      <c r="C77" s="65" t="s">
        <v>6</v>
      </c>
      <c r="D77" s="65" t="s">
        <v>8</v>
      </c>
      <c r="E77" s="65" t="s">
        <v>7</v>
      </c>
      <c r="F77" s="65" t="s">
        <v>28</v>
      </c>
      <c r="G77" s="65" t="str">
        <f t="shared" si="13"/>
        <v>UsdLibor1Y</v>
      </c>
      <c r="H77" s="63" t="str">
        <f t="shared" si="14"/>
        <v>USDAM3L35Y_S12L3L_Quote</v>
      </c>
      <c r="I77" s="140">
        <v>0</v>
      </c>
      <c r="J77" s="69" t="str">
        <f>_xll.qlSwapRateHelper2(,H77,,B77,JoinCalendar,USD1Y!D77,USD1Y!E77,USD1Y!F77,USD1Y!G77,USD1Y!I77,USD1Y!C77,Discounting,PillarDate,,Permanent,Trigger,ObjectOverwrite)</f>
        <v>obj_002e4#0311</v>
      </c>
      <c r="L77" s="11" t="str">
        <f t="shared" si="11"/>
        <v>BasSw</v>
      </c>
      <c r="M77" s="105" t="str">
        <f t="shared" si="12"/>
        <v>--</v>
      </c>
      <c r="N77" s="159" t="str">
        <f>IFERROR(_xll.qlRateHelperQuoteName(M77,Trigger),"--")</f>
        <v>--</v>
      </c>
      <c r="O77" s="109" t="str">
        <f>IFERROR(_xll.qlRateHelperQuoteValue($M77,Trigger),"--")</f>
        <v>--</v>
      </c>
      <c r="P77" s="108" t="b">
        <v>0</v>
      </c>
      <c r="Q77" s="105">
        <v>40</v>
      </c>
      <c r="R77" s="105">
        <v>1</v>
      </c>
      <c r="S77" s="110" t="str">
        <f>IFERROR(_xll.qlRateHelperEarliestDate(M77,Trigger),"--")</f>
        <v>--</v>
      </c>
      <c r="T77" s="110" t="str">
        <f>IFERROR(_xll.qlRateHelperPillarDate(M77,Trigger),"--")</f>
        <v>--</v>
      </c>
      <c r="V77" s="4" t="str">
        <f t="shared" si="15"/>
        <v/>
      </c>
      <c r="W77" s="4" t="e">
        <v>#N/A</v>
      </c>
      <c r="X77" s="4" t="str">
        <f>IFERROR(_xll.qlRateHelperQuoteName(W77,Trigger),"")</f>
        <v/>
      </c>
      <c r="Y77" s="75" t="str">
        <f>IFERROR(_xll.qlRateHelperRate(W77,Trigger),"")</f>
        <v/>
      </c>
      <c r="Z77" s="115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3" t="e">
        <v>#N/A</v>
      </c>
    </row>
    <row r="78" spans="1:29" ht="11.25" customHeight="1" x14ac:dyDescent="0.2">
      <c r="A78" s="63" t="s">
        <v>160</v>
      </c>
      <c r="B78" s="64" t="s">
        <v>97</v>
      </c>
      <c r="C78" s="65" t="s">
        <v>6</v>
      </c>
      <c r="D78" s="65" t="s">
        <v>8</v>
      </c>
      <c r="E78" s="65" t="s">
        <v>7</v>
      </c>
      <c r="F78" s="65" t="s">
        <v>28</v>
      </c>
      <c r="G78" s="65" t="str">
        <f t="shared" si="13"/>
        <v>UsdLibor1Y</v>
      </c>
      <c r="H78" s="63" t="str">
        <f t="shared" si="14"/>
        <v>USDAM3L40Y_S12L3L_Quote</v>
      </c>
      <c r="I78" s="140">
        <v>0</v>
      </c>
      <c r="J78" s="69" t="str">
        <f>_xll.qlSwapRateHelper2(,H78,,B78,JoinCalendar,USD1Y!D78,USD1Y!E78,USD1Y!F78,USD1Y!G78,USD1Y!I78,USD1Y!C78,Discounting,PillarDate,,Permanent,Trigger,ObjectOverwrite)</f>
        <v>obj_00288#0311</v>
      </c>
      <c r="L78" s="12" t="str">
        <f t="shared" si="11"/>
        <v>BasSw</v>
      </c>
      <c r="M78" s="106" t="str">
        <f t="shared" si="12"/>
        <v>obj_0027c#0312</v>
      </c>
      <c r="N78" s="160" t="str">
        <f>IFERROR(_xll.qlRateHelperQuoteName(M78,Trigger),"--")</f>
        <v>USDAM3L60Y_S12L3L_Quote</v>
      </c>
      <c r="O78" s="112">
        <f>IFERROR(_xll.qlRateHelperQuoteValue($M78,Trigger),"--")</f>
        <v>2.4760768965338905E-2</v>
      </c>
      <c r="P78" s="111" t="b">
        <v>1</v>
      </c>
      <c r="Q78" s="106">
        <v>40</v>
      </c>
      <c r="R78" s="106">
        <v>1</v>
      </c>
      <c r="S78" s="113">
        <f>IFERROR(_xll.qlRateHelperEarliestDate(M78,Trigger),"--")</f>
        <v>42450</v>
      </c>
      <c r="T78" s="113">
        <f>IFERROR(_xll.qlRateHelperPillarDate(M78,Trigger),"--")</f>
        <v>64367</v>
      </c>
      <c r="V78" s="6" t="str">
        <f t="shared" si="15"/>
        <v/>
      </c>
      <c r="W78" s="6" t="e">
        <v>#N/A</v>
      </c>
      <c r="X78" s="6" t="str">
        <f>IFERROR(_xll.qlRateHelperQuoteName(W78,Trigger),"")</f>
        <v/>
      </c>
      <c r="Y78" s="85" t="str">
        <f>IFERROR(_xll.qlRateHelperRate(W78,Trigger),"")</f>
        <v/>
      </c>
      <c r="Z78" s="116" t="str">
        <f>IF(ISERROR(_xll.qlSwapRateHelperSpread($W78)),IF(ISERROR(_xll.qlFuturesRateHelperConvexityAdjustment($W78)),"",_xll.qlFuturesRateHelperConvexityAdjustment($W78)),_xll.qlSwapRateHelperSpread($W78))</f>
        <v/>
      </c>
      <c r="AA78" s="13" t="str">
        <f>IFERROR(_xll.qlRateHelperEarliestDate(W78,Trigger),"")</f>
        <v/>
      </c>
      <c r="AB78" s="13" t="str">
        <f>IFERROR(_xll.qlRateHelperPillarDate(W78,Trigger),"")</f>
        <v/>
      </c>
      <c r="AC78" s="84" t="e">
        <v>#N/A</v>
      </c>
    </row>
    <row r="79" spans="1:29" ht="11.25" customHeight="1" x14ac:dyDescent="0.2">
      <c r="A79" s="63" t="s">
        <v>160</v>
      </c>
      <c r="B79" s="64" t="s">
        <v>98</v>
      </c>
      <c r="C79" s="65" t="s">
        <v>6</v>
      </c>
      <c r="D79" s="65" t="s">
        <v>8</v>
      </c>
      <c r="E79" s="65" t="s">
        <v>7</v>
      </c>
      <c r="F79" s="65" t="s">
        <v>28</v>
      </c>
      <c r="G79" s="65" t="str">
        <f t="shared" si="13"/>
        <v>UsdLibor1Y</v>
      </c>
      <c r="H79" s="63" t="str">
        <f t="shared" si="14"/>
        <v>USDAM3L45Y_S12L3L_Quote</v>
      </c>
      <c r="I79" s="140">
        <v>0</v>
      </c>
      <c r="J79" s="69"/>
    </row>
    <row r="80" spans="1:29" ht="11.25" customHeight="1" x14ac:dyDescent="0.2">
      <c r="A80" s="63" t="s">
        <v>160</v>
      </c>
      <c r="B80" s="64" t="s">
        <v>99</v>
      </c>
      <c r="C80" s="65" t="s">
        <v>6</v>
      </c>
      <c r="D80" s="65" t="s">
        <v>8</v>
      </c>
      <c r="E80" s="65" t="s">
        <v>7</v>
      </c>
      <c r="F80" s="65" t="s">
        <v>28</v>
      </c>
      <c r="G80" s="65" t="str">
        <f t="shared" si="13"/>
        <v>UsdLibor1Y</v>
      </c>
      <c r="H80" s="63" t="str">
        <f t="shared" si="14"/>
        <v>USDAM3L50Y_S12L3L_Quote</v>
      </c>
      <c r="I80" s="140">
        <v>0</v>
      </c>
      <c r="J80" s="69" t="str">
        <f>_xll.qlSwapRateHelper2(,H80,,B80,JoinCalendar,USD1Y!D80,USD1Y!E80,USD1Y!F80,USD1Y!G80,USD1Y!I80,USD1Y!C80,Discounting,PillarDate,,Permanent,Trigger,ObjectOverwrite)</f>
        <v>obj_002ce#0311</v>
      </c>
    </row>
    <row r="81" spans="1:11" x14ac:dyDescent="0.2">
      <c r="A81" s="63" t="s">
        <v>160</v>
      </c>
      <c r="B81" s="64" t="s">
        <v>155</v>
      </c>
      <c r="C81" s="65" t="s">
        <v>6</v>
      </c>
      <c r="D81" s="65" t="s">
        <v>8</v>
      </c>
      <c r="E81" s="65" t="s">
        <v>7</v>
      </c>
      <c r="F81" s="65" t="s">
        <v>28</v>
      </c>
      <c r="G81" s="65" t="str">
        <f t="shared" si="13"/>
        <v>UsdLibor1Y</v>
      </c>
      <c r="H81" s="63" t="str">
        <f t="shared" si="14"/>
        <v>USDAM3L55Y_S12L3L_Quote</v>
      </c>
      <c r="I81" s="138">
        <v>0</v>
      </c>
      <c r="J81" s="69"/>
    </row>
    <row r="82" spans="1:11" x14ac:dyDescent="0.2">
      <c r="A82" s="1" t="s">
        <v>160</v>
      </c>
      <c r="B82" s="9" t="s">
        <v>147</v>
      </c>
      <c r="C82" s="7" t="s">
        <v>6</v>
      </c>
      <c r="D82" s="7" t="s">
        <v>8</v>
      </c>
      <c r="E82" s="7" t="s">
        <v>7</v>
      </c>
      <c r="F82" s="7" t="s">
        <v>28</v>
      </c>
      <c r="G82" s="7" t="str">
        <f t="shared" si="13"/>
        <v>UsdLibor1Y</v>
      </c>
      <c r="H82" s="1" t="str">
        <f t="shared" si="14"/>
        <v>USDAM3L60Y_S12L3L_Quote</v>
      </c>
      <c r="I82" s="141">
        <v>0</v>
      </c>
      <c r="J82" s="3" t="str">
        <f>_xll.qlSwapRateHelper2(,H82,,B82,JoinCalendar,USD1Y!D82,USD1Y!E82,USD1Y!F82,USD1Y!G82,USD1Y!I82,USD1Y!C82,Discounting,PillarDate,,Permanent,Trigger,ObjectOverwrite)</f>
        <v>obj_0027c#0312</v>
      </c>
    </row>
    <row r="90" spans="1:11" x14ac:dyDescent="0.2">
      <c r="K90" s="50" t="s">
        <v>47</v>
      </c>
    </row>
  </sheetData>
  <mergeCells count="1">
    <mergeCell ref="AE2:AF2"/>
  </mergeCells>
  <dataValidations disablePrompts="1" count="4">
    <dataValidation type="list" allowBlank="1" showInputMessage="1" showErrorMessage="1" sqref="D47:D82">
      <formula1>"Annual,Semiannual,EveryFourthMonth,Quarterly,Bimonthly,Monthly,Biweekly,Weekly,Daily,Once,NoFrequency"</formula1>
    </dataValidation>
    <dataValidation type="list" allowBlank="1" showInputMessage="1" showErrorMessage="1" sqref="E47:E82">
      <formula1>"Following,Modified Following,Preceding,Modified Preceding,Unadjusted,Half-Month Modified Following"</formula1>
    </dataValidation>
    <dataValidation type="list" allowBlank="1" showInputMessage="1" showErrorMessage="1" sqref="F47:F8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48</vt:i4>
      </vt:variant>
    </vt:vector>
  </HeadingPairs>
  <TitlesOfParts>
    <vt:vector size="54" baseType="lpstr">
      <vt:lpstr>GeneralSettings</vt:lpstr>
      <vt:lpstr>USDON</vt:lpstr>
      <vt:lpstr>USD3M</vt:lpstr>
      <vt:lpstr>USD6M</vt:lpstr>
      <vt:lpstr>USD1M</vt:lpstr>
      <vt:lpstr>USD1Y</vt:lpstr>
      <vt:lpstr>Calendar</vt:lpstr>
      <vt:lpstr>Currency</vt:lpstr>
      <vt:lpstr>Discounting</vt:lpstr>
      <vt:lpstr>Evaluationdate</vt:lpstr>
      <vt:lpstr>FamilyName</vt:lpstr>
      <vt:lpstr>HolidayCheck</vt:lpstr>
      <vt:lpstr>USD1M!IncludeFlag</vt:lpstr>
      <vt:lpstr>USD1Y!IncludeFlag</vt:lpstr>
      <vt:lpstr>USD3M!IncludeFlag</vt:lpstr>
      <vt:lpstr>USD6M!IncludeFlag</vt:lpstr>
      <vt:lpstr>USDON!IncludeFlag</vt:lpstr>
      <vt:lpstr>JoinCalendar</vt:lpstr>
      <vt:lpstr>LiborCalendar</vt:lpstr>
      <vt:lpstr>LocalCalendar</vt:lpstr>
      <vt:lpstr>MeanReversion</vt:lpstr>
      <vt:lpstr>USD1M!MinDistance</vt:lpstr>
      <vt:lpstr>USD1Y!MinDistance</vt:lpstr>
      <vt:lpstr>USD3M!MinDistance</vt:lpstr>
      <vt:lpstr>USD6M!MinDistance</vt:lpstr>
      <vt:lpstr>USDON!MinDistance</vt:lpstr>
      <vt:lpstr>ObjectOverwrite</vt:lpstr>
      <vt:lpstr>Permanent</vt:lpstr>
      <vt:lpstr>PillarDate</vt:lpstr>
      <vt:lpstr>USD1M!Priority</vt:lpstr>
      <vt:lpstr>USD1Y!Priority</vt:lpstr>
      <vt:lpstr>USD3M!Priority</vt:lpstr>
      <vt:lpstr>USD6M!Priority</vt:lpstr>
      <vt:lpstr>USDON!Priority</vt:lpstr>
      <vt:lpstr>QuoteSuffix</vt:lpstr>
      <vt:lpstr>USD1M!RateHelpers</vt:lpstr>
      <vt:lpstr>USD1Y!RateHelpers</vt:lpstr>
      <vt:lpstr>USD3M!RateHelpers</vt:lpstr>
      <vt:lpstr>USD6M!RateHelpers</vt:lpstr>
      <vt:lpstr>USDON!RateHelpers</vt:lpstr>
      <vt:lpstr>Settlementdate</vt:lpstr>
      <vt:lpstr>USD1M!Tenor</vt:lpstr>
      <vt:lpstr>USD1Y!Tenor</vt:lpstr>
      <vt:lpstr>USD3M!Tenor</vt:lpstr>
      <vt:lpstr>USD6M!Tenor</vt:lpstr>
      <vt:lpstr>USDON!Tenor</vt:lpstr>
      <vt:lpstr>Trigger</vt:lpstr>
      <vt:lpstr>Volatility</vt:lpstr>
      <vt:lpstr>YieldCurve_1M</vt:lpstr>
      <vt:lpstr>YieldCurve_1Y</vt:lpstr>
      <vt:lpstr>YieldCurve_3M</vt:lpstr>
      <vt:lpstr>YieldCurve_6M</vt:lpstr>
      <vt:lpstr>YieldCurve_ON</vt:lpstr>
      <vt:lpstr>YieldCurve_STD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2016-03-17T14:14:38Z</dcterms:modified>
</cp:coreProperties>
</file>